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bharmon\Dropbox (Cascadia)\KC 2015 GHG Inventory\Snohomish County Inventory\"/>
    </mc:Choice>
  </mc:AlternateContent>
  <bookViews>
    <workbookView xWindow="0" yWindow="0" windowWidth="21600" windowHeight="8370" tabRatio="778" firstSheet="5" activeTab="8"/>
  </bookViews>
  <sheets>
    <sheet name="03-08_ReportTbl" sheetId="50" state="hidden" r:id="rId1"/>
    <sheet name="03-08_SectorTbl" sheetId="72" state="hidden" r:id="rId2"/>
    <sheet name="10_Trk_FW" sheetId="77" state="hidden" r:id="rId3"/>
    <sheet name="frontmatter" sheetId="18" r:id="rId4"/>
    <sheet name="revs" sheetId="27" state="hidden" r:id="rId5"/>
    <sheet name="Summary_RptTbls" sheetId="86" r:id="rId6"/>
    <sheet name="USGPC_Scope" sheetId="81" r:id="rId7"/>
    <sheet name="QC Tracker" sheetId="87" r:id="rId8"/>
    <sheet name="Electricity" sheetId="43" r:id="rId9"/>
    <sheet name="Res-Heat &amp; Hot Water" sheetId="33" r:id="rId10"/>
    <sheet name="Commercial- Heat &amp; Hot Water" sheetId="35" r:id="rId11"/>
    <sheet name="Commercial- Equip" sheetId="36" r:id="rId12"/>
    <sheet name="Res- Garden &amp; Rec" sheetId="34" r:id="rId13"/>
    <sheet name="Ind- Operations" sheetId="38" r:id="rId14"/>
    <sheet name="Ind- Process" sheetId="37" r:id="rId15"/>
    <sheet name="Ind- Small Equip" sheetId="40" r:id="rId16"/>
    <sheet name="Ind- Fug. Gases" sheetId="39" r:id="rId17"/>
    <sheet name="Trans- Road" sheetId="60" r:id="rId18"/>
    <sheet name="Trans- Marine" sheetId="30" r:id="rId19"/>
    <sheet name="Trans-Rail" sheetId="29" r:id="rId20"/>
    <sheet name="Trans-Air" sheetId="88" r:id="rId21"/>
    <sheet name="Trans- Air" sheetId="32" state="hidden" r:id="rId22"/>
    <sheet name="Waste- Management" sheetId="44" r:id="rId23"/>
    <sheet name="Waste- Landfills" sheetId="41" r:id="rId24"/>
    <sheet name="Water-Potable" sheetId="78" r:id="rId25"/>
    <sheet name="Water-Waste" sheetId="84" r:id="rId26"/>
    <sheet name="Agr" sheetId="83" r:id="rId27"/>
    <sheet name="Land_Use" sheetId="73" r:id="rId28"/>
    <sheet name="Emission Factors" sheetId="79" r:id="rId29"/>
    <sheet name="Emission Factors-mobile" sheetId="80" r:id="rId30"/>
    <sheet name="ref" sheetId="10" r:id="rId31"/>
    <sheet name="units" sheetId="9" r:id="rId32"/>
  </sheets>
  <externalReferences>
    <externalReference r:id="rId33"/>
    <externalReference r:id="rId34"/>
    <externalReference r:id="rId35"/>
    <externalReference r:id="rId36"/>
  </externalReferences>
  <definedNames>
    <definedName name="___pop05" localSheetId="5">[1]appraisal!$C$6</definedName>
    <definedName name="___pop05">ref!$C$88</definedName>
    <definedName name="__pop08">ref!$C$89</definedName>
    <definedName name="_2009" localSheetId="5">#REF!</definedName>
    <definedName name="_2009">#REF!</definedName>
    <definedName name="_xlnm._FilterDatabase" localSheetId="5" hidden="1">Summary_RptTbls!$A$5:$A$43</definedName>
    <definedName name="_xlnm._FilterDatabase" localSheetId="6" hidden="1">USGPC_Scope!$A$4:$D$55</definedName>
    <definedName name="_pop90" localSheetId="26">[2]ref!#REF!</definedName>
    <definedName name="_pop90" localSheetId="5">[1]appraisal!$C$3</definedName>
    <definedName name="_pop90" localSheetId="25">ref!#REF!</definedName>
    <definedName name="_pop90">ref!#REF!</definedName>
    <definedName name="acreftTOgal">units!$D$65</definedName>
    <definedName name="acreftTOm3">units!$D$66</definedName>
    <definedName name="acreinTOgal">units!$D$67</definedName>
    <definedName name="acreTOft2">units!$D$45</definedName>
    <definedName name="acreTOha">units!$D$46</definedName>
    <definedName name="acreTOkm2" localSheetId="26">[2]units!$D$47</definedName>
    <definedName name="acreTOkm2" localSheetId="5">[3]units!$D$47</definedName>
    <definedName name="acreTOkm2">units!$D$47</definedName>
    <definedName name="acreTOm2">units!$D$48</definedName>
    <definedName name="acreTOmi2">units!$D$49</definedName>
    <definedName name="airArfraction">ref!$C$61</definedName>
    <definedName name="airCO2fraction">ref!$C$62</definedName>
    <definedName name="airN2fraction">ref!$C$59</definedName>
    <definedName name="airO2fraction">ref!$C$60</definedName>
    <definedName name="airotherfraction">ref!$C$63</definedName>
    <definedName name="atmTObar">units!$D$91</definedName>
    <definedName name="atmTOpsi">units!$D$92</definedName>
    <definedName name="barTOPa">units!$D$93</definedName>
    <definedName name="barTOpsi">units!$D$94</definedName>
    <definedName name="bblTOgal" localSheetId="26">[2]units!$D$68</definedName>
    <definedName name="bblTOgal" localSheetId="5">[3]units!$D$68</definedName>
    <definedName name="bblTOgal">units!$D$68</definedName>
    <definedName name="bblTOL" localSheetId="26">[2]units!$D$69</definedName>
    <definedName name="bblTOL" localSheetId="5">[3]units!$D$69</definedName>
    <definedName name="bblTOL">units!$D$69</definedName>
    <definedName name="Btu.ft3TOMJ.m3">units!$D$196</definedName>
    <definedName name="Btu.hphTOmmBtu.MWh">units!$D$164</definedName>
    <definedName name="Btu.lbTOMJ.kg">units!$D$187</definedName>
    <definedName name="Btu.lbTOmmBtu.ton" localSheetId="26">[2]units!$D$188</definedName>
    <definedName name="Btu.lbTOmmBtu.ton" localSheetId="5">[3]units!$D$188</definedName>
    <definedName name="Btu.lbTOmmBtu.ton">units!$D$188</definedName>
    <definedName name="BtuTOcal">units!$D$98</definedName>
    <definedName name="BtuTOJ" localSheetId="26">[2]units!$D$99</definedName>
    <definedName name="BtuTOJ" localSheetId="5">[3]units!$D$99</definedName>
    <definedName name="BtuTOJ">units!$D$99</definedName>
    <definedName name="BtuTOkJ" localSheetId="26">[2]units!$D$100</definedName>
    <definedName name="BtuTOkJ" localSheetId="5">[3]units!$D$100</definedName>
    <definedName name="BtuTOkJ">units!$D$100</definedName>
    <definedName name="BtuTOkWh" localSheetId="26">[2]units!$D$101</definedName>
    <definedName name="BtuTOkWh" localSheetId="5">[3]units!$D$101</definedName>
    <definedName name="BtuTOkWh">units!$D$101</definedName>
    <definedName name="BtuTOMJ" localSheetId="26">[2]units!$D$102</definedName>
    <definedName name="BtuTOMJ" localSheetId="5">[3]units!$D$102</definedName>
    <definedName name="BtuTOMJ">units!$D$102</definedName>
    <definedName name="BtuTOWh">units!$D$103</definedName>
    <definedName name="calTOBtu">units!$D$104</definedName>
    <definedName name="calTOJ">units!$D$105</definedName>
    <definedName name="CH4.C">ref!$C$6</definedName>
    <definedName name="cmpIndKC14" localSheetId="26">[2]ref!#REF!</definedName>
    <definedName name="cmpIndKC14" localSheetId="5">[3]ref!$C$138</definedName>
    <definedName name="cmpIndKC14" localSheetId="25">ref!#REF!</definedName>
    <definedName name="cmpIndKC14">ref!#REF!</definedName>
    <definedName name="cmTOin">units!$D$6</definedName>
    <definedName name="CO2.C" localSheetId="26">[2]ref!$C$4</definedName>
    <definedName name="CO2.C" localSheetId="5">[3]ref!$C$4</definedName>
    <definedName name="CO2.C">ref!$C$4</definedName>
    <definedName name="CO2perCH4">ref!$C$5</definedName>
    <definedName name="ComKit15">[2]ref!$C$92</definedName>
    <definedName name="ComPierce15">[4]ref!$C$93</definedName>
    <definedName name="ComSno08">ref!$C$89</definedName>
    <definedName name="ComSno11">ref!$C$90</definedName>
    <definedName name="ComSno15">ref!$C$91</definedName>
    <definedName name="ComWA08">ref!$C$95</definedName>
    <definedName name="ComWA11">ref!$C$96</definedName>
    <definedName name="ComWA15" localSheetId="5">[4]ref!$C$99</definedName>
    <definedName name="ComWA15">ref!$C$97</definedName>
    <definedName name="cruisecalls05" localSheetId="26">[2]ref!#REF!</definedName>
    <definedName name="cruisecalls05" localSheetId="5">[3]ref!$C$94</definedName>
    <definedName name="cruisecalls05" localSheetId="25">ref!#REF!</definedName>
    <definedName name="cruisecalls05">ref!#REF!</definedName>
    <definedName name="cruisecalls08" localSheetId="26">[2]ref!#REF!</definedName>
    <definedName name="cruisecalls08" localSheetId="5">[3]ref!$C$95</definedName>
    <definedName name="cruisecalls08" localSheetId="25">ref!#REF!</definedName>
    <definedName name="cruisecalls08">ref!#REF!</definedName>
    <definedName name="dayTOmin" localSheetId="26">[2]units!$D$30</definedName>
    <definedName name="dayTOmin" localSheetId="5">[3]units!$D$30</definedName>
    <definedName name="dayTOmin">units!$D$30</definedName>
    <definedName name="dayTOyr" localSheetId="26">[2]units!$D$31</definedName>
    <definedName name="dayTOyr" localSheetId="5">[3]units!$D$31</definedName>
    <definedName name="dayTOyr">units!$D$31</definedName>
    <definedName name="densityC3H8">ref!$C$41</definedName>
    <definedName name="densityC3H8at60degF">ref!$C$50</definedName>
    <definedName name="densityCH4" localSheetId="26">[2]ref!$C$42</definedName>
    <definedName name="densityCH4" localSheetId="5">[3]ref!$C$42</definedName>
    <definedName name="densityCH4">ref!$C$42</definedName>
    <definedName name="densityCH4at60degF">ref!$C$51</definedName>
    <definedName name="densityCO">ref!$C$43</definedName>
    <definedName name="densityCO2">ref!$C$44</definedName>
    <definedName name="densityCO2at60degF">ref!$C$53</definedName>
    <definedName name="densityCOat60degF">ref!$C$52</definedName>
    <definedName name="densityN2O">ref!$C$45</definedName>
    <definedName name="densityN2Oat60degF">ref!$C$54</definedName>
    <definedName name="densityNO2">ref!$C$46</definedName>
    <definedName name="densityNO2at60degF">ref!$C$55</definedName>
    <definedName name="densitySO2">ref!$C$47</definedName>
    <definedName name="densitySO2at60degF">ref!$C$56</definedName>
    <definedName name="efavgas" localSheetId="26">'[2]Emission Factors'!$C$143</definedName>
    <definedName name="efavgas" localSheetId="28">'Emission Factors'!$C$143</definedName>
    <definedName name="efavgas" localSheetId="5">'[3]Emission Factors'!$C$143</definedName>
    <definedName name="efavgas">#REF!</definedName>
    <definedName name="efCNG">#REF!</definedName>
    <definedName name="efCNGmobile" localSheetId="5">'[3]Emission Factors'!$C$113</definedName>
    <definedName name="efCNGmobile">'Emission Factors'!$C$113</definedName>
    <definedName name="efcoal" localSheetId="28">'Emission Factors'!$C$149</definedName>
    <definedName name="efcoal" localSheetId="5">'[3]Emission Factors'!$C$149</definedName>
    <definedName name="efcoal">#REF!</definedName>
    <definedName name="efdistillate" localSheetId="26">'[2]Emission Factors'!$C$87</definedName>
    <definedName name="efdistillate" localSheetId="28">'Emission Factors'!$C$87</definedName>
    <definedName name="efdistillate" localSheetId="5">'[3]Emission Factors'!$C$87</definedName>
    <definedName name="efdistillate">#REF!</definedName>
    <definedName name="efdistillate.res.ch4" localSheetId="26">#REF!</definedName>
    <definedName name="efdistillate.res.ch4" localSheetId="5">#REF!</definedName>
    <definedName name="efdistillate.res.ch4">'Emission Factors'!$E$92</definedName>
    <definedName name="effgasoline90">'Emission Factors'!$C$80</definedName>
    <definedName name="efgas" localSheetId="26">'[2]Emission Factors'!$C$112</definedName>
    <definedName name="efgas" localSheetId="28">'Emission Factors'!$C$116</definedName>
    <definedName name="efgas" localSheetId="5">'[3]Emission Factors'!#REF!</definedName>
    <definedName name="efgas">#REF!</definedName>
    <definedName name="efgas.com.ch4" localSheetId="26">#REF!</definedName>
    <definedName name="efgas.com.ch4" localSheetId="5">'[3]Emission Factors'!#REF!</definedName>
    <definedName name="efgas.com.ch4">'Emission Factors'!$E$120</definedName>
    <definedName name="efgas.com.n2o" localSheetId="26">#REF!</definedName>
    <definedName name="efgas.com.n2o" localSheetId="5">'[3]Emission Factors'!#REF!</definedName>
    <definedName name="efgas.com.n2o">'Emission Factors'!$E$121</definedName>
    <definedName name="efgas.res.ch4" localSheetId="26">'[2]Emission Factors'!$E$114</definedName>
    <definedName name="efgas.res.ch4" localSheetId="5">'[3]Emission Factors'!$E$114</definedName>
    <definedName name="efgas.res.ch4">'Emission Factors'!$E$114</definedName>
    <definedName name="efgas.res.n2o" localSheetId="26">'[2]Emission Factors'!$E$115</definedName>
    <definedName name="efgas.res.n2o" localSheetId="5">'[3]Emission Factors'!$E$115</definedName>
    <definedName name="efgas.res.n2o">'Emission Factors'!$E$115</definedName>
    <definedName name="efgas2">'[3]Emission Factors'!#REF!</definedName>
    <definedName name="efgasoline00" localSheetId="26">'[2]Emission Factors'!$C$60</definedName>
    <definedName name="efgasoline00" localSheetId="28">'Emission Factors'!$C$60</definedName>
    <definedName name="efgasoline00" localSheetId="5">'[3]Emission Factors'!$C$60</definedName>
    <definedName name="efgasoline00">#REF!</definedName>
    <definedName name="efgasoline01" localSheetId="26">'[2]Emission Factors'!$C$59</definedName>
    <definedName name="efgasoline01" localSheetId="28">'Emission Factors'!$C$59</definedName>
    <definedName name="efgasoline01" localSheetId="5">'[3]Emission Factors'!$C$59</definedName>
    <definedName name="efgasoline01">#REF!</definedName>
    <definedName name="efgasoline02" localSheetId="26">'[2]Emission Factors'!$C$58</definedName>
    <definedName name="efgasoline02" localSheetId="28">'Emission Factors'!$C$58</definedName>
    <definedName name="efgasoline02" localSheetId="5">'[3]Emission Factors'!$C$58</definedName>
    <definedName name="efgasoline02">#REF!</definedName>
    <definedName name="efgasoline03" localSheetId="26">'[2]Emission Factors'!$C$57</definedName>
    <definedName name="efgasoline03" localSheetId="28">'Emission Factors'!$C$57</definedName>
    <definedName name="efgasoline03" localSheetId="5">'[3]Emission Factors'!$C$57</definedName>
    <definedName name="efgasoline03">#REF!</definedName>
    <definedName name="efgasoline04" localSheetId="26">'[2]Emission Factors'!$C$56</definedName>
    <definedName name="efgasoline04" localSheetId="28">'Emission Factors'!$C$56</definedName>
    <definedName name="efgasoline04" localSheetId="5">'[3]Emission Factors'!$C$56</definedName>
    <definedName name="efgasoline04">#REF!</definedName>
    <definedName name="efgasoline05" localSheetId="26">'[2]Emission Factors'!$C$55</definedName>
    <definedName name="efgasoline05" localSheetId="28">'Emission Factors'!$C$55</definedName>
    <definedName name="efgasoline05" localSheetId="5">'[3]Emission Factors'!$C$55</definedName>
    <definedName name="efgasoline05">#REF!</definedName>
    <definedName name="efgasoline06" localSheetId="26">'[2]Emission Factors'!$C$54</definedName>
    <definedName name="efgasoline06" localSheetId="28">'Emission Factors'!$C$54</definedName>
    <definedName name="efgasoline06" localSheetId="5">'[3]Emission Factors'!$C$54</definedName>
    <definedName name="efgasoline06">#REF!</definedName>
    <definedName name="efgasoline07" localSheetId="26">'[2]Emission Factors'!$C$53</definedName>
    <definedName name="efgasoline07" localSheetId="28">'Emission Factors'!$C$53</definedName>
    <definedName name="efgasoline07" localSheetId="5">'[3]Emission Factors'!$C$53</definedName>
    <definedName name="efgasoline07">#REF!</definedName>
    <definedName name="efgasoline08" localSheetId="26">'[2]Emission Factors'!$C$52</definedName>
    <definedName name="efgasoline08" localSheetId="28">'Emission Factors'!$C$52</definedName>
    <definedName name="efgasoline08" localSheetId="5">'[3]Emission Factors'!$C$52</definedName>
    <definedName name="efgasoline08">#REF!</definedName>
    <definedName name="efgasoline09" localSheetId="28">'Emission Factors'!$C$51</definedName>
    <definedName name="efgasoline09">#REF!</definedName>
    <definedName name="efgasoline10">'Emission Factors'!$C$50</definedName>
    <definedName name="efgasoline11">'Emission Factors'!$C$49</definedName>
    <definedName name="efgasoline12">'Emission Factors'!$C$48</definedName>
    <definedName name="efgasoline13">'Emission Factors'!$C$47</definedName>
    <definedName name="efgasoline14">'Emission Factors'!$C$46</definedName>
    <definedName name="efgasoline15">'Emission Factors'!$C$45</definedName>
    <definedName name="efgasoline90" localSheetId="28">'Emission Factors'!$C$61</definedName>
    <definedName name="efgasoline90">#REF!</definedName>
    <definedName name="efgavgas">'Emission Factors'!$C$144</definedName>
    <definedName name="efgdistillate" localSheetId="26">'[2]Emission Factors'!$C$88</definedName>
    <definedName name="efgdistillate" localSheetId="5">'[3]Emission Factors'!$C$88</definedName>
    <definedName name="efgdistillate">'Emission Factors'!$C$88</definedName>
    <definedName name="efgdistillate.com.ch4" localSheetId="26">'[2]Emission Factors'!$E$91</definedName>
    <definedName name="efgdistillate.com.ch4" localSheetId="5">'[3]Emission Factors'!$E$91</definedName>
    <definedName name="efgdistillate.com.ch4">'Emission Factors'!$E$91</definedName>
    <definedName name="efgdistillate.com.n2o" localSheetId="26">'[2]Emission Factors'!$E$92</definedName>
    <definedName name="efgdistillate.com.n2o" localSheetId="5">'[3]Emission Factors'!$E$92</definedName>
    <definedName name="efgdistillate.com.n2o">'Emission Factors'!$E$92</definedName>
    <definedName name="efgdistillate.ind.ch4" localSheetId="26">'[2]Emission Factors'!$E$93</definedName>
    <definedName name="efgdistillate.ind.ch4" localSheetId="5">'[3]Emission Factors'!$E$93</definedName>
    <definedName name="efgdistillate.ind.ch4">'Emission Factors'!$E$93</definedName>
    <definedName name="efgdistillate.ind.n2o" localSheetId="26">'[2]Emission Factors'!$E$94</definedName>
    <definedName name="efgdistillate.ind.n2o" localSheetId="5">'[3]Emission Factors'!$E$94</definedName>
    <definedName name="efgdistillate.ind.n2o">'Emission Factors'!$E$94</definedName>
    <definedName name="efgdistillate.res.ch4" localSheetId="26">'[2]Emission Factors'!$E$89</definedName>
    <definedName name="efgdistillate.res.ch4" localSheetId="5">'[3]Emission Factors'!$E$89</definedName>
    <definedName name="efgdistillate.res.ch4">'Emission Factors'!$E$89</definedName>
    <definedName name="efgdistillate.res.n2o" localSheetId="26">'[2]Emission Factors'!$E$90</definedName>
    <definedName name="efgdistillate.res.n2o" localSheetId="5">'[3]Emission Factors'!$E$90</definedName>
    <definedName name="efgdistillate.res.n2o">'Emission Factors'!$E$90</definedName>
    <definedName name="efggas" localSheetId="26">#REF!</definedName>
    <definedName name="efggas" localSheetId="5">#REF!</definedName>
    <definedName name="efggas">'Emission Factors'!$C$120</definedName>
    <definedName name="efggasoline0">'Emission Factors'!$C$78</definedName>
    <definedName name="efggasoline1">'Emission Factors'!$C$77</definedName>
    <definedName name="efggasoline10" localSheetId="5">'[3]Emission Factors'!$C$68</definedName>
    <definedName name="efggasoline10">'Emission Factors'!$C$68</definedName>
    <definedName name="efggasoline11">'Emission Factors'!$C$67</definedName>
    <definedName name="efggasoline12">'Emission Factors'!$C$66</definedName>
    <definedName name="efggasoline13">'Emission Factors'!$C$65</definedName>
    <definedName name="efggasoline14">'Emission Factors'!$C$64</definedName>
    <definedName name="efggasoline15" localSheetId="26">'[2]Emission Factors'!$C$63</definedName>
    <definedName name="efggasoline15" localSheetId="5">'[3]Emission Factors'!$C$63</definedName>
    <definedName name="efggasoline15">'Emission Factors'!$C$63</definedName>
    <definedName name="efggasoline2">'Emission Factors'!$C$76</definedName>
    <definedName name="efggasoline3">'Emission Factors'!$C$75</definedName>
    <definedName name="efggasoline4">'Emission Factors'!$C$74</definedName>
    <definedName name="efggasoline5">'Emission Factors'!$C$73</definedName>
    <definedName name="efggasoline6">'Emission Factors'!$C$72</definedName>
    <definedName name="efggasoline7">'Emission Factors'!$C$71</definedName>
    <definedName name="efggasoline8">'Emission Factors'!$C$70</definedName>
    <definedName name="efggasoline9">'Emission Factors'!$C$69</definedName>
    <definedName name="efggasoline95">'Emission Factors'!$C$79</definedName>
    <definedName name="efgjetfuel" localSheetId="5">'[3]Emission Factors'!$C$137</definedName>
    <definedName name="efgjetfuel">'Emission Factors'!$C$137</definedName>
    <definedName name="efgLPG" localSheetId="5">'[3]Emission Factors'!$C$123</definedName>
    <definedName name="efgLPG">'Emission Factors'!$C$123</definedName>
    <definedName name="efgresidual" localSheetId="5">'[3]Emission Factors'!$C$102</definedName>
    <definedName name="efgresidual">'Emission Factors'!$C$102</definedName>
    <definedName name="efgresidual.com.ch4">'Emission Factors'!$E$105</definedName>
    <definedName name="efgresidual.com.n2o">'Emission Factors'!$E$106</definedName>
    <definedName name="efgresidual.ind.ch4" localSheetId="5">'[3]Emission Factors'!$E$107</definedName>
    <definedName name="efgresidual.ind.ch4">'Emission Factors'!$E$107</definedName>
    <definedName name="efgresidual.ind.n2o" localSheetId="5">'[3]Emission Factors'!$E$108</definedName>
    <definedName name="efgresidual.ind.n2o">'Emission Factors'!$E$108</definedName>
    <definedName name="efgresidual.res.ch4">'Emission Factors'!$E$103</definedName>
    <definedName name="efgresidual.res.n2o">'Emission Factors'!$E$104</definedName>
    <definedName name="efjetfuel" localSheetId="26">'[2]Emission Factors'!$C$136</definedName>
    <definedName name="efjetfuel" localSheetId="28">'Emission Factors'!$C$136</definedName>
    <definedName name="efjetfuel" localSheetId="5">'[3]Emission Factors'!$C$136</definedName>
    <definedName name="efjetfuel">#REF!</definedName>
    <definedName name="efLPG" localSheetId="26">'[2]Emission Factors'!$C$122</definedName>
    <definedName name="efLPG" localSheetId="28">'Emission Factors'!$C$122</definedName>
    <definedName name="efLPG" localSheetId="5">'[3]Emission Factors'!$C$122</definedName>
    <definedName name="efLPG">#REF!</definedName>
    <definedName name="efresidual" localSheetId="26">'[2]Emission Factors'!$C$101</definedName>
    <definedName name="efresidual" localSheetId="28">'Emission Factors'!$C$101</definedName>
    <definedName name="efresidual" localSheetId="5">'[3]Emission Factors'!$C$101</definedName>
    <definedName name="efresidual">#REF!</definedName>
    <definedName name="efTDF" localSheetId="28">'Emission Factors'!$C$152</definedName>
    <definedName name="efTDF" localSheetId="5">'[3]Emission Factors'!$C$152</definedName>
    <definedName name="efTDF">#REF!</definedName>
    <definedName name="efTDF_previous">'Emission Factors'!$C$151</definedName>
    <definedName name="EJTOTWh">units!$D$106</definedName>
    <definedName name="empCom04">ref!$C$92</definedName>
    <definedName name="empCom08" localSheetId="26">[2]ref!$C$95</definedName>
    <definedName name="empCom08" localSheetId="5">[4]ref!$C$93</definedName>
    <definedName name="empCom08">ref!$C$97</definedName>
    <definedName name="empComKC03" localSheetId="26">[2]ref!#REF!</definedName>
    <definedName name="empComKC03" localSheetId="5">[3]ref!$C$132</definedName>
    <definedName name="empComKC03" localSheetId="25">ref!#REF!</definedName>
    <definedName name="empComKC03">ref!#REF!</definedName>
    <definedName name="empComKC08" localSheetId="26">[2]ref!#REF!</definedName>
    <definedName name="empComKC08" localSheetId="5">[3]ref!$C$134</definedName>
    <definedName name="empComKC08" localSheetId="25">ref!#REF!</definedName>
    <definedName name="empComKC08">ref!#REF!</definedName>
    <definedName name="empComKC10" localSheetId="26">[2]ref!#REF!</definedName>
    <definedName name="empComKC10" localSheetId="5">[3]ref!$C$136</definedName>
    <definedName name="empComKC10" localSheetId="25">ref!#REF!</definedName>
    <definedName name="empComKC10">ref!#REF!</definedName>
    <definedName name="empComKC14" localSheetId="26">[2]ref!#REF!</definedName>
    <definedName name="empComKC14" localSheetId="5">[4]ref!#REF!</definedName>
    <definedName name="empComKC14" localSheetId="25">ref!#REF!</definedName>
    <definedName name="empComKC14">ref!#REF!</definedName>
    <definedName name="empComUS08" localSheetId="5">[3]ref!#REF!</definedName>
    <definedName name="empComUS08" localSheetId="25">ref!#REF!</definedName>
    <definedName name="empComUS08">ref!#REF!</definedName>
    <definedName name="empComWA03" localSheetId="26">[2]ref!#REF!</definedName>
    <definedName name="empComWA03" localSheetId="5">[3]ref!$C$141</definedName>
    <definedName name="empComWA03" localSheetId="25">ref!#REF!</definedName>
    <definedName name="empComWA03">ref!#REF!</definedName>
    <definedName name="empComWA08" localSheetId="26">[2]ref!#REF!</definedName>
    <definedName name="empComWA08" localSheetId="5">[3]ref!$C$143</definedName>
    <definedName name="empComWA08" localSheetId="25">ref!#REF!</definedName>
    <definedName name="empComWA08">ref!#REF!</definedName>
    <definedName name="empComWA10" localSheetId="26">[2]ref!#REF!</definedName>
    <definedName name="empComWA10" localSheetId="5">[3]ref!$C$145</definedName>
    <definedName name="empComWA10" localSheetId="25">ref!#REF!</definedName>
    <definedName name="empComWA10">ref!#REF!</definedName>
    <definedName name="empComWA14" localSheetId="26">[2]ref!#REF!</definedName>
    <definedName name="empComWA14" localSheetId="5">[4]ref!#REF!</definedName>
    <definedName name="empComWA14" localSheetId="25">ref!#REF!</definedName>
    <definedName name="empComWA14">ref!#REF!</definedName>
    <definedName name="empInd04" localSheetId="26">[2]ref!$C$94</definedName>
    <definedName name="empInd04" localSheetId="5">[4]ref!$C$92</definedName>
    <definedName name="empInd04">ref!$C$96</definedName>
    <definedName name="empInd08">ref!$C$98</definedName>
    <definedName name="empIndKC03" localSheetId="26">[2]ref!#REF!</definedName>
    <definedName name="empIndKC03" localSheetId="5">[3]ref!$C$133</definedName>
    <definedName name="empIndKC03" localSheetId="25">ref!#REF!</definedName>
    <definedName name="empIndKC03">ref!#REF!</definedName>
    <definedName name="empIndKC08" localSheetId="26">[2]ref!#REF!</definedName>
    <definedName name="empIndKC08" localSheetId="5">[3]ref!$C$135</definedName>
    <definedName name="empIndKC08" localSheetId="25">ref!#REF!</definedName>
    <definedName name="empIndKC08">ref!#REF!</definedName>
    <definedName name="empIndKC10" localSheetId="26">[2]ref!#REF!</definedName>
    <definedName name="empIndKC10" localSheetId="5">[4]ref!#REF!</definedName>
    <definedName name="empIndKC10" localSheetId="25">ref!#REF!</definedName>
    <definedName name="empIndKC10">ref!#REF!</definedName>
    <definedName name="empIndWA03" localSheetId="26">[2]ref!#REF!</definedName>
    <definedName name="empIndWA03" localSheetId="5">[3]ref!$C$142</definedName>
    <definedName name="empIndWA03" localSheetId="25">ref!#REF!</definedName>
    <definedName name="empIndWA03">ref!#REF!</definedName>
    <definedName name="empIndWA08" localSheetId="26">[2]ref!#REF!</definedName>
    <definedName name="empIndWA08" localSheetId="5">[3]ref!$C$144</definedName>
    <definedName name="empIndWA08" localSheetId="25">ref!#REF!</definedName>
    <definedName name="empIndWA08">ref!#REF!</definedName>
    <definedName name="empIndWA10" localSheetId="26">[2]ref!#REF!</definedName>
    <definedName name="empIndWA10" localSheetId="5">[4]ref!#REF!</definedName>
    <definedName name="empIndWA10" localSheetId="25">ref!#REF!</definedName>
    <definedName name="empIndWA10">ref!#REF!</definedName>
    <definedName name="empIndWA14" localSheetId="5">[3]ref!$C$148</definedName>
    <definedName name="empIndWA14" localSheetId="25">ref!#REF!</definedName>
    <definedName name="empIndWA14">ref!#REF!</definedName>
    <definedName name="F.C" localSheetId="26">[2]ref!$C$11</definedName>
    <definedName name="F.C" localSheetId="5">[3]ref!$C$11</definedName>
    <definedName name="F.C">ref!$C$11</definedName>
    <definedName name="freezeC">ref!$C$13</definedName>
    <definedName name="freezeF" localSheetId="26">[2]ref!$C$12</definedName>
    <definedName name="freezeF" localSheetId="5">[3]ref!$C$12</definedName>
    <definedName name="freezeF">ref!$C$12</definedName>
    <definedName name="ft2TOm2">units!$D$50</definedName>
    <definedName name="ft2TOyd2">units!$D$51</definedName>
    <definedName name="ft3TOgal">units!$D$70</definedName>
    <definedName name="ft3TOL" localSheetId="26">[2]units!$D$71</definedName>
    <definedName name="ft3TOL" localSheetId="5">[3]units!$D$71</definedName>
    <definedName name="ft3TOL">units!$D$71</definedName>
    <definedName name="ft3TOm3" localSheetId="26">[2]units!$D$72</definedName>
    <definedName name="ft3TOm3" localSheetId="5">[3]units!$D$72</definedName>
    <definedName name="ft3TOm3">units!$D$72</definedName>
    <definedName name="ftTOm">units!$D$7</definedName>
    <definedName name="g.hphTOlb.MWh">units!$D$172</definedName>
    <definedName name="g.kWhTOlb.MWh">units!$D$173</definedName>
    <definedName name="galTOacreft">units!$D$73</definedName>
    <definedName name="galTOacrein">units!$D$74</definedName>
    <definedName name="galTObbl">units!$D$75</definedName>
    <definedName name="galTOL" localSheetId="26">[2]units!$D$76</definedName>
    <definedName name="galTOL" localSheetId="5">[3]units!$D$76</definedName>
    <definedName name="galTOL">units!$D$76</definedName>
    <definedName name="galTOliter" localSheetId="26">[2]units!$D$76</definedName>
    <definedName name="galTOliter" localSheetId="5">[3]units!$D$76</definedName>
    <definedName name="galTOliter">units!$D$76</definedName>
    <definedName name="galTOm3">units!$D$77</definedName>
    <definedName name="gasconstant" localSheetId="26">[2]ref!$C$32</definedName>
    <definedName name="gasconstant" localSheetId="5">[3]ref!$C$32</definedName>
    <definedName name="gasconstant">ref!$C$32</definedName>
    <definedName name="ggeTOMJ">units!$D$107</definedName>
    <definedName name="GJ.hrTOMW" localSheetId="26">[2]units!$D$146</definedName>
    <definedName name="GJ.hrTOMW" localSheetId="5">[3]units!$D$146</definedName>
    <definedName name="GJ.hrTOMW">units!$D$146</definedName>
    <definedName name="GJTOmmBtu" localSheetId="26">[2]units!$D$109</definedName>
    <definedName name="GJTOmmBtu" localSheetId="5">[3]units!$D$109</definedName>
    <definedName name="GJTOmmBtu">units!$D$109</definedName>
    <definedName name="GJTOMWh">units!$D$108</definedName>
    <definedName name="GJTOtherm" localSheetId="26">[2]units!$D$110</definedName>
    <definedName name="GJTOtherm" localSheetId="5">[3]units!$D$110</definedName>
    <definedName name="GJTOtherm">units!$D$110</definedName>
    <definedName name="gpmTOliter.s">units!$D$159</definedName>
    <definedName name="gTOlb">units!$D$15</definedName>
    <definedName name="GWPCH4" localSheetId="26">[2]ref!$C$66</definedName>
    <definedName name="GWPCH4" localSheetId="5">[3]ref!$C$66</definedName>
    <definedName name="GWPCH4">ref!$C$66</definedName>
    <definedName name="GWPHFC125">ref!$C$70</definedName>
    <definedName name="GWPHFC134a">ref!$C$71</definedName>
    <definedName name="GWPHFC143a">ref!$C$72</definedName>
    <definedName name="GWPHFC152a">ref!$C$73</definedName>
    <definedName name="GWPHFC227ea">ref!$C$74</definedName>
    <definedName name="GWPHFC23">ref!$C$68</definedName>
    <definedName name="GWPHFC236fa">ref!$C$75</definedName>
    <definedName name="GWPHFC245ca">ref!$C$76</definedName>
    <definedName name="GWPHFC32">ref!$C$69</definedName>
    <definedName name="GWPN2O" localSheetId="26">[2]ref!$C$67</definedName>
    <definedName name="GWPN2O" localSheetId="5">[3]ref!$C$67</definedName>
    <definedName name="GWPN2O">ref!$C$67</definedName>
    <definedName name="GWPPFC116">ref!$C$77</definedName>
    <definedName name="GWPPFC218">ref!$C$78</definedName>
    <definedName name="GWPPFC410">ref!$C$79</definedName>
    <definedName name="GWPSF6" localSheetId="26">[2]ref!$C$80</definedName>
    <definedName name="GWPSF6" localSheetId="5">[3]ref!$C$80</definedName>
    <definedName name="GWPSF6">ref!$C$80</definedName>
    <definedName name="GWTOkW">units!$D$147</definedName>
    <definedName name="GWTOquad.yr">units!$D$148</definedName>
    <definedName name="GWTOTWh.yr">units!$D$149</definedName>
    <definedName name="H2.H2O">ref!$C$8</definedName>
    <definedName name="haTOacre" localSheetId="26">[2]units!$D$52</definedName>
    <definedName name="haTOacre" localSheetId="5">[3]units!$D$52</definedName>
    <definedName name="haTOacre">units!$D$52</definedName>
    <definedName name="haTOkm2">units!$D$53</definedName>
    <definedName name="HHVavgas" localSheetId="26">'[2]Emission Factors'!$C$140</definedName>
    <definedName name="HHVavgas" localSheetId="28">'Emission Factors'!$C$140</definedName>
    <definedName name="HHVavgas" localSheetId="5">'[3]Emission Factors'!$C$140</definedName>
    <definedName name="HHVavgas">#REF!</definedName>
    <definedName name="HHVcoal" localSheetId="26">'[2]Emission Factors'!$C$146</definedName>
    <definedName name="HHVcoal" localSheetId="28">'Emission Factors'!$C$146</definedName>
    <definedName name="HHVcoal" localSheetId="5">'[3]Emission Factors'!$C$146</definedName>
    <definedName name="HHVcoal">#REF!</definedName>
    <definedName name="HHVdistillate" localSheetId="26">'[2]Emission Factors'!$C$84</definedName>
    <definedName name="HHVdistillate" localSheetId="28">'Emission Factors'!$C$84</definedName>
    <definedName name="HHVdistillate" localSheetId="5">'[3]Emission Factors'!$C$84</definedName>
    <definedName name="HHVdistillate">#REF!</definedName>
    <definedName name="HHVgas" localSheetId="26">'[2]Emission Factors'!$C$111</definedName>
    <definedName name="HHVgas" localSheetId="28">'Emission Factors'!$C$111</definedName>
    <definedName name="HHVgas" localSheetId="5">'[3]Emission Factors'!$C$111</definedName>
    <definedName name="HHVgas">#REF!</definedName>
    <definedName name="HHVgasoline" localSheetId="26">'[2]Emission Factors'!$C$6</definedName>
    <definedName name="HHVgasoline" localSheetId="5">'[3]Emission Factors'!$C$6</definedName>
    <definedName name="HHVgasoline">#REF!</definedName>
    <definedName name="HHVjetfuel" localSheetId="26">'[2]Emission Factors'!$C$133</definedName>
    <definedName name="HHVjetfuel" localSheetId="28">'Emission Factors'!$C$133</definedName>
    <definedName name="HHVjetfuel" localSheetId="5">'[3]Emission Factors'!$C$133</definedName>
    <definedName name="HHVjetfuel">#REF!</definedName>
    <definedName name="HHVLPG" localSheetId="26">'[2]Emission Factors'!$C$119</definedName>
    <definedName name="HHVLPG" localSheetId="28">'Emission Factors'!$C$119</definedName>
    <definedName name="HHVLPG" localSheetId="5">'[3]Emission Factors'!$C$119</definedName>
    <definedName name="HHVLPG">#REF!</definedName>
    <definedName name="HHVresidual" localSheetId="26">'[2]Emission Factors'!$C$98</definedName>
    <definedName name="HHVresidual" localSheetId="28">'Emission Factors'!$C$98</definedName>
    <definedName name="HHVresidual" localSheetId="5">'[3]Emission Factors'!$C$98</definedName>
    <definedName name="HHVresidual">#REF!</definedName>
    <definedName name="hpTOkW">units!$D$150</definedName>
    <definedName name="hrTOday">units!$D$32</definedName>
    <definedName name="hrTOs">units!$D$33</definedName>
    <definedName name="hrTOyr" localSheetId="26">[2]units!$D$34</definedName>
    <definedName name="hrTOyr" localSheetId="5">[3]units!$D$34</definedName>
    <definedName name="hrTOyr">units!$D$34</definedName>
    <definedName name="IndKit15">[2]ref!$C$89</definedName>
    <definedName name="IndPierce15">[4]ref!$C$90</definedName>
    <definedName name="IndSno08">ref!$C$86</definedName>
    <definedName name="IndSno11">ref!$C$87</definedName>
    <definedName name="IndSno15">ref!$C$88</definedName>
    <definedName name="IndWA08">ref!$C$92</definedName>
    <definedName name="IndWA11">ref!$C$93</definedName>
    <definedName name="IndWA15" localSheetId="5">[4]ref!$C$96</definedName>
    <definedName name="IndWA15">ref!$C$94</definedName>
    <definedName name="inTOcm">units!$D$8</definedName>
    <definedName name="inTOmm">units!$D$9</definedName>
    <definedName name="ISO5024volume">ref!$C$37</definedName>
    <definedName name="JTOBtu">units!$D$111</definedName>
    <definedName name="JTOcal">units!$D$112</definedName>
    <definedName name="JTOWh">units!$D$113</definedName>
    <definedName name="K0degC" localSheetId="26">[2]ref!$C$33</definedName>
    <definedName name="K0degC" localSheetId="5">[3]ref!$C$33</definedName>
    <definedName name="K0degC">ref!$C$33</definedName>
    <definedName name="K15degC" localSheetId="26">[2]ref!$C$34</definedName>
    <definedName name="K15degC" localSheetId="5">[3]ref!$C$34</definedName>
    <definedName name="K15degC">ref!$C$34</definedName>
    <definedName name="K60degF" localSheetId="26">[2]ref!$C$35</definedName>
    <definedName name="K60degF" localSheetId="5">[3]ref!$C$35</definedName>
    <definedName name="K60degF">ref!$C$35</definedName>
    <definedName name="kcalTOMJ">units!$D$114</definedName>
    <definedName name="kg.GJTOlb.MWh">units!$D$174</definedName>
    <definedName name="kgTOg">units!$D$16</definedName>
    <definedName name="kgTOlb">units!$D$17</definedName>
    <definedName name="kJ.kWhTOmmBtu.MWh">units!$D$165</definedName>
    <definedName name="kJTOBtu" localSheetId="26">[2]units!$D$115</definedName>
    <definedName name="kJTOBtu" localSheetId="5">[3]units!$D$115</definedName>
    <definedName name="kJTOBtu">units!$D$115</definedName>
    <definedName name="km.lTOmi.gal">units!$D$200</definedName>
    <definedName name="km2TOacre">units!$D$54</definedName>
    <definedName name="km2TOm2">units!$D$55</definedName>
    <definedName name="km2TOmi2">units!$D$56</definedName>
    <definedName name="kmTOmi" localSheetId="26">[2]units!$D$10</definedName>
    <definedName name="kmTOmi" localSheetId="5">[3]units!$D$10</definedName>
    <definedName name="kmTOmi">units!$D$10</definedName>
    <definedName name="kWh.tonTOMJ.kg">units!$D$189</definedName>
    <definedName name="kWhTOBtu">units!$D$116</definedName>
    <definedName name="kWhTOMJ" localSheetId="5">[4]units!$D$117</definedName>
    <definedName name="kWhTOMJ">units!$D$117</definedName>
    <definedName name="kWTOhp">units!$D$151</definedName>
    <definedName name="L.sTOgpm" localSheetId="26">[2]units!$D$160</definedName>
    <definedName name="L.sTOgpm" localSheetId="5">[3]units!$D$160</definedName>
    <definedName name="L.sTOgpm">units!$D$160</definedName>
    <definedName name="lb.mmBtuTOMg.mmBtu">units!$D$175</definedName>
    <definedName name="lb.mmBtuTOng.J">units!$D$176</definedName>
    <definedName name="lb.mmBtuTOTg.quad">units!$D$177</definedName>
    <definedName name="lb.MWhTOg.hph">units!$D$178</definedName>
    <definedName name="lb.MWhTOg.kWh">units!$D$179</definedName>
    <definedName name="lb.MWhTOkg.GJ">units!$D$180</definedName>
    <definedName name="lb.MWhTOton.GWh">units!$D$181</definedName>
    <definedName name="lbTOg" localSheetId="26">[2]units!$D$18</definedName>
    <definedName name="lbTOg" localSheetId="5">[3]units!$D$18</definedName>
    <definedName name="lbTOg">units!$D$18</definedName>
    <definedName name="lbTOkg" localSheetId="26">[2]units!$D$19</definedName>
    <definedName name="lbTOkg" localSheetId="5">[3]units!$D$19</definedName>
    <definedName name="lbTOkg">units!$D$19</definedName>
    <definedName name="lbTOMg" localSheetId="5">[3]units!$D$20</definedName>
    <definedName name="lbTOMg">units!$D$20</definedName>
    <definedName name="lbTON">units!$D$88</definedName>
    <definedName name="lbTOoz" localSheetId="26">[2]units!$D$23</definedName>
    <definedName name="lbTOoz" localSheetId="5">[3]units!$D$23</definedName>
    <definedName name="lbTOoz">units!$D$23</definedName>
    <definedName name="lbTOton">units!$D$21</definedName>
    <definedName name="LTOft3">units!$D$78</definedName>
    <definedName name="LTOgal" localSheetId="26">[2]units!$D$79</definedName>
    <definedName name="LTOgal" localSheetId="5">[3]units!$D$79</definedName>
    <definedName name="LTOgal">units!$D$79</definedName>
    <definedName name="LTOm3" localSheetId="26">[2]units!$D$80</definedName>
    <definedName name="LTOm3" localSheetId="5">[3]units!$D$80</definedName>
    <definedName name="LTOm3">units!$D$80</definedName>
    <definedName name="m2TOacre">units!$D$57</definedName>
    <definedName name="m2TOft2">units!$D$58</definedName>
    <definedName name="m2TOkm2">units!$D$59</definedName>
    <definedName name="m3.dayTOgpm">units!$D$161</definedName>
    <definedName name="m3TOacreft">units!$D$81</definedName>
    <definedName name="m3TOft3">units!$D$82</definedName>
    <definedName name="m3TOgal">units!$D$83</definedName>
    <definedName name="m3TOliter">units!$D$84</definedName>
    <definedName name="massC" localSheetId="26">[2]ref!$C$16</definedName>
    <definedName name="massC" localSheetId="5">[3]ref!$C$16</definedName>
    <definedName name="massC">ref!$C$16</definedName>
    <definedName name="massC3H8">ref!$C$23</definedName>
    <definedName name="massCH4" localSheetId="26">[2]ref!$C$24</definedName>
    <definedName name="massCH4" localSheetId="5">[3]ref!$C$24</definedName>
    <definedName name="massCH4">ref!$C$24</definedName>
    <definedName name="massCO">ref!$C$25</definedName>
    <definedName name="massCO2" localSheetId="26">[2]ref!$C$26</definedName>
    <definedName name="massCO2" localSheetId="5">[3]ref!$C$26</definedName>
    <definedName name="massCO2">ref!$C$26</definedName>
    <definedName name="massH" localSheetId="26">[2]ref!$C$17</definedName>
    <definedName name="massH" localSheetId="5">[3]ref!$C$17</definedName>
    <definedName name="massH">ref!$C$17</definedName>
    <definedName name="massN" localSheetId="26">[2]ref!$C$18</definedName>
    <definedName name="massN" localSheetId="5">[3]ref!$C$18</definedName>
    <definedName name="massN">ref!$C$18</definedName>
    <definedName name="massN2O">ref!$C$27</definedName>
    <definedName name="massNO2">ref!$C$28</definedName>
    <definedName name="massO" localSheetId="26">[2]ref!$C$19</definedName>
    <definedName name="massO" localSheetId="5">[3]ref!$C$19</definedName>
    <definedName name="massO">ref!$C$19</definedName>
    <definedName name="massS" localSheetId="26">[2]ref!$C$20</definedName>
    <definedName name="massS" localSheetId="5">[3]ref!$C$20</definedName>
    <definedName name="massS">ref!$C$20</definedName>
    <definedName name="massSO2">ref!$C$29</definedName>
    <definedName name="Mg.hayrTOton.acreyr">units!$D$203</definedName>
    <definedName name="MgTOton" localSheetId="26">[2]units!$D$22</definedName>
    <definedName name="MgTOton" localSheetId="5">[3]units!$D$22</definedName>
    <definedName name="MgTOton">units!$D$22</definedName>
    <definedName name="mi2TOacre">units!$D$60</definedName>
    <definedName name="mi2TOkm2">units!$D$62</definedName>
    <definedName name="minTOday" localSheetId="26">[2]units!$D$35</definedName>
    <definedName name="minTOday" localSheetId="5">[3]units!$D$35</definedName>
    <definedName name="minTOday">units!$D$35</definedName>
    <definedName name="miTOkm" localSheetId="26">[2]units!$D$11</definedName>
    <definedName name="miTOkm">units!$D$11</definedName>
    <definedName name="MJ.hrTOkW">units!$D$152</definedName>
    <definedName name="MJ.kgTOBtu.lb" localSheetId="26">[2]units!$D$190</definedName>
    <definedName name="MJ.kgTOBtu.lb" localSheetId="5">[3]units!$D$190</definedName>
    <definedName name="MJ.kgTOBtu.lb">units!$D$190</definedName>
    <definedName name="MJ.kgTOkWh.ton">units!$D$191</definedName>
    <definedName name="MJ.kgTOmmBtu.ton">units!$D$192</definedName>
    <definedName name="MJ.kWhTOmmBtu.MWh">units!$D$166</definedName>
    <definedName name="MJ.m3TOBtu.ft3">units!$D$197</definedName>
    <definedName name="MJTOBtu">units!$D$118</definedName>
    <definedName name="MJTOkcal">units!$D$120</definedName>
    <definedName name="MJTOkWh" localSheetId="26">[2]units!$D$119</definedName>
    <definedName name="MJTOkWh" localSheetId="5">[3]units!$D$119</definedName>
    <definedName name="MJTOkWh">units!$D$119</definedName>
    <definedName name="MJTOMWh">units!$D$121</definedName>
    <definedName name="MJTOtherm" localSheetId="26">[2]units!$D$122</definedName>
    <definedName name="MJTOtherm" localSheetId="5">[3]units!$D$122</definedName>
    <definedName name="MJTOtherm">units!$D$122</definedName>
    <definedName name="mmBtu.MWhTOBtu.hph">units!$D$167</definedName>
    <definedName name="mmBtu.MWhTOkJ.kWh">units!$D$168</definedName>
    <definedName name="mmBtu.MWhTOMJ.kWh">units!$D$169</definedName>
    <definedName name="mmBtu.tonTOBtu.lb">units!$D$193</definedName>
    <definedName name="mmBtuTOMJ" localSheetId="26">[2]units!$D$123</definedName>
    <definedName name="mmBtuTOMJ" localSheetId="5">[3]units!$D$123</definedName>
    <definedName name="mmBtuTOMJ">units!$D$123</definedName>
    <definedName name="mmBtuTOMWh">units!$D$124</definedName>
    <definedName name="mmBtuTOtherm" localSheetId="26">[2]units!$D$125</definedName>
    <definedName name="mmBtuTOtherm" localSheetId="5">[3]units!$D$125</definedName>
    <definedName name="mmBtuTOtherm">units!$D$125</definedName>
    <definedName name="mmBtuTOTJ" localSheetId="26">[2]units!$D$126</definedName>
    <definedName name="mmBtuTOTJ" localSheetId="5">[4]units!$D$126</definedName>
    <definedName name="mmBtuTOTJ">units!$D$126</definedName>
    <definedName name="mmTOin">units!$D$12</definedName>
    <definedName name="molVol0degC">ref!$C$36</definedName>
    <definedName name="molVol15degC" localSheetId="26">[2]ref!$C$37</definedName>
    <definedName name="molVol15degC" localSheetId="5">[3]ref!$C$37</definedName>
    <definedName name="molVol15degC">ref!$C$37</definedName>
    <definedName name="molVol60degF" localSheetId="26">[2]ref!$C$38</definedName>
    <definedName name="molVol60degF" localSheetId="5">[3]ref!$C$38</definedName>
    <definedName name="molVol60degF">ref!$C$38</definedName>
    <definedName name="moTOday">units!$D$36</definedName>
    <definedName name="moTOyr">units!$D$37</definedName>
    <definedName name="MtoeTOGWh">units!$D$127</definedName>
    <definedName name="MtoeTOmmBtu">units!$D$128</definedName>
    <definedName name="MtoeTOTJ">units!$D$129</definedName>
    <definedName name="MWhTOGJ" localSheetId="26">[2]units!$D$130</definedName>
    <definedName name="MWhTOGJ" localSheetId="5">[3]units!$D$130</definedName>
    <definedName name="MWhTOGJ">units!$D$130</definedName>
    <definedName name="MWhTOmmBtu">units!$D$131</definedName>
    <definedName name="MWhTOTJ">units!$D$132</definedName>
    <definedName name="MWTOGJ.hr">units!$D$153</definedName>
    <definedName name="MWTOkW">units!$D$154</definedName>
    <definedName name="ng.JTOlb.mmBtu">units!$D$182</definedName>
    <definedName name="ozTOkg">units!$D$24</definedName>
    <definedName name="pop00" localSheetId="26">[2]ref!$C$85</definedName>
    <definedName name="pop00" localSheetId="5">[1]appraisal!$C$4</definedName>
    <definedName name="pop00">ref!$C$86</definedName>
    <definedName name="popKC00" localSheetId="26">[2]ref!#REF!</definedName>
    <definedName name="popKC00" localSheetId="25">ref!#REF!</definedName>
    <definedName name="popKC00">ref!#REF!</definedName>
    <definedName name="popKC01" localSheetId="26">[2]ref!#REF!</definedName>
    <definedName name="popKC01" localSheetId="5">[4]ref!$C$98</definedName>
    <definedName name="popKC01" localSheetId="25">ref!#REF!</definedName>
    <definedName name="popKC01">ref!#REF!</definedName>
    <definedName name="popKC02" localSheetId="26">[2]ref!#REF!</definedName>
    <definedName name="popKC02" localSheetId="5">[4]ref!$C$99</definedName>
    <definedName name="popKC02" localSheetId="25">ref!#REF!</definedName>
    <definedName name="popKC02">ref!#REF!</definedName>
    <definedName name="popKC03" localSheetId="26">[2]ref!#REF!</definedName>
    <definedName name="popKC03" localSheetId="5">[3]ref!$C$118</definedName>
    <definedName name="popKC03" localSheetId="25">ref!#REF!</definedName>
    <definedName name="popKC03">ref!#REF!</definedName>
    <definedName name="popKC04" localSheetId="26">[2]ref!#REF!</definedName>
    <definedName name="popKC04" localSheetId="5">[4]ref!#REF!</definedName>
    <definedName name="popKC04" localSheetId="25">ref!#REF!</definedName>
    <definedName name="popKC04">ref!#REF!</definedName>
    <definedName name="popKC05" localSheetId="26">[2]ref!#REF!</definedName>
    <definedName name="popKC05" localSheetId="5">[3]ref!$C$120</definedName>
    <definedName name="popKC05" localSheetId="25">ref!#REF!</definedName>
    <definedName name="popKC05">ref!#REF!</definedName>
    <definedName name="popKC06" localSheetId="26">[2]ref!#REF!</definedName>
    <definedName name="popKC06" localSheetId="5">[4]ref!#REF!</definedName>
    <definedName name="popKC06" localSheetId="25">ref!#REF!</definedName>
    <definedName name="popKC06">ref!#REF!</definedName>
    <definedName name="popKC07" localSheetId="26">[2]ref!#REF!</definedName>
    <definedName name="popKC07" localSheetId="5">[4]ref!#REF!</definedName>
    <definedName name="popKC07" localSheetId="25">ref!#REF!</definedName>
    <definedName name="popKC07">ref!#REF!</definedName>
    <definedName name="popKC08" localSheetId="26">[2]ref!#REF!</definedName>
    <definedName name="popKC08" localSheetId="5">[3]ref!$C$123</definedName>
    <definedName name="popKC08" localSheetId="25">ref!#REF!</definedName>
    <definedName name="popKC08">ref!#REF!</definedName>
    <definedName name="popKC09" localSheetId="26">[2]ref!#REF!</definedName>
    <definedName name="popKC09" localSheetId="5">[3]ref!$C$124</definedName>
    <definedName name="popKC09" localSheetId="25">ref!#REF!</definedName>
    <definedName name="popKC09">ref!#REF!</definedName>
    <definedName name="popKC10" localSheetId="26">[2]ref!#REF!</definedName>
    <definedName name="popKC10" localSheetId="5">[3]ref!$C$125</definedName>
    <definedName name="popKC10" localSheetId="25">ref!#REF!</definedName>
    <definedName name="popKC10">ref!#REF!</definedName>
    <definedName name="popKC11" localSheetId="26">[2]ref!#REF!</definedName>
    <definedName name="popKC11" localSheetId="5">[4]ref!#REF!</definedName>
    <definedName name="popKC11" localSheetId="25">ref!#REF!</definedName>
    <definedName name="popKC11">ref!#REF!</definedName>
    <definedName name="popKC12" localSheetId="26">[2]ref!#REF!</definedName>
    <definedName name="popKC12" localSheetId="5">[4]ref!#REF!</definedName>
    <definedName name="popKC12" localSheetId="25">ref!#REF!</definedName>
    <definedName name="popKC12">ref!#REF!</definedName>
    <definedName name="popKC13" localSheetId="26">[2]ref!#REF!</definedName>
    <definedName name="popKC13" localSheetId="5">[4]ref!#REF!</definedName>
    <definedName name="popKC13" localSheetId="25">ref!#REF!</definedName>
    <definedName name="popKC13">ref!#REF!</definedName>
    <definedName name="popKC14" localSheetId="26">[2]ref!#REF!</definedName>
    <definedName name="popKC14" localSheetId="5">[3]ref!$C$129</definedName>
    <definedName name="popKC14" localSheetId="25">ref!#REF!</definedName>
    <definedName name="popKC14">ref!#REF!</definedName>
    <definedName name="popKC15" localSheetId="26">[2]ref!#REF!</definedName>
    <definedName name="popKC15" localSheetId="5">[3]ref!$C$130</definedName>
    <definedName name="popKC15" localSheetId="25">ref!#REF!</definedName>
    <definedName name="popKC15">ref!#REF!</definedName>
    <definedName name="popKC90" localSheetId="26">[2]ref!$C$98</definedName>
    <definedName name="popKC90" localSheetId="5">[3]ref!#REF!</definedName>
    <definedName name="popKC90" localSheetId="25">ref!#REF!</definedName>
    <definedName name="popKC90">ref!#REF!</definedName>
    <definedName name="popKitsap11">[2]ref!$C$85</definedName>
    <definedName name="popKitsap15">[2]ref!$C$86</definedName>
    <definedName name="popPierce11">[4]ref!$C$86</definedName>
    <definedName name="popPierce15">[4]ref!$C$87</definedName>
    <definedName name="popSea00" localSheetId="5">[1]appraisal!$C$4</definedName>
    <definedName name="popSea00">ref!$C$86</definedName>
    <definedName name="popSea03" localSheetId="5">[3]ref!$C$105</definedName>
    <definedName name="popSea03">ref!$C$87</definedName>
    <definedName name="popSea05" localSheetId="5">[1]appraisal!$C$6</definedName>
    <definedName name="popSea05">ref!$C$88</definedName>
    <definedName name="popSea08" localSheetId="5">[3]ref!$C$107</definedName>
    <definedName name="popSea08">ref!$C$89</definedName>
    <definedName name="popSea15" localSheetId="5">[3]ref!$C$108</definedName>
    <definedName name="popSea15">ref!$C$90</definedName>
    <definedName name="popSea2005" localSheetId="5">[1]appraisal!$C$6</definedName>
    <definedName name="popSea2005">ref!$C$88</definedName>
    <definedName name="popSea2008">ref!$C$89</definedName>
    <definedName name="popSea90" localSheetId="26">[2]ref!#REF!</definedName>
    <definedName name="popSea90" localSheetId="5">[1]appraisal!$C$3</definedName>
    <definedName name="popSea90" localSheetId="25">ref!#REF!</definedName>
    <definedName name="popSea90">ref!#REF!</definedName>
    <definedName name="popSno11">ref!$C$84</definedName>
    <definedName name="popSno15">ref!$C$85</definedName>
    <definedName name="popUS03">ref!$C$110</definedName>
    <definedName name="popUS04">ref!$C$111</definedName>
    <definedName name="popUS05" localSheetId="5">[3]ref!$C$162</definedName>
    <definedName name="popUS05">ref!$C$112</definedName>
    <definedName name="popUS06">ref!$C$113</definedName>
    <definedName name="popUS07">ref!$C$114</definedName>
    <definedName name="popUS08">ref!$C$115</definedName>
    <definedName name="popUS09">[3]ref!$C$166</definedName>
    <definedName name="popUS15" localSheetId="26">[2]ref!$C$119</definedName>
    <definedName name="popUS15" localSheetId="5">[3]ref!$C$167</definedName>
    <definedName name="popUS15">ref!$C$116</definedName>
    <definedName name="popUS90" localSheetId="5">[3]ref!#REF!</definedName>
    <definedName name="popUS90" localSheetId="25">ref!#REF!</definedName>
    <definedName name="popUS90">ref!#REF!</definedName>
    <definedName name="popWA03" localSheetId="5">[3]ref!$C$149</definedName>
    <definedName name="popWA03">ref!$C$99</definedName>
    <definedName name="popWA07">ref!$C$100</definedName>
    <definedName name="popWA08" localSheetId="5">[3]ref!$C$151</definedName>
    <definedName name="popWA08">ref!$C$101</definedName>
    <definedName name="popWA10">ref!$C$102</definedName>
    <definedName name="popWA11" localSheetId="26">[2]ref!$C$104</definedName>
    <definedName name="popWA11" localSheetId="5">[4]ref!$C$105</definedName>
    <definedName name="popWA11">ref!$C$103</definedName>
    <definedName name="popWA12">ref!$C$104</definedName>
    <definedName name="popWA13">ref!$C$105</definedName>
    <definedName name="popWA14">ref!$C$106</definedName>
    <definedName name="popWA15" localSheetId="26">[2]ref!$C$108</definedName>
    <definedName name="popWA15" localSheetId="5">[4]ref!$C$109</definedName>
    <definedName name="popWA15">ref!$C$107</definedName>
    <definedName name="portcalls05" localSheetId="26">[2]ref!#REF!</definedName>
    <definedName name="portcalls05" localSheetId="5">[4]ref!#REF!</definedName>
    <definedName name="portcalls05" localSheetId="25">ref!#REF!</definedName>
    <definedName name="portcalls05">ref!#REF!</definedName>
    <definedName name="portcalls08" localSheetId="26">[2]ref!#REF!</definedName>
    <definedName name="portcalls08" localSheetId="5">[4]ref!#REF!</definedName>
    <definedName name="portcalls08" localSheetId="25">ref!#REF!</definedName>
    <definedName name="portcalls08">ref!#REF!</definedName>
    <definedName name="portton05" localSheetId="26">[2]ref!#REF!</definedName>
    <definedName name="portton05" localSheetId="5">[4]ref!#REF!</definedName>
    <definedName name="portton05" localSheetId="25">ref!#REF!</definedName>
    <definedName name="portton05">ref!#REF!</definedName>
    <definedName name="portton08" localSheetId="26">[2]ref!#REF!</definedName>
    <definedName name="portton08" localSheetId="5">[4]ref!#REF!</definedName>
    <definedName name="portton08" localSheetId="25">ref!#REF!</definedName>
    <definedName name="portton08">ref!#REF!</definedName>
    <definedName name="psiTOPa">units!$D$95</definedName>
    <definedName name="quad.yrTOGW">units!$D$155</definedName>
    <definedName name="quadTOEJ" localSheetId="26">[2]units!$D$133</definedName>
    <definedName name="quadTOEJ" localSheetId="5">[3]units!$D$133</definedName>
    <definedName name="quadTOEJ">units!$D$133</definedName>
    <definedName name="quadTOTWh" localSheetId="26">[2]units!$D$134</definedName>
    <definedName name="quadTOTWh" localSheetId="5">[3]units!$D$134</definedName>
    <definedName name="quadTOTWh">units!$D$134</definedName>
    <definedName name="shorepow05" localSheetId="26">[2]ref!#REF!</definedName>
    <definedName name="shorepow05" localSheetId="5">[3]ref!$C$98</definedName>
    <definedName name="shorepow05" localSheetId="25">ref!#REF!</definedName>
    <definedName name="shorepow05">ref!#REF!</definedName>
    <definedName name="shorepow08" localSheetId="26">[2]ref!#REF!</definedName>
    <definedName name="shorepow08" localSheetId="5">[3]ref!$C$99</definedName>
    <definedName name="shorepow08" localSheetId="25">ref!#REF!</definedName>
    <definedName name="shorepow08">ref!#REF!</definedName>
    <definedName name="SO2.S">ref!$C$7</definedName>
    <definedName name="sTOday">units!$D$38</definedName>
    <definedName name="sTOhr">units!$D$39</definedName>
    <definedName name="STPvolume">ref!$C$36</definedName>
    <definedName name="Tg.quadTOlb.mmBtu">units!$D$183</definedName>
    <definedName name="thermTOBtu" localSheetId="26">[2]units!$D$135</definedName>
    <definedName name="thermTOBtu" localSheetId="5">[3]units!$D$135</definedName>
    <definedName name="thermTOBtu">units!$D$135</definedName>
    <definedName name="thermTOGJ">units!$D$136</definedName>
    <definedName name="thermTOkWh">units!$D$137</definedName>
    <definedName name="thermTOMJ" localSheetId="26">[2]units!$D$138</definedName>
    <definedName name="thermTOMJ" localSheetId="5">[3]units!$D$138</definedName>
    <definedName name="thermTOMJ">units!$D$138</definedName>
    <definedName name="thermTOTJ" localSheetId="26">[2]units!$D$139</definedName>
    <definedName name="thermTOTJ" localSheetId="5">[3]units!$D$139</definedName>
    <definedName name="thermTOTJ">units!$D$139</definedName>
    <definedName name="ton.GWhTOlb.MWh">units!$D$184</definedName>
    <definedName name="tonTOkg" localSheetId="26">[2]units!$D$26</definedName>
    <definedName name="tonTOkg" localSheetId="5">[3]units!$D$26</definedName>
    <definedName name="tonTOkg">units!$D$26</definedName>
    <definedName name="tonTOlb">units!$D$25</definedName>
    <definedName name="tonTOMg" localSheetId="26">[2]units!$D$27</definedName>
    <definedName name="tonTOMg" localSheetId="5">[3]units!$D$27</definedName>
    <definedName name="tonTOMg">units!$D$27</definedName>
    <definedName name="TWh.yrTOGW">units!$D$156</definedName>
    <definedName name="TWhTOEJ" localSheetId="26">[2]units!$D$140</definedName>
    <definedName name="TWhTOEJ" localSheetId="5">[3]units!$D$140</definedName>
    <definedName name="TWhTOEJ">units!$D$140</definedName>
    <definedName name="TWhTOquad">units!$D$141</definedName>
    <definedName name="WhTOBtu">units!$D$142</definedName>
    <definedName name="WhTOJ" localSheetId="26">[2]units!$D$143</definedName>
    <definedName name="WhTOJ" localSheetId="5">[3]units!$D$143</definedName>
    <definedName name="WhTOJ">units!$D$143</definedName>
    <definedName name="yd2TOft2">units!$D$61</definedName>
    <definedName name="yd3TOm3">units!$D$85</definedName>
    <definedName name="yrTOday" localSheetId="26">[2]units!$D$40</definedName>
    <definedName name="yrTOday" localSheetId="5">[3]units!$D$40</definedName>
    <definedName name="yrTOday">units!$D$40</definedName>
    <definedName name="yrTOhr">units!$D$41</definedName>
    <definedName name="yrTOmo" localSheetId="26">[2]units!$D$42</definedName>
    <definedName name="yrTOmo" localSheetId="5">[3]units!$D$42</definedName>
    <definedName name="yrTOmo">units!$D$42</definedName>
    <definedName name="Z_0347A67A_6027_4907_965C_6EA2A8295536_.wvu.FilterData" localSheetId="5" hidden="1">Summary_RptTbls!$A$5:$A$43</definedName>
    <definedName name="Z_148807DA_DC7F_48F6_900B_8E648294F675_.wvu.FilterData" localSheetId="5" hidden="1">Summary_RptTbls!$A$5:$A$43</definedName>
    <definedName name="Z_15CC7F3D_99AB_49C1_AC00_E04D3FE3FBC1_.wvu.FilterData" localSheetId="5" hidden="1">Summary_RptTbls!$A$5:$A$43</definedName>
    <definedName name="Z_2244A6F8_9CF7_4B23_AC4D_0BBEEBDA03F7_.wvu.FilterData" localSheetId="5" hidden="1">Summary_RptTbls!$A$5:$A$43</definedName>
    <definedName name="Z_4237B1B3_F4A7_4B81_B1DB_AE68C49ABC17_.wvu.FilterData" localSheetId="5" hidden="1">Summary_RptTbls!$A$5:$A$43</definedName>
    <definedName name="Z_96446923_140B_4689_9AD5_1EF43A68CD7A_.wvu.FilterData" localSheetId="5" hidden="1">Summary_RptTbls!$A$5:$A$43</definedName>
    <definedName name="Z_9BEC6399_AE85_4D88_8FBA_3674E2F30307_.wvu.FilterData" localSheetId="5" hidden="1">Summary_RptTbls!$A$5:$A$43</definedName>
  </definedNames>
  <calcPr calcId="152511"/>
</workbook>
</file>

<file path=xl/calcChain.xml><?xml version="1.0" encoding="utf-8"?>
<calcChain xmlns="http://schemas.openxmlformats.org/spreadsheetml/2006/main">
  <c r="F6" i="78" l="1"/>
  <c r="B134" i="78" l="1"/>
  <c r="B136" i="78" s="1"/>
  <c r="B129" i="78"/>
  <c r="B131" i="78" s="1"/>
  <c r="B124" i="78"/>
  <c r="B126" i="78" s="1"/>
  <c r="B119" i="78"/>
  <c r="B121" i="78" s="1"/>
  <c r="B138" i="78" s="1"/>
  <c r="B60" i="78"/>
  <c r="B88" i="78" s="1"/>
  <c r="B89" i="78" s="1"/>
  <c r="B40" i="78"/>
  <c r="B78" i="78" s="1"/>
  <c r="B79" i="78" s="1"/>
  <c r="B31" i="78"/>
  <c r="B97" i="78" s="1"/>
  <c r="B98" i="78" s="1"/>
  <c r="B29" i="40"/>
  <c r="B27" i="40"/>
  <c r="B22" i="40"/>
  <c r="B16" i="40"/>
  <c r="B10" i="40"/>
  <c r="B21" i="34"/>
  <c r="B19" i="34"/>
  <c r="B15" i="34"/>
  <c r="B11" i="34"/>
  <c r="B22" i="36" l="1"/>
  <c r="B20" i="36"/>
  <c r="B16" i="36"/>
  <c r="B12" i="36"/>
  <c r="B31" i="86" l="1"/>
  <c r="O31" i="86" s="1"/>
  <c r="B16" i="60" l="1"/>
  <c r="B11" i="60"/>
  <c r="B24" i="33" l="1"/>
  <c r="B25" i="33" s="1"/>
  <c r="B16" i="43" l="1"/>
  <c r="B17" i="43" s="1"/>
  <c r="B30" i="73" l="1"/>
  <c r="B11" i="73"/>
  <c r="B15" i="73"/>
  <c r="B7" i="73"/>
  <c r="B10" i="60" l="1"/>
  <c r="B12" i="44" l="1"/>
  <c r="B14" i="38"/>
  <c r="B32" i="38" l="1"/>
  <c r="B10" i="33"/>
  <c r="B11" i="33" s="1"/>
  <c r="E12" i="44" l="1"/>
  <c r="B12" i="41" l="1"/>
  <c r="B43" i="43" l="1"/>
  <c r="B42" i="43"/>
  <c r="B41" i="43"/>
  <c r="B11" i="86" l="1"/>
  <c r="B30" i="86" l="1"/>
  <c r="O30" i="86" s="1"/>
  <c r="I25" i="86"/>
  <c r="I27" i="86" s="1"/>
  <c r="I26" i="86" s="1"/>
  <c r="I20" i="86"/>
  <c r="I21" i="86" s="1"/>
  <c r="I22" i="86" s="1"/>
  <c r="I44" i="86" s="1"/>
  <c r="O18" i="86"/>
  <c r="I13" i="86"/>
  <c r="I15" i="86" s="1"/>
  <c r="I14" i="86" s="1"/>
  <c r="I17" i="86" s="1"/>
  <c r="I16" i="86" s="1"/>
  <c r="I18" i="86" s="1"/>
  <c r="O11" i="86"/>
  <c r="I8" i="86"/>
  <c r="I9" i="86" s="1"/>
  <c r="I10" i="86" s="1"/>
  <c r="I11" i="86" s="1"/>
  <c r="B3" i="86"/>
  <c r="T45" i="86" s="1"/>
  <c r="T30" i="86" l="1"/>
  <c r="T18" i="86"/>
  <c r="T11" i="86"/>
  <c r="B41" i="86" l="1"/>
  <c r="O41" i="86" s="1"/>
  <c r="T41" i="86" l="1"/>
  <c r="B27" i="84" l="1"/>
  <c r="B171" i="84"/>
  <c r="B170" i="84"/>
  <c r="B157" i="84"/>
  <c r="B156" i="84"/>
  <c r="B144" i="84"/>
  <c r="B134" i="84"/>
  <c r="B147" i="84"/>
  <c r="B138" i="84"/>
  <c r="B137" i="84"/>
  <c r="B106" i="84"/>
  <c r="B114" i="84" s="1"/>
  <c r="B124" i="84"/>
  <c r="B127" i="84" s="1"/>
  <c r="B113" i="84"/>
  <c r="B94" i="84"/>
  <c r="B93" i="84"/>
  <c r="B65" i="84"/>
  <c r="B14" i="84"/>
  <c r="B22" i="84"/>
  <c r="B33" i="84"/>
  <c r="B47" i="84"/>
  <c r="B75" i="84"/>
  <c r="B74" i="84"/>
  <c r="B61" i="84"/>
  <c r="B46" i="84"/>
  <c r="B32" i="84"/>
  <c r="B21" i="84"/>
  <c r="B20" i="84"/>
  <c r="B19" i="84"/>
  <c r="B13" i="84"/>
  <c r="B12" i="84"/>
  <c r="B11" i="84"/>
  <c r="B9" i="84"/>
  <c r="B97" i="84" l="1"/>
  <c r="B158" i="84"/>
  <c r="B96" i="84"/>
  <c r="B99" i="84"/>
  <c r="B100" i="84"/>
  <c r="B98" i="84"/>
  <c r="B101" i="84"/>
  <c r="B80" i="84"/>
  <c r="B150" i="84"/>
  <c r="B82" i="84"/>
  <c r="B140" i="84"/>
  <c r="B81" i="84"/>
  <c r="B172" i="84"/>
  <c r="B48" i="84"/>
  <c r="B15" i="84"/>
  <c r="B128" i="84"/>
  <c r="B129" i="84" s="1"/>
  <c r="B77" i="84"/>
  <c r="B78" i="84"/>
  <c r="B79" i="84"/>
  <c r="B34" i="84"/>
  <c r="B23" i="84"/>
  <c r="B174" i="84" l="1"/>
  <c r="B50" i="84"/>
  <c r="B102" i="84"/>
  <c r="B178" i="84" l="1"/>
  <c r="B36" i="86" s="1"/>
  <c r="O36" i="86" s="1"/>
  <c r="T36" i="86" s="1"/>
  <c r="B21" i="60"/>
  <c r="B36" i="43"/>
  <c r="B34" i="35"/>
  <c r="B33" i="35"/>
  <c r="B36" i="35" s="1"/>
  <c r="B28" i="35"/>
  <c r="B29" i="35" s="1"/>
  <c r="B22" i="35"/>
  <c r="B13" i="35"/>
  <c r="B14" i="35" s="1"/>
  <c r="B37" i="35" l="1"/>
  <c r="B41" i="37" l="1"/>
  <c r="B39" i="37"/>
  <c r="B62" i="78" l="1"/>
  <c r="B65" i="78" s="1"/>
  <c r="B66" i="78" s="1"/>
  <c r="B61" i="78"/>
  <c r="B112" i="78" s="1"/>
  <c r="B113" i="78" s="1"/>
  <c r="B52" i="78"/>
  <c r="B55" i="78" s="1"/>
  <c r="B56" i="78" s="1"/>
  <c r="B51" i="78"/>
  <c r="B107" i="78" s="1"/>
  <c r="B108" i="78" s="1"/>
  <c r="B50" i="78"/>
  <c r="B83" i="78" s="1"/>
  <c r="B84" i="78" s="1"/>
  <c r="B42" i="78"/>
  <c r="B45" i="78" s="1"/>
  <c r="B46" i="78" s="1"/>
  <c r="B41" i="78"/>
  <c r="B102" i="78" s="1"/>
  <c r="B103" i="78" s="1"/>
  <c r="B32" i="78"/>
  <c r="B35" i="78" s="1"/>
  <c r="B115" i="78" l="1"/>
  <c r="B14" i="83"/>
  <c r="B13" i="83"/>
  <c r="B171" i="83"/>
  <c r="B173" i="83" s="1"/>
  <c r="B125" i="83"/>
  <c r="B124" i="83"/>
  <c r="B122" i="83"/>
  <c r="B94" i="83"/>
  <c r="B98" i="83" s="1"/>
  <c r="B90" i="83"/>
  <c r="B102" i="83" s="1"/>
  <c r="B36" i="83"/>
  <c r="B35" i="83"/>
  <c r="B34" i="83"/>
  <c r="B33" i="83"/>
  <c r="B32" i="83"/>
  <c r="B31" i="83"/>
  <c r="B30" i="83"/>
  <c r="B29" i="83"/>
  <c r="B137" i="83"/>
  <c r="B152" i="83" s="1"/>
  <c r="B129" i="83" l="1"/>
  <c r="B133" i="83"/>
  <c r="B148" i="83" s="1"/>
  <c r="B172" i="83"/>
  <c r="B174" i="83" s="1"/>
  <c r="B175" i="83" s="1"/>
  <c r="B42" i="86" s="1"/>
  <c r="O42" i="86" s="1"/>
  <c r="T42" i="86" s="1"/>
  <c r="B130" i="83"/>
  <c r="B145" i="83" s="1"/>
  <c r="B134" i="83"/>
  <c r="B149" i="83" s="1"/>
  <c r="B37" i="83"/>
  <c r="B38" i="83" s="1"/>
  <c r="B39" i="83" s="1"/>
  <c r="B38" i="86" s="1"/>
  <c r="O38" i="86" s="1"/>
  <c r="B144" i="83"/>
  <c r="B104" i="83"/>
  <c r="B135" i="83"/>
  <c r="B150" i="83" s="1"/>
  <c r="B97" i="83"/>
  <c r="B101" i="83"/>
  <c r="B132" i="83"/>
  <c r="B147" i="83" s="1"/>
  <c r="B136" i="83"/>
  <c r="B99" i="83"/>
  <c r="B103" i="83"/>
  <c r="B96" i="83"/>
  <c r="B100" i="83"/>
  <c r="B131" i="83"/>
  <c r="B146" i="83" s="1"/>
  <c r="T38" i="86" l="1"/>
  <c r="B105" i="83"/>
  <c r="B106" i="83" s="1"/>
  <c r="B138" i="83"/>
  <c r="B139" i="83" s="1"/>
  <c r="B141" i="83" s="1"/>
  <c r="B178" i="83" s="1"/>
  <c r="B151" i="83"/>
  <c r="B153" i="83" s="1"/>
  <c r="B154" i="83" s="1"/>
  <c r="B156" i="83" s="1"/>
  <c r="B39" i="86" s="1"/>
  <c r="O39" i="86" s="1"/>
  <c r="T39" i="86" s="1"/>
  <c r="O37" i="86" l="1"/>
  <c r="T37" i="86" l="1"/>
  <c r="B30" i="78"/>
  <c r="B73" i="78" s="1"/>
  <c r="B74" i="78" s="1"/>
  <c r="B91" i="78" s="1"/>
  <c r="B36" i="78"/>
  <c r="B68" i="78" s="1"/>
  <c r="B140" i="78" s="1"/>
  <c r="B56" i="60"/>
  <c r="B57" i="60"/>
  <c r="B37" i="60"/>
  <c r="B36" i="60"/>
  <c r="B46" i="60"/>
  <c r="B47" i="60"/>
  <c r="B50" i="60"/>
  <c r="B55" i="60" s="1"/>
  <c r="B59" i="60" s="1"/>
  <c r="B76" i="60"/>
  <c r="B70" i="60"/>
  <c r="B25" i="86"/>
  <c r="O25" i="86" s="1"/>
  <c r="B26" i="86" l="1"/>
  <c r="O26" i="86" s="1"/>
  <c r="T26" i="86" s="1"/>
  <c r="T25" i="86"/>
  <c r="B14" i="39"/>
  <c r="B15" i="39" s="1"/>
  <c r="B8" i="39"/>
  <c r="B17" i="39" l="1"/>
  <c r="B44" i="86" s="1"/>
  <c r="O44" i="86" s="1"/>
  <c r="T44" i="86" s="1"/>
  <c r="C147" i="79"/>
  <c r="C141" i="79"/>
  <c r="C134" i="79"/>
  <c r="E129" i="79"/>
  <c r="E128" i="79"/>
  <c r="E127" i="79"/>
  <c r="E126" i="79"/>
  <c r="E125" i="79"/>
  <c r="E124" i="79"/>
  <c r="C120" i="79"/>
  <c r="C113" i="79"/>
  <c r="E108" i="79"/>
  <c r="E107" i="79"/>
  <c r="E106" i="79"/>
  <c r="E105" i="79"/>
  <c r="E104" i="79"/>
  <c r="E103" i="79"/>
  <c r="C97" i="79"/>
  <c r="E94" i="79"/>
  <c r="E93" i="79"/>
  <c r="E92" i="79"/>
  <c r="E91" i="79"/>
  <c r="E90" i="79"/>
  <c r="E89" i="79"/>
  <c r="C83" i="79"/>
  <c r="C7" i="79"/>
  <c r="E18" i="30"/>
  <c r="B26" i="33" l="1"/>
  <c r="B22" i="33" s="1"/>
  <c r="B23" i="35"/>
  <c r="B38" i="35"/>
  <c r="B16" i="86" s="1"/>
  <c r="O16" i="86" s="1"/>
  <c r="T16" i="86" s="1"/>
  <c r="B17" i="86"/>
  <c r="O17" i="86" s="1"/>
  <c r="T17" i="86" s="1"/>
  <c r="B33" i="38"/>
  <c r="B15" i="38" l="1"/>
  <c r="B16" i="38" s="1"/>
  <c r="B22" i="38"/>
  <c r="B23" i="38" s="1"/>
  <c r="B72" i="30" l="1"/>
  <c r="B73" i="30" s="1"/>
  <c r="B39" i="38" l="1"/>
  <c r="B41" i="38" s="1"/>
  <c r="B42" i="38" s="1"/>
  <c r="J89" i="10"/>
  <c r="I89" i="10"/>
  <c r="I88" i="10"/>
  <c r="J98" i="10"/>
  <c r="I98" i="10"/>
  <c r="J97" i="10"/>
  <c r="I97" i="10"/>
  <c r="J96" i="10"/>
  <c r="I96" i="10"/>
  <c r="J88" i="10"/>
  <c r="J86" i="10"/>
  <c r="I86" i="10"/>
  <c r="B44" i="38" l="1"/>
  <c r="B22" i="86" s="1"/>
  <c r="O22" i="86" s="1"/>
  <c r="T22" i="86" s="1"/>
  <c r="B29" i="43"/>
  <c r="B20" i="43" s="1"/>
  <c r="B17" i="29"/>
  <c r="B15" i="29"/>
  <c r="B14" i="29"/>
  <c r="B18" i="29" s="1"/>
  <c r="B28" i="86" s="1"/>
  <c r="O28" i="86" s="1"/>
  <c r="T28" i="86" s="1"/>
  <c r="B23" i="43" l="1"/>
  <c r="B13" i="86" s="1"/>
  <c r="O13" i="86" s="1"/>
  <c r="T13" i="86" s="1"/>
  <c r="B8" i="86"/>
  <c r="O8" i="86" s="1"/>
  <c r="B35" i="43"/>
  <c r="B26" i="43"/>
  <c r="B20" i="86" s="1"/>
  <c r="O20" i="86" s="1"/>
  <c r="B16" i="29"/>
  <c r="T20" i="86" l="1"/>
  <c r="T8" i="86"/>
  <c r="B57" i="30"/>
  <c r="B59" i="30" s="1"/>
  <c r="B50" i="30"/>
  <c r="B51" i="30" s="1"/>
  <c r="B35" i="86" l="1"/>
  <c r="O35" i="86" s="1"/>
  <c r="B10" i="86"/>
  <c r="O10" i="86" s="1"/>
  <c r="T35" i="86" l="1"/>
  <c r="O34" i="86"/>
  <c r="T34" i="86" s="1"/>
  <c r="T10" i="86"/>
  <c r="B58" i="30"/>
  <c r="B60" i="30" s="1"/>
  <c r="B42" i="37" l="1"/>
  <c r="B36" i="37"/>
  <c r="B25" i="37"/>
  <c r="B24" i="37"/>
  <c r="B19" i="37"/>
  <c r="B17" i="37"/>
  <c r="B28" i="30"/>
  <c r="B36" i="30" s="1"/>
  <c r="B39" i="30" s="1"/>
  <c r="B27" i="30"/>
  <c r="B35" i="30" s="1"/>
  <c r="B38" i="30" s="1"/>
  <c r="B43" i="37" l="1"/>
  <c r="B21" i="37"/>
  <c r="B26" i="37"/>
  <c r="B27" i="37" l="1"/>
  <c r="B33" i="43" l="1"/>
  <c r="B34" i="43" s="1"/>
  <c r="B45" i="43"/>
  <c r="B44" i="43" l="1"/>
  <c r="B46" i="43" s="1"/>
  <c r="B33" i="86" l="1"/>
  <c r="O33" i="86" s="1"/>
  <c r="T33" i="86" l="1"/>
  <c r="O32" i="86"/>
  <c r="T32" i="86" s="1"/>
  <c r="B41" i="30"/>
  <c r="B61" i="30" l="1"/>
  <c r="B74" i="30" s="1"/>
  <c r="B29" i="86" s="1"/>
  <c r="O29" i="86" s="1"/>
  <c r="T29" i="86" s="1"/>
  <c r="B32" i="73"/>
  <c r="B33" i="73" s="1"/>
  <c r="B34" i="73" s="1"/>
  <c r="B36" i="73" l="1"/>
  <c r="H67" i="77"/>
  <c r="AC29" i="77" l="1"/>
  <c r="X29" i="77"/>
  <c r="AD30" i="77"/>
  <c r="AD31" i="77" s="1"/>
  <c r="Z30" i="77"/>
  <c r="Z31" i="77" s="1"/>
  <c r="AA30" i="77"/>
  <c r="AA31" i="77" s="1"/>
  <c r="W30" i="77"/>
  <c r="W31" i="77" s="1"/>
  <c r="AB29" i="77"/>
  <c r="V30" i="77"/>
  <c r="V31" i="77" s="1"/>
  <c r="Y29" i="77"/>
  <c r="AA29" i="77"/>
  <c r="W29" i="77"/>
  <c r="AC30" i="77"/>
  <c r="AC31" i="77" s="1"/>
  <c r="Y30" i="77"/>
  <c r="Y31" i="77" s="1"/>
  <c r="V29" i="77"/>
  <c r="Z29" i="77"/>
  <c r="AD29" i="77"/>
  <c r="AB30" i="77"/>
  <c r="AB31" i="77" s="1"/>
  <c r="X30" i="77"/>
  <c r="X31" i="77" s="1"/>
  <c r="H55" i="77" l="1"/>
  <c r="H54" i="77" l="1"/>
  <c r="G16" i="77"/>
  <c r="G54" i="77" l="1"/>
  <c r="G39" i="77" l="1"/>
  <c r="G38" i="77"/>
  <c r="G28" i="77" l="1"/>
  <c r="D113" i="77" l="1"/>
  <c r="D114" i="77" l="1"/>
  <c r="G46" i="77" l="1"/>
  <c r="G45" i="77"/>
  <c r="G49" i="77"/>
  <c r="G47" i="77"/>
  <c r="G51" i="77" l="1"/>
  <c r="G48" i="77"/>
  <c r="F40" i="32" l="1"/>
  <c r="B40" i="32"/>
  <c r="B33" i="32" l="1"/>
  <c r="B32" i="32"/>
  <c r="B34" i="32" l="1"/>
  <c r="B36" i="32" s="1"/>
  <c r="B44" i="32" s="1"/>
  <c r="B45" i="32" s="1"/>
  <c r="F11" i="32" l="1"/>
  <c r="F21" i="32" s="1"/>
  <c r="F12" i="32"/>
  <c r="F44" i="32"/>
  <c r="F45" i="32" s="1"/>
  <c r="C4" i="10"/>
  <c r="B40" i="37" s="1"/>
  <c r="C6" i="10"/>
  <c r="C7" i="10"/>
  <c r="C8" i="10"/>
  <c r="C11" i="10"/>
  <c r="C35" i="10" s="1"/>
  <c r="C38" i="10" s="1"/>
  <c r="C23" i="10"/>
  <c r="C24" i="10"/>
  <c r="C25" i="10"/>
  <c r="C26" i="10"/>
  <c r="C27" i="10"/>
  <c r="C28" i="10"/>
  <c r="C29" i="10"/>
  <c r="C36" i="10"/>
  <c r="C37" i="10"/>
  <c r="D8" i="9"/>
  <c r="D6" i="9" s="1"/>
  <c r="D10" i="9"/>
  <c r="D12" i="9"/>
  <c r="D17" i="9"/>
  <c r="D18" i="9"/>
  <c r="D20" i="9"/>
  <c r="D21" i="9"/>
  <c r="D22" i="9"/>
  <c r="D24" i="9"/>
  <c r="D26" i="9"/>
  <c r="D31" i="9"/>
  <c r="D34" i="9"/>
  <c r="D156" i="9" s="1"/>
  <c r="D149" i="9" s="1"/>
  <c r="D35" i="9"/>
  <c r="D36" i="9"/>
  <c r="D37" i="9"/>
  <c r="D39" i="9"/>
  <c r="D51" i="9"/>
  <c r="D52" i="9"/>
  <c r="D54" i="9"/>
  <c r="D57" i="9"/>
  <c r="D58" i="9"/>
  <c r="D60" i="9"/>
  <c r="D69" i="9"/>
  <c r="D73" i="9"/>
  <c r="D74" i="9"/>
  <c r="D75" i="9"/>
  <c r="D79" i="9"/>
  <c r="D81" i="9"/>
  <c r="D82" i="9"/>
  <c r="D83" i="9"/>
  <c r="D84" i="9"/>
  <c r="D100" i="9"/>
  <c r="D102" i="9"/>
  <c r="D103" i="9"/>
  <c r="D142" i="9" s="1"/>
  <c r="D104" i="9"/>
  <c r="D111" i="9"/>
  <c r="D112" i="9"/>
  <c r="D113" i="9"/>
  <c r="D114" i="9"/>
  <c r="D120" i="9" s="1"/>
  <c r="D116" i="9"/>
  <c r="D117" i="9"/>
  <c r="D119" i="9" s="1"/>
  <c r="D121" i="9" s="1"/>
  <c r="D118" i="9"/>
  <c r="D123" i="9"/>
  <c r="D126" i="9" s="1"/>
  <c r="D124" i="9"/>
  <c r="D131" i="9" s="1"/>
  <c r="D137" i="9"/>
  <c r="D140" i="9"/>
  <c r="D106" i="9" s="1"/>
  <c r="D146" i="9"/>
  <c r="D153" i="9" s="1"/>
  <c r="D151" i="9"/>
  <c r="D160" i="9"/>
  <c r="D161" i="9" s="1"/>
  <c r="D164" i="9"/>
  <c r="D167" i="9" s="1"/>
  <c r="D168" i="9"/>
  <c r="D165" i="9" s="1"/>
  <c r="D183" i="9"/>
  <c r="D177" i="9" s="1"/>
  <c r="D184" i="9"/>
  <c r="D181" i="9" s="1"/>
  <c r="D193" i="9"/>
  <c r="D188" i="9" s="1"/>
  <c r="C146" i="79" l="1"/>
  <c r="C111" i="79"/>
  <c r="C6" i="79"/>
  <c r="C140" i="79"/>
  <c r="C133" i="79"/>
  <c r="C98" i="79"/>
  <c r="C119" i="79"/>
  <c r="C84" i="79"/>
  <c r="C151" i="79"/>
  <c r="B45" i="37"/>
  <c r="B47" i="37" s="1"/>
  <c r="B21" i="86" s="1"/>
  <c r="O21" i="86" s="1"/>
  <c r="B37" i="73"/>
  <c r="B39" i="73" s="1"/>
  <c r="B43" i="86" s="1"/>
  <c r="O43" i="86" s="1"/>
  <c r="D141" i="9"/>
  <c r="D134" i="9" s="1"/>
  <c r="D155" i="9" s="1"/>
  <c r="D148" i="9" s="1"/>
  <c r="D107" i="9"/>
  <c r="D152" i="9"/>
  <c r="D130" i="9"/>
  <c r="D180" i="9" s="1"/>
  <c r="D174" i="9" s="1"/>
  <c r="D200" i="9"/>
  <c r="F22" i="32"/>
  <c r="C5" i="10"/>
  <c r="D203" i="9"/>
  <c r="D182" i="9"/>
  <c r="D176" i="9" s="1"/>
  <c r="D173" i="9"/>
  <c r="D179" i="9" s="1"/>
  <c r="D189" i="9"/>
  <c r="D191" i="9" s="1"/>
  <c r="D115" i="9"/>
  <c r="D109" i="9" s="1"/>
  <c r="D110" i="9" s="1"/>
  <c r="D187" i="9"/>
  <c r="D190" i="9" s="1"/>
  <c r="D192" i="9" s="1"/>
  <c r="D175" i="9"/>
  <c r="C46" i="10"/>
  <c r="C44" i="10"/>
  <c r="D172" i="9"/>
  <c r="D178" i="9" s="1"/>
  <c r="C41" i="10"/>
  <c r="D196" i="9"/>
  <c r="D197" i="9" s="1"/>
  <c r="D169" i="9"/>
  <c r="D166" i="9" s="1"/>
  <c r="C47" i="10"/>
  <c r="C42" i="10"/>
  <c r="C52" i="10"/>
  <c r="C55" i="10"/>
  <c r="C51" i="10"/>
  <c r="C50" i="10"/>
  <c r="C54" i="10"/>
  <c r="C53" i="10"/>
  <c r="C45" i="10"/>
  <c r="C43" i="10"/>
  <c r="C56" i="10"/>
  <c r="T21" i="86" l="1"/>
  <c r="O19" i="86"/>
  <c r="T43" i="86"/>
  <c r="O40" i="86"/>
  <c r="C32" i="79"/>
  <c r="C29" i="79"/>
  <c r="C30" i="79"/>
  <c r="C31" i="79"/>
  <c r="C28" i="79"/>
  <c r="C27" i="79"/>
  <c r="D108" i="9"/>
  <c r="D132" i="9"/>
  <c r="G13" i="77"/>
  <c r="D133" i="9"/>
  <c r="G30" i="77"/>
  <c r="D122" i="9"/>
  <c r="D138" i="9" s="1"/>
  <c r="D136" i="9"/>
  <c r="T19" i="86" l="1"/>
  <c r="O48" i="86"/>
  <c r="T48" i="86" s="1"/>
  <c r="O49" i="86"/>
  <c r="T49" i="86" s="1"/>
  <c r="T40" i="86"/>
  <c r="C148" i="79"/>
  <c r="C149" i="79" s="1"/>
  <c r="C121" i="79"/>
  <c r="C122" i="79" s="1"/>
  <c r="C99" i="79"/>
  <c r="C101" i="79" s="1"/>
  <c r="C25" i="79"/>
  <c r="C43" i="79" s="1"/>
  <c r="C61" i="79" s="1"/>
  <c r="C21" i="79"/>
  <c r="C39" i="79" s="1"/>
  <c r="C57" i="79" s="1"/>
  <c r="C17" i="79"/>
  <c r="C35" i="79" s="1"/>
  <c r="C53" i="79" s="1"/>
  <c r="C19" i="79"/>
  <c r="C37" i="79" s="1"/>
  <c r="C55" i="79" s="1"/>
  <c r="C22" i="79"/>
  <c r="C40" i="79" s="1"/>
  <c r="C58" i="79" s="1"/>
  <c r="C85" i="79"/>
  <c r="C87" i="79" s="1"/>
  <c r="C24" i="79"/>
  <c r="C42" i="79" s="1"/>
  <c r="C60" i="79" s="1"/>
  <c r="C20" i="79"/>
  <c r="C38" i="79" s="1"/>
  <c r="C56" i="79" s="1"/>
  <c r="C16" i="79"/>
  <c r="C34" i="79" s="1"/>
  <c r="C52" i="79" s="1"/>
  <c r="C23" i="79"/>
  <c r="C41" i="79" s="1"/>
  <c r="C59" i="79" s="1"/>
  <c r="C15" i="79"/>
  <c r="C33" i="79" s="1"/>
  <c r="C51" i="79" s="1"/>
  <c r="C142" i="79"/>
  <c r="C143" i="79" s="1"/>
  <c r="C135" i="79"/>
  <c r="C136" i="79" s="1"/>
  <c r="C18" i="79"/>
  <c r="C36" i="79" s="1"/>
  <c r="C54" i="79" s="1"/>
  <c r="AB32" i="77"/>
  <c r="X32" i="77"/>
  <c r="W32" i="77"/>
  <c r="Z32" i="77"/>
  <c r="V32" i="77"/>
  <c r="AC32" i="77"/>
  <c r="G34" i="77"/>
  <c r="G10" i="77"/>
  <c r="G29" i="77"/>
  <c r="G11" i="77"/>
  <c r="G12" i="77"/>
  <c r="D139" i="9"/>
  <c r="B14" i="86" l="1"/>
  <c r="O14" i="86" s="1"/>
  <c r="B15" i="35"/>
  <c r="C123" i="79"/>
  <c r="B60" i="60" s="1"/>
  <c r="B62" i="60" s="1"/>
  <c r="C102" i="79"/>
  <c r="F25" i="32"/>
  <c r="C144" i="79"/>
  <c r="B46" i="32"/>
  <c r="C110" i="77" s="1"/>
  <c r="C111" i="77" s="1"/>
  <c r="C137" i="79"/>
  <c r="B9" i="86"/>
  <c r="O9" i="86" s="1"/>
  <c r="AA32" i="77"/>
  <c r="Y32" i="77"/>
  <c r="AD32" i="77"/>
  <c r="AD33" i="77" s="1"/>
  <c r="F46" i="32"/>
  <c r="D110" i="77" s="1"/>
  <c r="D111" i="77" s="1"/>
  <c r="F24" i="32"/>
  <c r="F26" i="32" s="1"/>
  <c r="F27" i="32" s="1"/>
  <c r="G15" i="77"/>
  <c r="G27" i="77"/>
  <c r="G14" i="77"/>
  <c r="G36" i="77"/>
  <c r="B79" i="60" l="1"/>
  <c r="B27" i="86"/>
  <c r="O27" i="86" s="1"/>
  <c r="T14" i="86"/>
  <c r="T9" i="86"/>
  <c r="O7" i="86"/>
  <c r="B27" i="32"/>
  <c r="T27" i="86" l="1"/>
  <c r="O24" i="86"/>
  <c r="O23" i="86" s="1"/>
  <c r="T7" i="86"/>
  <c r="Y43" i="77"/>
  <c r="W43" i="77"/>
  <c r="X43" i="77"/>
  <c r="T23" i="86" l="1"/>
  <c r="T24" i="86"/>
  <c r="G18" i="77"/>
  <c r="G8" i="77"/>
  <c r="G42" i="77"/>
  <c r="Z97" i="77"/>
  <c r="X44" i="77"/>
  <c r="Y44" i="77"/>
  <c r="G9" i="77"/>
  <c r="G19" i="77"/>
  <c r="Y97" i="77" l="1"/>
  <c r="G25" i="77"/>
  <c r="G22" i="77"/>
  <c r="G7" i="77"/>
  <c r="G6" i="77"/>
  <c r="G17" i="77"/>
  <c r="Y69" i="77" l="1"/>
  <c r="H57" i="77" l="1"/>
  <c r="H53" i="77"/>
  <c r="X69" i="77" l="1"/>
  <c r="G50" i="77" l="1"/>
  <c r="G55" i="77"/>
  <c r="G32" i="77" l="1"/>
  <c r="G33" i="77" l="1"/>
  <c r="G26" i="77" l="1"/>
  <c r="G23" i="77"/>
  <c r="G31" i="77"/>
  <c r="G43" i="77" l="1"/>
  <c r="W44" i="77"/>
  <c r="G24" i="77"/>
  <c r="G21" i="77"/>
  <c r="G40" i="77"/>
  <c r="G35" i="77"/>
  <c r="G37" i="77"/>
  <c r="G41" i="77" l="1"/>
  <c r="X97" i="77"/>
  <c r="G53" i="77"/>
  <c r="G57" i="77" l="1"/>
  <c r="W69" i="77"/>
  <c r="G56" i="77"/>
  <c r="B8" i="36" l="1"/>
  <c r="B15" i="86" s="1"/>
  <c r="O15" i="86" s="1"/>
  <c r="T15" i="86" l="1"/>
  <c r="O47" i="86"/>
  <c r="T47" i="86" s="1"/>
  <c r="O46" i="86"/>
  <c r="T46" i="86" s="1"/>
  <c r="O12" i="86"/>
  <c r="T12" i="86" l="1"/>
  <c r="O6" i="86"/>
  <c r="T6" i="86" s="1"/>
</calcChain>
</file>

<file path=xl/comments1.xml><?xml version="1.0" encoding="utf-8"?>
<comments xmlns="http://schemas.openxmlformats.org/spreadsheetml/2006/main">
  <authors>
    <author>Roel Hammerschlag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Roel Hammerschlag:</t>
        </r>
        <r>
          <rPr>
            <sz val="8"/>
            <color indexed="81"/>
            <rFont val="Tahoma"/>
            <family val="2"/>
          </rPr>
          <t xml:space="preserve">
ML = Michael Lazarus
PE = Pete Erickson
CC = Chelsea Chandler</t>
        </r>
      </text>
    </comment>
  </commentList>
</comments>
</file>

<file path=xl/comments2.xml><?xml version="1.0" encoding="utf-8"?>
<comments xmlns="http://schemas.openxmlformats.org/spreadsheetml/2006/main">
  <authors>
    <author>Chelsea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Data formerly from 08-42-1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Data formerly from 08-42-1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Data formerly from 08-42-1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Data formerly from 08-42-1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Data formerly from 08-42-1</t>
        </r>
      </text>
    </comment>
  </commentList>
</comments>
</file>

<file path=xl/comments3.xml><?xml version="1.0" encoding="utf-8"?>
<comments xmlns="http://schemas.openxmlformats.org/spreadsheetml/2006/main">
  <authors>
    <author>Chelsea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Tier 1 default EF, based on "typical" raw material mixture, to national glass production data.  "Typical" soda-lime batch = sand (56.2 weight %), feldspar (5.3%), dolomite (9.8%), limestone (8.6%), soda ash (20.0%).  Based on this composition, one metric tonne of raw materials yields approximately .84 tonnes of glass, losing about 16.7% of its weight as volatiles, in this case virtually entirely CO2.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(The Tier 1 default is .5.)</t>
        </r>
      </text>
    </comment>
  </commentList>
</comments>
</file>

<file path=xl/comments4.xml><?xml version="1.0" encoding="utf-8"?>
<comments xmlns="http://schemas.openxmlformats.org/spreadsheetml/2006/main">
  <authors>
    <author>Chelsea</author>
  </authors>
  <commentList>
    <comment ref="A52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Harbor Vessels includes: commercial fishing, ocean tug, harbor tug, excursion, govt, ferry, workboat, assist and escort tug.</t>
        </r>
      </text>
    </comment>
  </commentList>
</comments>
</file>

<file path=xl/comments5.xml><?xml version="1.0" encoding="utf-8"?>
<comments xmlns="http://schemas.openxmlformats.org/spreadsheetml/2006/main">
  <authors>
    <author>Chelsea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LTO = Landing and Take-off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Corrected this calculation.  Previously, was: =J12*efavgas/1000000, which is multiplying gallons by an EF with units of gCo2/L.  Should multiply by value converted to liters.</t>
        </r>
      </text>
    </comment>
  </commentList>
</comments>
</file>

<file path=xl/comments6.xml><?xml version="1.0" encoding="utf-8"?>
<comments xmlns="http://schemas.openxmlformats.org/spreadsheetml/2006/main">
  <authors>
    <author>Brian Harmon</author>
    <author>Chelsea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Brian Harmon:</t>
        </r>
        <r>
          <rPr>
            <sz val="9"/>
            <color indexed="81"/>
            <rFont val="Tahoma"/>
            <family val="2"/>
          </rPr>
          <t xml:space="preserve">
horses + mules, burros, and donkeys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Approximated by applying ratio of KC:WA in 2002 (2972/35954)to the WA mink population in 2007 (KC07/47163).</t>
        </r>
      </text>
    </comment>
    <comment ref="B14" authorId="1" shapeId="0">
      <text>
        <r>
          <rPr>
            <b/>
            <sz val="9"/>
            <color indexed="81"/>
            <rFont val="Tahoma"/>
            <family val="2"/>
          </rPr>
          <t>Chelsea:Brian Harmon</t>
        </r>
        <r>
          <rPr>
            <sz val="9"/>
            <color indexed="81"/>
            <rFont val="Tahoma"/>
            <family val="2"/>
          </rPr>
          <t xml:space="preserve">
=9778 layers + 2239 pullets for laying flock replacement + 1376  broilers +456 other chickens + 262 turkeys + 99 other poultry (ducks, geese, etc.)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Brian Harmon:</t>
        </r>
        <r>
          <rPr>
            <sz val="9"/>
            <color indexed="81"/>
            <rFont val="Tahoma"/>
            <family val="2"/>
          </rPr>
          <t xml:space="preserve">
value reported for broilers. Other chickens: 1.8kg, turkeys 6.8 kg</t>
        </r>
      </text>
    </comment>
    <comment ref="A73" authorId="1" shapeId="0">
      <text>
        <r>
          <rPr>
            <b/>
            <sz val="9"/>
            <color indexed="81"/>
            <rFont val="Tahoma"/>
            <family val="2"/>
          </rPr>
          <t>Chelsea:</t>
        </r>
        <r>
          <rPr>
            <sz val="9"/>
            <color indexed="81"/>
            <rFont val="Tahoma"/>
            <family val="2"/>
          </rPr>
          <t xml:space="preserve">
Total Kjeldahl Nitrogen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Brian Harmon:</t>
        </r>
        <r>
          <rPr>
            <sz val="9"/>
            <color indexed="81"/>
            <rFont val="Tahoma"/>
            <family val="2"/>
          </rPr>
          <t xml:space="preserve">
changed to broiler value to keep consistent throughout workbook</t>
        </r>
      </text>
    </comment>
  </commentList>
</comments>
</file>

<file path=xl/comments7.xml><?xml version="1.0" encoding="utf-8"?>
<comments xmlns="http://schemas.openxmlformats.org/spreadsheetml/2006/main">
  <authors>
    <author>Roel Hammerschlag</author>
    <author>Brian Harmon</author>
  </authors>
  <commentList>
    <comment ref="G2" authorId="0" shapeId="0">
      <text>
        <r>
          <rPr>
            <b/>
            <sz val="8"/>
            <color indexed="81"/>
            <rFont val="Tahoma"/>
            <family val="2"/>
          </rPr>
          <t>Roel Hammerschlag:</t>
        </r>
        <r>
          <rPr>
            <sz val="8"/>
            <color indexed="81"/>
            <rFont val="Tahoma"/>
            <family val="2"/>
          </rPr>
          <t xml:space="preserve">
This should be a 5-digit number.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Roel Hammerschlag:</t>
        </r>
        <r>
          <rPr>
            <sz val="8"/>
            <color indexed="81"/>
            <rFont val="Tahoma"/>
            <family val="2"/>
          </rPr>
          <t xml:space="preserve">
This column is restricted to formulae that reference other cells - no data may be input directly.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Roel Hammerschlag:</t>
        </r>
        <r>
          <rPr>
            <sz val="8"/>
            <color indexed="81"/>
            <rFont val="Tahoma"/>
            <family val="2"/>
          </rPr>
          <t xml:space="preserve">
This column is restricted to numeric values copied from the publication.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>Brian Harmon:</t>
        </r>
        <r>
          <rPr>
            <sz val="9"/>
            <color indexed="81"/>
            <rFont val="Tahoma"/>
            <family val="2"/>
          </rPr>
          <t xml:space="preserve">
Based on Annex 2 Table A-40, I do not know how this would have been the mode unless the old values were re-calculated. Current mode (and consistent reported value since 2008)   25.71</t>
        </r>
      </text>
    </comment>
  </commentList>
</comments>
</file>

<file path=xl/comments8.xml><?xml version="1.0" encoding="utf-8"?>
<comments xmlns="http://schemas.openxmlformats.org/spreadsheetml/2006/main">
  <authors>
    <author>Roel Hammerschlag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Roel Hammerschlag: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39"/>
            <rFont val="Tahoma"/>
            <family val="2"/>
          </rPr>
          <t>Values in blue</t>
        </r>
        <r>
          <rPr>
            <sz val="8"/>
            <color indexed="81"/>
            <rFont val="Tahoma"/>
            <family val="2"/>
          </rPr>
          <t xml:space="preserve"> are from source; values in black are calculated.</t>
        </r>
      </text>
    </comment>
  </commentList>
</comments>
</file>

<file path=xl/sharedStrings.xml><?xml version="1.0" encoding="utf-8"?>
<sst xmlns="http://schemas.openxmlformats.org/spreadsheetml/2006/main" count="4823" uniqueCount="1895">
  <si>
    <t>therms</t>
    <phoneticPr fontId="27" type="noConversion"/>
  </si>
  <si>
    <t>1. Aggregate gallons</t>
  </si>
  <si>
    <t>Air</t>
  </si>
  <si>
    <t>Cars &amp; Light Duty Trucks</t>
  </si>
  <si>
    <t>Trucks</t>
  </si>
  <si>
    <t>Buses &amp; Vanpool</t>
  </si>
  <si>
    <t>Ship &amp; Boat Traffic</t>
  </si>
  <si>
    <t>WA State Ferries</t>
  </si>
  <si>
    <t xml:space="preserve">Marine &amp; Rail </t>
  </si>
  <si>
    <t>King County Airport</t>
  </si>
  <si>
    <t>Sea-Tac Airport</t>
  </si>
  <si>
    <t>Steam</t>
  </si>
  <si>
    <t>Steel</t>
  </si>
  <si>
    <t>Wastewater Treatment</t>
  </si>
  <si>
    <t>Yard Equipment</t>
  </si>
  <si>
    <t>TOTAL EMISSIONS</t>
  </si>
  <si>
    <t>Truck</t>
  </si>
  <si>
    <t>Bus</t>
  </si>
  <si>
    <t>Car &amp; Light Duty Truck</t>
  </si>
  <si>
    <t xml:space="preserve">Commercial </t>
  </si>
  <si>
    <t xml:space="preserve">gal </t>
  </si>
  <si>
    <t xml:space="preserve">PSCAA Monitoring Data, per PSE designation </t>
  </si>
  <si>
    <t xml:space="preserve">Total </t>
  </si>
  <si>
    <t>Detailed Summary of Emissions by Sector</t>
  </si>
  <si>
    <t>GHG Emissions by Sector</t>
  </si>
  <si>
    <t>Oil</t>
  </si>
  <si>
    <t>Energy Information Administration</t>
  </si>
  <si>
    <t>Vanpol</t>
  </si>
  <si>
    <t>Electricity Consumption by Sector</t>
  </si>
  <si>
    <t>Residential</t>
  </si>
  <si>
    <t>Commercial</t>
  </si>
  <si>
    <t>Industrial</t>
  </si>
  <si>
    <t>Non-Residential</t>
  </si>
  <si>
    <t>PSCAA Monitoring Data, per PSE designation</t>
    <phoneticPr fontId="27" type="noConversion"/>
  </si>
  <si>
    <t xml:space="preserve"> </t>
  </si>
  <si>
    <t>2. Calculate emissions SF6</t>
  </si>
  <si>
    <t>Transportation - Aircraft</t>
  </si>
  <si>
    <t xml:space="preserve">Process Parameters </t>
  </si>
  <si>
    <t xml:space="preserve">CaO fraction (Calcium Oxide) </t>
  </si>
  <si>
    <t>Marine pleasure craft</t>
  </si>
  <si>
    <t>Washington State Ferries</t>
  </si>
  <si>
    <t>Other Ship &amp; Boat Traffic</t>
  </si>
  <si>
    <t>Cruise Ships</t>
  </si>
  <si>
    <t>08-41-0</t>
  </si>
  <si>
    <t>Waste</t>
  </si>
  <si>
    <t>Commercial Oil</t>
  </si>
  <si>
    <t>Commercial Equipment</t>
  </si>
  <si>
    <t>Industrial Point Sources</t>
  </si>
  <si>
    <t>Distillate oil</t>
  </si>
  <si>
    <t>Coal</t>
  </si>
  <si>
    <t xml:space="preserve">Other Industrial </t>
  </si>
  <si>
    <t>Industrial Consumption</t>
  </si>
  <si>
    <t>Industrial Oil</t>
  </si>
  <si>
    <t>WA Industrial Use</t>
  </si>
  <si>
    <t>Process emissions</t>
  </si>
  <si>
    <r>
      <t>Emissions, MgCO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e</t>
    </r>
  </si>
  <si>
    <t>Waste- Management</t>
  </si>
  <si>
    <t xml:space="preserve">05-813 </t>
  </si>
  <si>
    <t>p.312</t>
  </si>
  <si>
    <t>Calculation steps 2005 &amp; 2008</t>
  </si>
  <si>
    <t>Natural Gas Consumption</t>
  </si>
  <si>
    <t>3. Aggregate emissions</t>
  </si>
  <si>
    <t>1. Convert to liters</t>
  </si>
  <si>
    <t xml:space="preserve">2. Calculate emissions factor </t>
  </si>
  <si>
    <t xml:space="preserve">4. Calculate LTO emissions </t>
  </si>
  <si>
    <t xml:space="preserve">Percentage of total fuel allocated to LTO </t>
  </si>
  <si>
    <t>Total Jet Fuel Use</t>
  </si>
  <si>
    <t>Jet Fuel Consumption</t>
  </si>
  <si>
    <t>3. Calculate emissions</t>
  </si>
  <si>
    <t>Residential heating and hot water</t>
  </si>
  <si>
    <t>2. Calculate gas emissions</t>
  </si>
  <si>
    <t xml:space="preserve">Residential Oil </t>
  </si>
  <si>
    <t>Washington State consumption</t>
  </si>
  <si>
    <t>Data year</t>
  </si>
  <si>
    <t>Data related to LTO fuel use</t>
  </si>
  <si>
    <t>4. Calculate oil emissions</t>
  </si>
  <si>
    <t>Residential Garden &amp; Rec Equipment</t>
    <phoneticPr fontId="24" type="noConversion"/>
  </si>
  <si>
    <t>4. Calculate emissions</t>
  </si>
  <si>
    <t>Total</t>
  </si>
  <si>
    <t>1. Convert production to Mg</t>
  </si>
  <si>
    <t>Soure data</t>
  </si>
  <si>
    <t>Source data</t>
  </si>
  <si>
    <t>Calculation steps</t>
  </si>
  <si>
    <t xml:space="preserve">Other Process Emissions </t>
  </si>
  <si>
    <t>Industrial Process Emissions</t>
  </si>
  <si>
    <t>Cement Manufacture</t>
  </si>
  <si>
    <t>2. Calculate calcination EF</t>
  </si>
  <si>
    <t>2. Convert EF to MgCO2/Mg clinker</t>
  </si>
  <si>
    <t>MgCO2/Mg clinker</t>
  </si>
  <si>
    <t>(multiply production x CKD corretion factor x EF)</t>
  </si>
  <si>
    <t>(multiply CaO fraction x CO2/CaO mass ratio)</t>
  </si>
  <si>
    <t>3. Calculate calcination emissions</t>
  </si>
  <si>
    <t>Total Cement Process Emissions</t>
  </si>
  <si>
    <t>or Calculate Calcination EF</t>
  </si>
  <si>
    <t>Other ship &amp; boat traffic</t>
  </si>
  <si>
    <t>Total Other Ship &amp; Boat Traffic</t>
  </si>
  <si>
    <t xml:space="preserve">1. Add OGV manuervering + harbor vessels </t>
  </si>
  <si>
    <t>Hotelling</t>
  </si>
  <si>
    <t xml:space="preserve">Sea-Tac Airport </t>
  </si>
  <si>
    <t>baseline year daily vehicle travel (DVMT)</t>
  </si>
  <si>
    <t>JetA</t>
  </si>
  <si>
    <t>AV Gas</t>
  </si>
  <si>
    <t>08-14-5</t>
  </si>
  <si>
    <t>Commercial Point Sources</t>
  </si>
  <si>
    <t>Steam Plants</t>
  </si>
  <si>
    <t xml:space="preserve">Waste- Muncipal Landfills </t>
  </si>
  <si>
    <t>calculation steps</t>
  </si>
  <si>
    <t>A. Ocean-going Vessel(OGV) Maneuvering at POS</t>
  </si>
  <si>
    <t>B. Harbor vessels</t>
  </si>
  <si>
    <r>
      <t>MgCO</t>
    </r>
    <r>
      <rPr>
        <b/>
        <vertAlign val="subscript"/>
        <sz val="9"/>
        <rFont val="Arial"/>
        <family val="2"/>
      </rPr>
      <t>2</t>
    </r>
  </si>
  <si>
    <t>Puget Sound Clear Air Agency Emissions Report</t>
  </si>
  <si>
    <t>LTO Emissions</t>
  </si>
  <si>
    <t>Data relating to fuel consumed at airport</t>
  </si>
  <si>
    <t>Jet A</t>
  </si>
  <si>
    <t>Non-heat oil use (diesel)</t>
  </si>
  <si>
    <t>Source Data</t>
  </si>
  <si>
    <t>Rail</t>
  </si>
  <si>
    <t>MgCO2e</t>
  </si>
  <si>
    <t>popUS08</t>
  </si>
  <si>
    <r>
      <t>MgCO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</t>
    </r>
  </si>
  <si>
    <t>steel</t>
  </si>
  <si>
    <t>Natural gas</t>
  </si>
  <si>
    <t>Sites monitored by the PSCAA</t>
  </si>
  <si>
    <r>
      <t>MgCO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</t>
    </r>
  </si>
  <si>
    <t>landfill emissions commitment</t>
  </si>
  <si>
    <t xml:space="preserve">2. Aggregate on-terminal </t>
  </si>
  <si>
    <t>1. Convert to MgCO2e</t>
  </si>
  <si>
    <t>2008</t>
  </si>
  <si>
    <r>
      <t>MgCO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e</t>
    </r>
  </si>
  <si>
    <t>source data</t>
  </si>
  <si>
    <t>data relating to vehicle travel</t>
  </si>
  <si>
    <t>Gasoline</t>
  </si>
  <si>
    <t>Diesel</t>
  </si>
  <si>
    <t>Natural Gas</t>
  </si>
  <si>
    <t>efTDF</t>
  </si>
  <si>
    <t>tire-derived fuel (TDF)</t>
  </si>
  <si>
    <t>lbCO2/ton</t>
  </si>
  <si>
    <t>05-140</t>
  </si>
  <si>
    <t>CO2/CaO mass ratio</t>
  </si>
  <si>
    <t>Ash Grove</t>
  </si>
  <si>
    <t>CaO fraction</t>
  </si>
  <si>
    <t>Lafarge</t>
  </si>
  <si>
    <t>CKD correction factor</t>
  </si>
  <si>
    <t>nominal value based on U.S. industrial coal represented in the U.S. GHG inventory</t>
  </si>
  <si>
    <t>6. multiply emissions factor by annual miles traveled</t>
  </si>
  <si>
    <t>trucks</t>
  </si>
  <si>
    <t>05-047</t>
  </si>
  <si>
    <t>King County International Airport</t>
  </si>
  <si>
    <t>U.S.</t>
  </si>
  <si>
    <t>popUS05</t>
  </si>
  <si>
    <t>Washington State ferries</t>
  </si>
  <si>
    <t>"cal" or "calorie" is the gram-based calorie.  kg-based Calories are referred to as "kcal."</t>
  </si>
  <si>
    <t>lbTOoz</t>
  </si>
  <si>
    <t>ozTOkg</t>
  </si>
  <si>
    <t>SOV</t>
  </si>
  <si>
    <t>HOV2</t>
  </si>
  <si>
    <t>HOV3</t>
  </si>
  <si>
    <t>Physical constants, GWPs, and populations.</t>
  </si>
  <si>
    <t>date</t>
  </si>
  <si>
    <t>who</t>
  </si>
  <si>
    <t>sheet</t>
  </si>
  <si>
    <t>cells</t>
  </si>
  <si>
    <t>description</t>
  </si>
  <si>
    <t>Inventory revisions</t>
  </si>
  <si>
    <t>revs</t>
  </si>
  <si>
    <r>
      <t>Values shown in blue</t>
    </r>
    <r>
      <rPr>
        <sz val="9"/>
        <rFont val="Arial"/>
        <family val="2"/>
      </rPr>
      <t xml:space="preserve"> are from an outside source.</t>
    </r>
  </si>
  <si>
    <t>HHVgasoline</t>
  </si>
  <si>
    <t>capita</t>
  </si>
  <si>
    <t>aviation gas</t>
  </si>
  <si>
    <t>HHVavgas</t>
  </si>
  <si>
    <t>efavgas</t>
  </si>
  <si>
    <t>HHV</t>
  </si>
  <si>
    <t>on-terminal switching</t>
  </si>
  <si>
    <t>coal (U.S. industrial)</t>
  </si>
  <si>
    <t>HHVcoal</t>
  </si>
  <si>
    <t>efcoal</t>
  </si>
  <si>
    <r>
      <t>gCO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/kg</t>
    </r>
  </si>
  <si>
    <t>Washington State</t>
  </si>
  <si>
    <r>
      <t>SF</t>
    </r>
    <r>
      <rPr>
        <vertAlign val="subscript"/>
        <sz val="9"/>
        <rFont val="Arial"/>
        <family val="2"/>
      </rPr>
      <t>6</t>
    </r>
  </si>
  <si>
    <t>% passenger flights</t>
  </si>
  <si>
    <t>WA commercial use</t>
  </si>
  <si>
    <t>HHVresidual</t>
  </si>
  <si>
    <t>efresidual</t>
  </si>
  <si>
    <t>populations</t>
  </si>
  <si>
    <t>kgal</t>
  </si>
  <si>
    <t>WA residential use</t>
  </si>
  <si>
    <t>WA housing units w/ oil heat</t>
  </si>
  <si>
    <t>GWPHFC143a</t>
  </si>
  <si>
    <t>GWPHFC152a</t>
  </si>
  <si>
    <t>GWPHFC227ea</t>
  </si>
  <si>
    <t>GWPHFC236fa</t>
  </si>
  <si>
    <t>GWPHFC245ca</t>
  </si>
  <si>
    <t>GWPPFC116</t>
  </si>
  <si>
    <t>GWPPFC218</t>
  </si>
  <si>
    <t>GWPPFC410</t>
  </si>
  <si>
    <t>GWPSF6</t>
  </si>
  <si>
    <t>GWPHFC32</t>
  </si>
  <si>
    <t>05-801</t>
  </si>
  <si>
    <t>GHG emission factors.</t>
  </si>
  <si>
    <t>Conversion factors.</t>
  </si>
  <si>
    <t>Puget Sound Energy</t>
  </si>
  <si>
    <t>Annex 2, Table A-38</t>
  </si>
  <si>
    <t>LPG</t>
  </si>
  <si>
    <r>
      <t>tonCO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</t>
    </r>
  </si>
  <si>
    <t>cars &amp; light trucks</t>
  </si>
  <si>
    <t>buses</t>
  </si>
  <si>
    <t>efjetfuel</t>
  </si>
  <si>
    <t>Gallons are U.S. liquid gallons (not dry gallons).</t>
  </si>
  <si>
    <t>HHVLPG</t>
  </si>
  <si>
    <t>HHVjetfuel</t>
  </si>
  <si>
    <t>MWhTOTJ</t>
  </si>
  <si>
    <t>lb CO2 / lb CH4</t>
  </si>
  <si>
    <t>CO2perCH4</t>
  </si>
  <si>
    <t>thermTOGJ</t>
  </si>
  <si>
    <t>Source if not 05-801</t>
  </si>
  <si>
    <t>energy (force x distance)</t>
  </si>
  <si>
    <t>power (energy/time)</t>
  </si>
  <si>
    <t>flow (volume/time)</t>
  </si>
  <si>
    <t>heat rate (energy/energy)</t>
  </si>
  <si>
    <t>emission rate (mass/energy)</t>
  </si>
  <si>
    <t>heating value (energy/mass)</t>
  </si>
  <si>
    <t>heating value (energy/volume)</t>
  </si>
  <si>
    <t>fuel efficiency (distance/volume)</t>
  </si>
  <si>
    <t>yield (mass/area-time)</t>
  </si>
  <si>
    <t>natural gas</t>
  </si>
  <si>
    <t>C content</t>
  </si>
  <si>
    <t>yd2</t>
  </si>
  <si>
    <t>yd2TOft2</t>
  </si>
  <si>
    <t>ft2TOyd2</t>
  </si>
  <si>
    <t>thermTOkWh</t>
  </si>
  <si>
    <t>thermTOBtu</t>
  </si>
  <si>
    <t>mmBtuTOTJ</t>
  </si>
  <si>
    <t>min</t>
  </si>
  <si>
    <t>minTOday</t>
  </si>
  <si>
    <t>dayTOmin</t>
  </si>
  <si>
    <t>gasoline</t>
  </si>
  <si>
    <t>HHVdistillate</t>
  </si>
  <si>
    <t>m3TOliter</t>
  </si>
  <si>
    <t>IPCC SAR</t>
  </si>
  <si>
    <t>Sound Transit</t>
  </si>
  <si>
    <t>kg/L</t>
  </si>
  <si>
    <t>TgC/quad</t>
  </si>
  <si>
    <t>gC/MJ</t>
  </si>
  <si>
    <t>mmBtu/bbl</t>
  </si>
  <si>
    <t>bbl</t>
  </si>
  <si>
    <t>galTObbl</t>
  </si>
  <si>
    <t>bblTOgal</t>
  </si>
  <si>
    <t>bblTOL</t>
  </si>
  <si>
    <t>gC/L</t>
  </si>
  <si>
    <t>HHV (nominal)</t>
  </si>
  <si>
    <t>fraction oxidized</t>
  </si>
  <si>
    <r>
      <t>Btu/ft</t>
    </r>
    <r>
      <rPr>
        <vertAlign val="superscript"/>
        <sz val="9"/>
        <rFont val="Arial"/>
        <family val="2"/>
      </rPr>
      <t>3</t>
    </r>
  </si>
  <si>
    <t>ft3TOL</t>
  </si>
  <si>
    <t>LTOft3</t>
  </si>
  <si>
    <t>LTOgal</t>
  </si>
  <si>
    <t>LTOm3</t>
  </si>
  <si>
    <t>L/s</t>
  </si>
  <si>
    <t>L.sTOgpm</t>
  </si>
  <si>
    <t>Barrels are U.S. "blue barrel" oil barrels</t>
  </si>
  <si>
    <t>emission factors</t>
  </si>
  <si>
    <t>efgasoline05</t>
  </si>
  <si>
    <t>efgasoline00</t>
  </si>
  <si>
    <t>efgasoline90</t>
  </si>
  <si>
    <t>emission factor</t>
  </si>
  <si>
    <t>CNG</t>
  </si>
  <si>
    <t>Values shown in black are calculated, displayed to 4 significant digits.</t>
  </si>
  <si>
    <t>GWPs (100-year)</t>
  </si>
  <si>
    <t>SAR values are used to be consistent with international accounting practice.</t>
  </si>
  <si>
    <t>HFC-23</t>
  </si>
  <si>
    <t>HFC-32</t>
  </si>
  <si>
    <t>HFC-125</t>
  </si>
  <si>
    <t>HFC-134a</t>
  </si>
  <si>
    <t>HFC-143a</t>
  </si>
  <si>
    <t>HFC-152a</t>
  </si>
  <si>
    <t>HFC-227ea</t>
  </si>
  <si>
    <t>HFC-236fa</t>
  </si>
  <si>
    <t>HFC-245ca</t>
  </si>
  <si>
    <t>PFC-116</t>
  </si>
  <si>
    <t>PFC-218</t>
  </si>
  <si>
    <t>PFC-410</t>
  </si>
  <si>
    <t>SF6</t>
  </si>
  <si>
    <t>GWPHFC23</t>
  </si>
  <si>
    <t>GWPHFC134a</t>
  </si>
  <si>
    <t>GWPHFC125</t>
  </si>
  <si>
    <t>cell name</t>
  </si>
  <si>
    <t>English system weights are in the avoirdupois system unless noted otherwise.</t>
  </si>
  <si>
    <t>Joules are absolute joules (not archaic international joules).</t>
  </si>
  <si>
    <t>CO2.C</t>
  </si>
  <si>
    <t>SO2.S</t>
  </si>
  <si>
    <t>H2.H2O</t>
  </si>
  <si>
    <t>F.C</t>
  </si>
  <si>
    <t>massC</t>
  </si>
  <si>
    <t>massH</t>
  </si>
  <si>
    <t>massN</t>
  </si>
  <si>
    <t>massO</t>
  </si>
  <si>
    <t>massS</t>
  </si>
  <si>
    <t>massNO2</t>
  </si>
  <si>
    <t>massSO2</t>
  </si>
  <si>
    <t>massCO</t>
  </si>
  <si>
    <t>massC3H8</t>
  </si>
  <si>
    <t>airN2fraction</t>
  </si>
  <si>
    <t>airO2fraction</t>
  </si>
  <si>
    <t>airArfraction</t>
  </si>
  <si>
    <t>airCO2fraction</t>
  </si>
  <si>
    <t>airotherfraction</t>
  </si>
  <si>
    <t>gasconstant</t>
  </si>
  <si>
    <t>notes</t>
  </si>
  <si>
    <t>Constants &amp; reference values</t>
  </si>
  <si>
    <t>Calculated</t>
  </si>
  <si>
    <t>lb CH4 / lb C</t>
  </si>
  <si>
    <t>CH4.C</t>
  </si>
  <si>
    <t>yrTOday</t>
  </si>
  <si>
    <r>
      <t>The U.S. GHG inventory subsumes strict propane (C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H</t>
    </r>
    <r>
      <rPr>
        <vertAlign val="subscript"/>
        <sz val="9"/>
        <rFont val="Arial"/>
        <family val="2"/>
      </rPr>
      <t>8</t>
    </r>
    <r>
      <rPr>
        <sz val="9"/>
        <rFont val="Arial"/>
        <family val="2"/>
      </rPr>
      <t>) into the liquefied petroleum gas (LPG) rubrick.  In American English "LPG" and "propane" are used interchangeably (sloppily.)</t>
    </r>
  </si>
  <si>
    <t>efLPG</t>
  </si>
  <si>
    <t>oz</t>
  </si>
  <si>
    <t>densityNO2</t>
  </si>
  <si>
    <t>densitySO2</t>
  </si>
  <si>
    <t>g/l is equivalent to kg/m3</t>
  </si>
  <si>
    <t>K0degC</t>
  </si>
  <si>
    <t>K15degC</t>
  </si>
  <si>
    <t>K60degF</t>
  </si>
  <si>
    <t>molVol0degC</t>
  </si>
  <si>
    <t>0 degC temp</t>
  </si>
  <si>
    <t>15 degC temp</t>
  </si>
  <si>
    <t>60 degF temp</t>
  </si>
  <si>
    <t>yd3</t>
  </si>
  <si>
    <t>yd3TOm3</t>
  </si>
  <si>
    <t>Molar volume at 0 degC</t>
  </si>
  <si>
    <t>Molar volume at 15 degC</t>
  </si>
  <si>
    <t>Molar volume at 60 degF</t>
  </si>
  <si>
    <t>molVol15degC</t>
  </si>
  <si>
    <t>molVol60degF</t>
  </si>
  <si>
    <t>gas densities at 15 degC (ISO 5024)</t>
  </si>
  <si>
    <t>This is the ISO 5024 temperature</t>
  </si>
  <si>
    <t>At 1 atmosphere</t>
  </si>
  <si>
    <t>gas densities at 60 degF</t>
  </si>
  <si>
    <t>densityC3H8at60degF</t>
  </si>
  <si>
    <t>densityCH4at60degF</t>
  </si>
  <si>
    <t>densityCOat60degF</t>
  </si>
  <si>
    <t>jet fuel</t>
  </si>
  <si>
    <t>GJTOmmBtu</t>
  </si>
  <si>
    <t>mmBtuTOtherm</t>
  </si>
  <si>
    <t>HHVgas</t>
  </si>
  <si>
    <t>thermTOMJ</t>
  </si>
  <si>
    <t>MJTOtherm</t>
  </si>
  <si>
    <t>composition of air</t>
  </si>
  <si>
    <t>mass ratios</t>
  </si>
  <si>
    <t>temperature</t>
  </si>
  <si>
    <t>atomic weights</t>
  </si>
  <si>
    <t>molecular weights</t>
  </si>
  <si>
    <t>distance</t>
  </si>
  <si>
    <t>mass</t>
  </si>
  <si>
    <t>time</t>
  </si>
  <si>
    <t>area (distance x distance)</t>
  </si>
  <si>
    <t>volume (area x distance)</t>
  </si>
  <si>
    <t>force (mass x acceleration)</t>
  </si>
  <si>
    <t>pressure (force/area)</t>
  </si>
  <si>
    <t>MWhTOmmBtu</t>
  </si>
  <si>
    <t>quad</t>
  </si>
  <si>
    <t>quadTOEJ</t>
  </si>
  <si>
    <t>quadTOTWh</t>
  </si>
  <si>
    <t>TWhTOEJ</t>
  </si>
  <si>
    <t>TWhTOquad</t>
  </si>
  <si>
    <t>WhTOBtu</t>
  </si>
  <si>
    <t>WhTOJ</t>
  </si>
  <si>
    <t>GJ/hr</t>
  </si>
  <si>
    <t>MW</t>
  </si>
  <si>
    <t>GJ.hrTOMW</t>
  </si>
  <si>
    <t>GW</t>
  </si>
  <si>
    <t>kW</t>
  </si>
  <si>
    <t>GWTOkW</t>
  </si>
  <si>
    <t>quad/yr</t>
  </si>
  <si>
    <t>GWTOquad.yr</t>
  </si>
  <si>
    <t>TWh/yr</t>
  </si>
  <si>
    <t>GWTOTWh.yr</t>
  </si>
  <si>
    <t>hp</t>
  </si>
  <si>
    <t>hpTOkW</t>
  </si>
  <si>
    <t>kWTOhp</t>
  </si>
  <si>
    <t>MJ/hr</t>
  </si>
  <si>
    <t>MJ.hrTOkW</t>
  </si>
  <si>
    <t>MWTOGJ.hr</t>
  </si>
  <si>
    <t>MWTOkW</t>
  </si>
  <si>
    <t>quad.yrTOGW</t>
  </si>
  <si>
    <t>TWh.yrTOGW</t>
  </si>
  <si>
    <t>gpm</t>
  </si>
  <si>
    <t>liter/s</t>
  </si>
  <si>
    <t>gpmTOliter.s</t>
  </si>
  <si>
    <t>m3.dayTOgpm</t>
  </si>
  <si>
    <t>Btu/hp-h</t>
  </si>
  <si>
    <t>mmBtu/MWh</t>
  </si>
  <si>
    <t>Btu.hphTOmmBtu.MWh</t>
  </si>
  <si>
    <t>kJ/kWh</t>
  </si>
  <si>
    <t>kJ.kWhTOmmBtu.MWh</t>
  </si>
  <si>
    <t>MJ/kWh</t>
  </si>
  <si>
    <t>MJ.kWhTOmmBtu.MWh</t>
  </si>
  <si>
    <t>mmBtu.MWhTOBtu.hph</t>
  </si>
  <si>
    <t>tonTOkg</t>
  </si>
  <si>
    <t>thermTOTJ</t>
  </si>
  <si>
    <t>frontmatter</t>
  </si>
  <si>
    <t>General annotations to the workbook.</t>
  </si>
  <si>
    <t>ref</t>
  </si>
  <si>
    <t>MJ/L</t>
  </si>
  <si>
    <t>Emission Factors</t>
  </si>
  <si>
    <t>API gravity</t>
  </si>
  <si>
    <t>L</t>
  </si>
  <si>
    <t>galTOL</t>
  </si>
  <si>
    <t>lb.mmBtuTOMg.mmBtu</t>
  </si>
  <si>
    <t>ng/J</t>
  </si>
  <si>
    <t>lb.mmBtuTOng.J</t>
  </si>
  <si>
    <t>Tg/quad</t>
  </si>
  <si>
    <t>lb.mmBtuTOTg.quad</t>
  </si>
  <si>
    <t>lb.MWhTOg.hph</t>
  </si>
  <si>
    <t>lb.MWhTOg.kWh</t>
  </si>
  <si>
    <t>lb.MWhTOkg.GJ</t>
  </si>
  <si>
    <t>ton/GWh</t>
  </si>
  <si>
    <t>fuels</t>
  </si>
  <si>
    <t>density (nominal)</t>
  </si>
  <si>
    <t>Btu/lb</t>
  </si>
  <si>
    <t>MJ/kg</t>
  </si>
  <si>
    <t>Btu.lbTOMJ.kg</t>
  </si>
  <si>
    <t>mmBtu/ton</t>
  </si>
  <si>
    <t>Btu.lbTOmmBtu.ton</t>
  </si>
  <si>
    <t>kWh/ton</t>
  </si>
  <si>
    <t>kWh.tonTOMJ.kg</t>
  </si>
  <si>
    <t>MJ.kgTOBtu.lb</t>
  </si>
  <si>
    <t>MJ.kgTOkWh.ton</t>
  </si>
  <si>
    <t>MJ.kgTOmmBtu.ton</t>
  </si>
  <si>
    <t>mmBtu.tonTOBtu.lb</t>
  </si>
  <si>
    <t>Btu/ft3</t>
  </si>
  <si>
    <t>MJ/m3</t>
  </si>
  <si>
    <t>Btu.ft3TOMJ.m3</t>
  </si>
  <si>
    <t>MJ.m3TOBtu.ft3</t>
  </si>
  <si>
    <t>km/l</t>
  </si>
  <si>
    <t>mi/gal</t>
  </si>
  <si>
    <t>km.lTOmi.gal</t>
  </si>
  <si>
    <t>Mg/ha-yr</t>
  </si>
  <si>
    <t>efgas</t>
  </si>
  <si>
    <r>
      <t>gCO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/L</t>
    </r>
  </si>
  <si>
    <t>MtoeTOmmBtu</t>
  </si>
  <si>
    <t>TJ</t>
  </si>
  <si>
    <t>MtoeTOTJ</t>
  </si>
  <si>
    <t>MWhTOGJ</t>
  </si>
  <si>
    <t>ton/acre-yr</t>
  </si>
  <si>
    <t>Mg.hayrTOton.acreyr</t>
  </si>
  <si>
    <t>Notes:</t>
  </si>
  <si>
    <t>GWh</t>
  </si>
  <si>
    <t>MtoeTOGWh</t>
  </si>
  <si>
    <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/day</t>
    </r>
  </si>
  <si>
    <r>
      <t>Values shown in blue</t>
    </r>
    <r>
      <rPr>
        <sz val="9"/>
        <rFont val="Arial"/>
        <family val="2"/>
      </rPr>
      <t xml:space="preserve"> contain the same number of significant digits as the original source.</t>
    </r>
  </si>
  <si>
    <t>lb CO2 / lb C</t>
  </si>
  <si>
    <t>[unitless]</t>
  </si>
  <si>
    <t>lb SO2 / lb S</t>
  </si>
  <si>
    <t>lb H2 / lb H2O</t>
  </si>
  <si>
    <t>degF/C</t>
  </si>
  <si>
    <t>freezeF</t>
  </si>
  <si>
    <t>degF</t>
  </si>
  <si>
    <t>freezeC</t>
  </si>
  <si>
    <t>degC</t>
  </si>
  <si>
    <t>C</t>
  </si>
  <si>
    <t>g/mol</t>
  </si>
  <si>
    <t>H</t>
  </si>
  <si>
    <t>O</t>
  </si>
  <si>
    <t>S</t>
  </si>
  <si>
    <r>
      <t>NO</t>
    </r>
    <r>
      <rPr>
        <vertAlign val="subscript"/>
        <sz val="9"/>
        <rFont val="Arial"/>
        <family val="2"/>
      </rPr>
      <t>2</t>
    </r>
  </si>
  <si>
    <r>
      <t>SO</t>
    </r>
    <r>
      <rPr>
        <vertAlign val="subscript"/>
        <sz val="9"/>
        <rFont val="Arial"/>
        <family val="2"/>
      </rPr>
      <t>2</t>
    </r>
  </si>
  <si>
    <t>CO</t>
  </si>
  <si>
    <r>
      <t>C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H</t>
    </r>
    <r>
      <rPr>
        <vertAlign val="subscript"/>
        <sz val="9"/>
        <rFont val="Arial"/>
        <family val="2"/>
      </rPr>
      <t>8</t>
    </r>
  </si>
  <si>
    <t>STP stuff</t>
  </si>
  <si>
    <t>Ideal gas constant</t>
  </si>
  <si>
    <t>l-atm/(K-mol)</t>
  </si>
  <si>
    <t>K</t>
  </si>
  <si>
    <t>l/mol</t>
  </si>
  <si>
    <r>
      <t>N</t>
    </r>
    <r>
      <rPr>
        <vertAlign val="subscript"/>
        <sz val="9"/>
        <rFont val="Arial"/>
        <family val="2"/>
      </rPr>
      <t>2</t>
    </r>
  </si>
  <si>
    <t>volume</t>
  </si>
  <si>
    <r>
      <t>O</t>
    </r>
    <r>
      <rPr>
        <vertAlign val="subscript"/>
        <sz val="9"/>
        <rFont val="Arial"/>
        <family val="2"/>
      </rPr>
      <t>2</t>
    </r>
  </si>
  <si>
    <t>Ar</t>
  </si>
  <si>
    <r>
      <t>CO</t>
    </r>
    <r>
      <rPr>
        <b/>
        <vertAlign val="subscript"/>
        <sz val="9"/>
        <rFont val="Arial"/>
        <family val="2"/>
      </rPr>
      <t>2</t>
    </r>
  </si>
  <si>
    <t>other</t>
  </si>
  <si>
    <t>reference unit</t>
  </si>
  <si>
    <t>g/L</t>
  </si>
  <si>
    <t>2000</t>
  </si>
  <si>
    <t>2005</t>
  </si>
  <si>
    <t>gge</t>
  </si>
  <si>
    <t>ggeTOMJ</t>
  </si>
  <si>
    <t>diesel</t>
  </si>
  <si>
    <t>Notes</t>
  </si>
  <si>
    <t>units</t>
  </si>
  <si>
    <t>value</t>
  </si>
  <si>
    <t>call no.</t>
  </si>
  <si>
    <t>Datum description</t>
  </si>
  <si>
    <t>As printed in source</t>
  </si>
  <si>
    <t>Conversion factors for physical units</t>
  </si>
  <si>
    <t>To convert</t>
  </si>
  <si>
    <t>Multiply</t>
  </si>
  <si>
    <t>from</t>
  </si>
  <si>
    <t>to</t>
  </si>
  <si>
    <t>(cell name)</t>
  </si>
  <si>
    <t>by</t>
  </si>
  <si>
    <t>cm</t>
  </si>
  <si>
    <t>in</t>
  </si>
  <si>
    <t>cmTOin</t>
  </si>
  <si>
    <t>ft</t>
  </si>
  <si>
    <t>m</t>
  </si>
  <si>
    <t>ftTOm</t>
  </si>
  <si>
    <t>inTOcm</t>
  </si>
  <si>
    <t>therm</t>
  </si>
  <si>
    <r>
      <t>CO</t>
    </r>
    <r>
      <rPr>
        <vertAlign val="subscript"/>
        <sz val="9"/>
        <rFont val="Arial"/>
        <family val="2"/>
      </rPr>
      <t>2</t>
    </r>
  </si>
  <si>
    <t>massCO2</t>
  </si>
  <si>
    <r>
      <t>CH</t>
    </r>
    <r>
      <rPr>
        <vertAlign val="subscript"/>
        <sz val="9"/>
        <rFont val="Arial"/>
        <family val="2"/>
      </rPr>
      <t>4</t>
    </r>
  </si>
  <si>
    <t>massCH4</t>
  </si>
  <si>
    <t>GWPCH4</t>
  </si>
  <si>
    <t>GWPN2O</t>
  </si>
  <si>
    <t>source</t>
  </si>
  <si>
    <r>
      <t>N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</si>
  <si>
    <t>massN2O</t>
  </si>
  <si>
    <t>total</t>
  </si>
  <si>
    <t>densityC3H8</t>
  </si>
  <si>
    <t>densityCH4</t>
  </si>
  <si>
    <t>densityCO</t>
  </si>
  <si>
    <t>densityCO2</t>
  </si>
  <si>
    <t>densityN2O</t>
  </si>
  <si>
    <t>yrTOhr</t>
  </si>
  <si>
    <t>acre</t>
  </si>
  <si>
    <t>ft2</t>
  </si>
  <si>
    <t>acreTOft2</t>
  </si>
  <si>
    <t>ha</t>
  </si>
  <si>
    <t>acreTOha</t>
  </si>
  <si>
    <t>km2</t>
  </si>
  <si>
    <t>acreTOkm2</t>
  </si>
  <si>
    <t>m2</t>
  </si>
  <si>
    <t>acreTOm2</t>
  </si>
  <si>
    <t>mi2</t>
  </si>
  <si>
    <t>acreTOmi2</t>
  </si>
  <si>
    <t>ft2TOm2</t>
  </si>
  <si>
    <t>haTOacre</t>
  </si>
  <si>
    <t>This is the temp. usually used by American engineers</t>
  </si>
  <si>
    <t>mi2TOacre</t>
  </si>
  <si>
    <t>mi2TOkm2</t>
  </si>
  <si>
    <t>acre-ft</t>
  </si>
  <si>
    <t>gal</t>
  </si>
  <si>
    <t>acreftTOgal</t>
  </si>
  <si>
    <t>m3</t>
  </si>
  <si>
    <t>acreftTOm3</t>
  </si>
  <si>
    <t>acre-in</t>
  </si>
  <si>
    <t>acreinTOgal</t>
  </si>
  <si>
    <t>ft3</t>
  </si>
  <si>
    <t>ft3TOgal</t>
  </si>
  <si>
    <t>liter</t>
  </si>
  <si>
    <t>ft3TOm3</t>
  </si>
  <si>
    <t>galTOacreft</t>
  </si>
  <si>
    <t>galTOacrein</t>
  </si>
  <si>
    <t>galTOm3</t>
  </si>
  <si>
    <t>m3TOacreft</t>
  </si>
  <si>
    <t>m3TOft3</t>
  </si>
  <si>
    <t>m3TOgal</t>
  </si>
  <si>
    <t>N</t>
  </si>
  <si>
    <t>lbTON</t>
  </si>
  <si>
    <t>densityCO2at60degF</t>
  </si>
  <si>
    <t>densityN2Oat60degF</t>
  </si>
  <si>
    <t>densityNO2at60degF</t>
  </si>
  <si>
    <t>densitySO2at60degF</t>
  </si>
  <si>
    <t>mo</t>
  </si>
  <si>
    <t>moTOday</t>
  </si>
  <si>
    <t>yrTOmo</t>
  </si>
  <si>
    <t>dayTOyr</t>
  </si>
  <si>
    <t>moTOyr</t>
  </si>
  <si>
    <t>GJTOtherm</t>
  </si>
  <si>
    <t>2. Convert to TJ</t>
    <phoneticPr fontId="27" type="noConversion"/>
  </si>
  <si>
    <t>VanPool</t>
  </si>
  <si>
    <t>mmBtu.MWhTOkJ.kWh</t>
  </si>
  <si>
    <t>mmBtu.MWhTOMJ.kWh</t>
  </si>
  <si>
    <t>g/hp-h</t>
  </si>
  <si>
    <t>lb/MWh</t>
  </si>
  <si>
    <t>g.hphTOlb.MWh</t>
  </si>
  <si>
    <t>g/kWh</t>
  </si>
  <si>
    <t>g.kWhTOlb.MWh</t>
  </si>
  <si>
    <t>kg/GJ</t>
  </si>
  <si>
    <t>kg.GJTOlb.MWh</t>
  </si>
  <si>
    <t>lb/mmBtu</t>
  </si>
  <si>
    <t>Mg/mmBtu</t>
  </si>
  <si>
    <t>atm</t>
  </si>
  <si>
    <t>bar</t>
  </si>
  <si>
    <t>atmTObar</t>
  </si>
  <si>
    <t>psi</t>
  </si>
  <si>
    <t>atmTOpsi</t>
  </si>
  <si>
    <t>Pa</t>
  </si>
  <si>
    <t>barTOPa</t>
  </si>
  <si>
    <t>barTOpsi</t>
  </si>
  <si>
    <t>psiTOPa</t>
  </si>
  <si>
    <t>Btu</t>
  </si>
  <si>
    <t>cal</t>
  </si>
  <si>
    <t>BtuTOcal</t>
  </si>
  <si>
    <t>J</t>
  </si>
  <si>
    <t>BtuTOJ</t>
  </si>
  <si>
    <t>kJ</t>
  </si>
  <si>
    <t>BtuTOkJ</t>
  </si>
  <si>
    <t>lb.MWhTOton.GWh</t>
  </si>
  <si>
    <t>ng.JTOlb.mmBtu</t>
  </si>
  <si>
    <t>Tg.quadTOlb.mmBtu</t>
  </si>
  <si>
    <t>ton.GWhTOlb.MWh</t>
  </si>
  <si>
    <t>kWh</t>
  </si>
  <si>
    <t>BtuTOkWh</t>
  </si>
  <si>
    <t>MJ</t>
  </si>
  <si>
    <t>BtuTOMJ</t>
  </si>
  <si>
    <t>Wh</t>
  </si>
  <si>
    <t>BtuTOWh</t>
  </si>
  <si>
    <t>calTOBtu</t>
  </si>
  <si>
    <t>calTOJ</t>
  </si>
  <si>
    <t>EJ</t>
  </si>
  <si>
    <t>TWh</t>
  </si>
  <si>
    <t>EJTOTWh</t>
  </si>
  <si>
    <t>GJ</t>
  </si>
  <si>
    <t>MWh</t>
  </si>
  <si>
    <t>GJTOMWh</t>
  </si>
  <si>
    <t>JTOBtu</t>
  </si>
  <si>
    <t>JTOcal</t>
  </si>
  <si>
    <t>JTOWh</t>
  </si>
  <si>
    <t>kcal</t>
  </si>
  <si>
    <t>kcalTOMJ</t>
  </si>
  <si>
    <t>kJTOBtu</t>
  </si>
  <si>
    <t>kWhTOBtu</t>
  </si>
  <si>
    <t>kWhTOMJ</t>
  </si>
  <si>
    <t>MJTOBtu</t>
  </si>
  <si>
    <t>MJTOkWh</t>
  </si>
  <si>
    <t>MJTOkcal</t>
  </si>
  <si>
    <t>MJTOMWh</t>
  </si>
  <si>
    <t>mmBtu</t>
  </si>
  <si>
    <t>mmBtuTOMJ</t>
  </si>
  <si>
    <t>mmBtuTOMWh</t>
  </si>
  <si>
    <t>Mtoe</t>
  </si>
  <si>
    <t>Res-Heat &amp; Hot Water</t>
  </si>
  <si>
    <t>Commercial- Heat &amp; Hot Water</t>
  </si>
  <si>
    <t>Commercial- Equip</t>
  </si>
  <si>
    <t>Waste- Landfills</t>
  </si>
  <si>
    <t>Waste-Management</t>
  </si>
  <si>
    <t>mm</t>
  </si>
  <si>
    <t>inTOmm</t>
  </si>
  <si>
    <t>km</t>
  </si>
  <si>
    <t>mi</t>
  </si>
  <si>
    <t>kmTOmi</t>
  </si>
  <si>
    <t>miTOkm</t>
  </si>
  <si>
    <t>mmTOin</t>
  </si>
  <si>
    <t>g</t>
  </si>
  <si>
    <t>lb</t>
  </si>
  <si>
    <t>gTOlb</t>
  </si>
  <si>
    <t>kg</t>
  </si>
  <si>
    <t>kgTOg</t>
  </si>
  <si>
    <t>kgTOlb</t>
  </si>
  <si>
    <t>lbTOg</t>
  </si>
  <si>
    <t>lbTOkg</t>
  </si>
  <si>
    <t>Mg</t>
  </si>
  <si>
    <t>lbTOMg</t>
  </si>
  <si>
    <t>ton</t>
  </si>
  <si>
    <t>lbTOton</t>
  </si>
  <si>
    <t>MgTOton</t>
  </si>
  <si>
    <t>tonTOlb</t>
  </si>
  <si>
    <t>tonTOMg</t>
  </si>
  <si>
    <t>hr</t>
  </si>
  <si>
    <t>day</t>
  </si>
  <si>
    <t>hrTOday</t>
  </si>
  <si>
    <t>s</t>
  </si>
  <si>
    <t>hrTOs</t>
  </si>
  <si>
    <t>yr</t>
  </si>
  <si>
    <t>hrTOyr</t>
  </si>
  <si>
    <t>sTOday</t>
  </si>
  <si>
    <t>sTOhr</t>
  </si>
  <si>
    <t>haTOkm2</t>
  </si>
  <si>
    <t>Roel</t>
  </si>
  <si>
    <t>km2TOacre</t>
  </si>
  <si>
    <t>km2TOm2</t>
  </si>
  <si>
    <t>km2TOmi2</t>
  </si>
  <si>
    <t>m2TOacre</t>
  </si>
  <si>
    <t>m2TOft2</t>
  </si>
  <si>
    <t>m2TOkm2</t>
  </si>
  <si>
    <t>Trans-Rail</t>
    <phoneticPr fontId="17" type="noConversion"/>
  </si>
  <si>
    <t>Sector Tables</t>
    <phoneticPr fontId="17" type="noConversion"/>
  </si>
  <si>
    <t>Total Freight</t>
  </si>
  <si>
    <t xml:space="preserve">Industrial </t>
  </si>
  <si>
    <t>Electricity</t>
  </si>
  <si>
    <t xml:space="preserve">Residential </t>
  </si>
  <si>
    <t>BUILDINGS</t>
  </si>
  <si>
    <t>INDUSTRIAL PROCESSES AND FUGITIVE GASES</t>
  </si>
  <si>
    <t>Direct Fuel Use</t>
  </si>
  <si>
    <t>Cement manufacture</t>
  </si>
  <si>
    <t>Cars &amp; Light Trucks</t>
  </si>
  <si>
    <t>Pleasure Craft, Diesel</t>
  </si>
  <si>
    <t>Pleasure Craft, Gasoline</t>
  </si>
  <si>
    <t xml:space="preserve">Rail Transportation </t>
  </si>
  <si>
    <t xml:space="preserve">Wastewater Treatment </t>
  </si>
  <si>
    <t xml:space="preserve">TOTAL </t>
  </si>
  <si>
    <t>Cement</t>
  </si>
  <si>
    <t>Direct fuel use</t>
  </si>
  <si>
    <t>Van Pool</t>
  </si>
  <si>
    <t>Totals</t>
  </si>
  <si>
    <t xml:space="preserve">LPG </t>
  </si>
  <si>
    <t xml:space="preserve">CNG </t>
  </si>
  <si>
    <t xml:space="preserve">Oil </t>
  </si>
  <si>
    <t xml:space="preserve">Diesel </t>
  </si>
  <si>
    <t xml:space="preserve">Gasoline </t>
  </si>
  <si>
    <t>TRANSPORTATION</t>
  </si>
  <si>
    <t xml:space="preserve">Road Transportation </t>
  </si>
  <si>
    <t>Tire-derived fuel</t>
  </si>
  <si>
    <t>Buses</t>
  </si>
  <si>
    <t>Cruise Ships (hotelling)</t>
  </si>
  <si>
    <t>Sea-Tac International Airport</t>
  </si>
  <si>
    <t xml:space="preserve">Cement </t>
  </si>
  <si>
    <t xml:space="preserve">Direct Fuel Use </t>
  </si>
  <si>
    <t>Fugitive Gases</t>
  </si>
  <si>
    <t>Process Emissions</t>
  </si>
  <si>
    <t xml:space="preserve">Rail </t>
  </si>
  <si>
    <t>WASTE</t>
  </si>
  <si>
    <t>Commercial Trucks</t>
  </si>
  <si>
    <t>tables reorganized by sector, links to tables sheet and ignores scopes</t>
    <phoneticPr fontId="17" type="noConversion"/>
  </si>
  <si>
    <t xml:space="preserve">Road </t>
  </si>
  <si>
    <t xml:space="preserve"> Other freight</t>
  </si>
  <si>
    <t xml:space="preserve"> Totals</t>
  </si>
  <si>
    <t>Industrial Equipment</t>
  </si>
  <si>
    <t xml:space="preserve">Electricity </t>
  </si>
  <si>
    <t>Port of Seattle Off-terminal</t>
  </si>
  <si>
    <t>Port of Seattle On-terminal</t>
  </si>
  <si>
    <t>Steam plants</t>
  </si>
  <si>
    <t>Direct Fuel Use (other than Steam)</t>
  </si>
  <si>
    <t>Industrial Operations</t>
  </si>
  <si>
    <t>BUILDINGS &amp; EQUIPMENT</t>
  </si>
  <si>
    <t>Residents</t>
  </si>
  <si>
    <t>Commercial Employees</t>
  </si>
  <si>
    <t xml:space="preserve">Industrial Employees </t>
  </si>
  <si>
    <t>Ind- Operations</t>
  </si>
  <si>
    <t>Ind- Process</t>
  </si>
  <si>
    <t>Ind- Fug. Gases</t>
  </si>
  <si>
    <t>2003</t>
  </si>
  <si>
    <t>Manure Management</t>
  </si>
  <si>
    <t>Enteric Emissions from Livestock</t>
  </si>
  <si>
    <t>Animal Population</t>
  </si>
  <si>
    <t xml:space="preserve">     Milk Cow</t>
  </si>
  <si>
    <t xml:space="preserve">     Beef Cow</t>
  </si>
  <si>
    <t xml:space="preserve">     Beef Cattle</t>
  </si>
  <si>
    <t xml:space="preserve">     Horse</t>
  </si>
  <si>
    <t xml:space="preserve">     Sheep</t>
  </si>
  <si>
    <t xml:space="preserve">     Swine</t>
  </si>
  <si>
    <t xml:space="preserve">     Goat</t>
  </si>
  <si>
    <t xml:space="preserve">     Mink</t>
  </si>
  <si>
    <t>1. multiply animal population by respective EF</t>
  </si>
  <si>
    <t>Emission Factor (EF)</t>
  </si>
  <si>
    <t>3. convert to CO2e</t>
  </si>
  <si>
    <t>kgCH4/animal</t>
  </si>
  <si>
    <t># animals</t>
  </si>
  <si>
    <t>kgCH4</t>
  </si>
  <si>
    <t>2. aggregate enteric livestock emissions</t>
  </si>
  <si>
    <t>N2O Emissions from Agricultural Soil Management</t>
  </si>
  <si>
    <t>CH4 Emissions</t>
  </si>
  <si>
    <t>N20 Emissions</t>
  </si>
  <si>
    <t>--</t>
  </si>
  <si>
    <t>Total Manure Mangement Emissions</t>
  </si>
  <si>
    <t>MgCH4</t>
  </si>
  <si>
    <t>AGRICULTURE</t>
  </si>
  <si>
    <t xml:space="preserve">     Poultry</t>
  </si>
  <si>
    <t>Typical Animal Mass (TAM)</t>
  </si>
  <si>
    <t>Volatile Solids (VS)</t>
  </si>
  <si>
    <t>kg/day per 1000kg mass</t>
  </si>
  <si>
    <t xml:space="preserve">     dry manure systems</t>
  </si>
  <si>
    <t xml:space="preserve">     wet manure systems</t>
  </si>
  <si>
    <t xml:space="preserve">     poultry systems</t>
  </si>
  <si>
    <t>pg. 124</t>
  </si>
  <si>
    <t>pg. 10 (calculation formula)</t>
  </si>
  <si>
    <t>1. calculate composite MCF</t>
  </si>
  <si>
    <t>Table 10.17</t>
  </si>
  <si>
    <t xml:space="preserve">   Uncovered anaerobic lagoon (≤10°C annual T)</t>
  </si>
  <si>
    <t xml:space="preserve">   Liquid/Slurry (≤10°C annual T, w/out natural crust cover)</t>
  </si>
  <si>
    <t>Methane Conversion Factor (MCF)</t>
  </si>
  <si>
    <t>Conversion: kg to 1000kg</t>
  </si>
  <si>
    <t>Conversion: days per year</t>
  </si>
  <si>
    <t>kg/1000kg</t>
  </si>
  <si>
    <t>days/year</t>
  </si>
  <si>
    <t>Average of liquid/slurry and uncovered anaerobic lagoon</t>
  </si>
  <si>
    <t>Density of methane (ρCH4)</t>
  </si>
  <si>
    <t>3. aggregate manure management emissions</t>
  </si>
  <si>
    <t>4. convert to MgCH4</t>
  </si>
  <si>
    <t>4. convert to MgCO2e</t>
  </si>
  <si>
    <t>Conversion factor for N2O-N to N20</t>
  </si>
  <si>
    <t>N2O EF</t>
  </si>
  <si>
    <t>kg per 1000kg mass</t>
  </si>
  <si>
    <t>1. multiply: AnimalPop*TAM*(kg/1000kg)*Ne*(days/year)*(N2O EF)*(ConvN20-N to N2O)</t>
  </si>
  <si>
    <t>2. aggregate manure management emissions</t>
  </si>
  <si>
    <t>3. convert to MgN2O</t>
  </si>
  <si>
    <t>acres</t>
  </si>
  <si>
    <t xml:space="preserve">     U.S.</t>
  </si>
  <si>
    <t>Cropland</t>
  </si>
  <si>
    <t>Indirect N2O Emissions from Soils (U.S.)</t>
  </si>
  <si>
    <t>Direct N2O Emissions from Soils (U.S.)</t>
  </si>
  <si>
    <t xml:space="preserve">     Volatilization &amp; Atm. Deposition</t>
  </si>
  <si>
    <t xml:space="preserve">     Surface Leaching &amp; Run-Off</t>
  </si>
  <si>
    <t>Agriculture</t>
  </si>
  <si>
    <t>Tonnage</t>
  </si>
  <si>
    <t>2001</t>
  </si>
  <si>
    <t>2002</t>
  </si>
  <si>
    <t>2004</t>
  </si>
  <si>
    <t>2006</t>
  </si>
  <si>
    <t>2007</t>
  </si>
  <si>
    <r>
      <t>MgCO</t>
    </r>
    <r>
      <rPr>
        <b/>
        <vertAlign val="subscript"/>
        <sz val="9"/>
        <color theme="3" tint="0.39997558519241921"/>
        <rFont val="Arial"/>
        <family val="2"/>
      </rPr>
      <t>2</t>
    </r>
    <r>
      <rPr>
        <b/>
        <sz val="9"/>
        <color theme="3" tint="0.39997558519241921"/>
        <rFont val="Arial"/>
        <family val="2"/>
      </rPr>
      <t>e</t>
    </r>
  </si>
  <si>
    <t>4. Calculate tonnage ratio, wrt 2005</t>
  </si>
  <si>
    <t>Rail (Freight)</t>
  </si>
  <si>
    <t>1. Aggregate natural gas (therms)</t>
  </si>
  <si>
    <t>row 100</t>
  </si>
  <si>
    <t>glass</t>
  </si>
  <si>
    <t>3. Aggregate steel production</t>
  </si>
  <si>
    <t>4. Calculate steel emissions</t>
  </si>
  <si>
    <t xml:space="preserve">   EF (default for manufacturing of glass)</t>
  </si>
  <si>
    <t>tonnes CO2/tonne glass</t>
  </si>
  <si>
    <t xml:space="preserve">   CR (cullet ratio for process)</t>
  </si>
  <si>
    <t>pg. 2-29</t>
  </si>
  <si>
    <t xml:space="preserve">     (CO2 emissions) = (M)*(EF)*(1-CR)</t>
  </si>
  <si>
    <t>pg. 2-28, eqn. 2.10</t>
  </si>
  <si>
    <t>pg. 46</t>
  </si>
  <si>
    <t>TOTAL ROAD EMISSIONS</t>
  </si>
  <si>
    <r>
      <t>MgCO</t>
    </r>
    <r>
      <rPr>
        <vertAlign val="subscript"/>
        <sz val="9"/>
        <color theme="3" tint="0.39997558519241921"/>
        <rFont val="Arial"/>
        <family val="2"/>
      </rPr>
      <t>2</t>
    </r>
    <r>
      <rPr>
        <sz val="9"/>
        <color theme="3" tint="0.39997558519241921"/>
        <rFont val="Arial"/>
        <family val="2"/>
      </rPr>
      <t>e</t>
    </r>
  </si>
  <si>
    <t>CNG Agric</t>
  </si>
  <si>
    <t>CNG Construct</t>
  </si>
  <si>
    <t>CNG Industrial</t>
  </si>
  <si>
    <t>Diesel Agric</t>
  </si>
  <si>
    <t>Diesel Construct</t>
  </si>
  <si>
    <t>Diesel Industrial</t>
  </si>
  <si>
    <t>Diesel Logging</t>
  </si>
  <si>
    <t>Gas Agric</t>
  </si>
  <si>
    <t>Gas Construct</t>
  </si>
  <si>
    <t>Gas Industrial</t>
  </si>
  <si>
    <t>Gas Logging</t>
  </si>
  <si>
    <t>LPG Agric</t>
  </si>
  <si>
    <t>LPG Construct</t>
  </si>
  <si>
    <t>LPG Industrial</t>
  </si>
  <si>
    <t>Total CNG</t>
  </si>
  <si>
    <t>Total Diesel</t>
  </si>
  <si>
    <t>Total Gasoline</t>
  </si>
  <si>
    <t>Total LPG</t>
  </si>
  <si>
    <t>3. Total equipment emissions</t>
  </si>
  <si>
    <t>Diesel Land Rec</t>
  </si>
  <si>
    <t>Gas Res L&amp;G</t>
  </si>
  <si>
    <t>Gas Land Rec</t>
  </si>
  <si>
    <t>LPG Land Rec</t>
  </si>
  <si>
    <t>Diesel Boats</t>
  </si>
  <si>
    <t>Gas Boats</t>
  </si>
  <si>
    <t>Lafarge North America Inc_Clinker Cooler_Pt2Seg1</t>
  </si>
  <si>
    <t>houses</t>
  </si>
  <si>
    <t>Industrial Small Equipment</t>
  </si>
  <si>
    <t>CC</t>
  </si>
  <si>
    <t>First draft of King County 2008 geographic inventory</t>
  </si>
  <si>
    <t>Agr</t>
  </si>
  <si>
    <t>Marine Transportation</t>
  </si>
  <si>
    <t>Industrial - Process Emissions and Fugitive Gases</t>
  </si>
  <si>
    <t>Steel and Glass</t>
  </si>
  <si>
    <t>Soil Management</t>
  </si>
  <si>
    <t>Switchgear Insulation (SF6)</t>
  </si>
  <si>
    <t>Revise chart for sub-groups</t>
  </si>
  <si>
    <t xml:space="preserve">1. Add 2005 OGV manuervering + harbor vessels </t>
  </si>
  <si>
    <t>Table 8, pg. 292</t>
  </si>
  <si>
    <t>Table 8, pg. 345</t>
  </si>
  <si>
    <t>Farm Acreage (cropland)</t>
  </si>
  <si>
    <t>2. Multiply acreage ratio by direct emissions</t>
  </si>
  <si>
    <t>3. Multiply acreage ratio by indirect emissions</t>
  </si>
  <si>
    <t>4. Sum direct and indirect KC emissions</t>
  </si>
  <si>
    <t>5. Convert to MgCO2e</t>
  </si>
  <si>
    <t>passengers</t>
  </si>
  <si>
    <t>% SeaTac emissions attributable to King County</t>
  </si>
  <si>
    <t>cell C29</t>
  </si>
  <si>
    <t>Ratio is based on population (personal) and employment (business), and origin within airshed.</t>
  </si>
  <si>
    <t>PSE emissions</t>
  </si>
  <si>
    <t>Motorbus</t>
  </si>
  <si>
    <t>biodiesel</t>
  </si>
  <si>
    <t>Sound Transit operations: fraction within King County</t>
  </si>
  <si>
    <t>Pleasure Craft</t>
  </si>
  <si>
    <t>Landfills</t>
  </si>
  <si>
    <t>INDUSTRY</t>
  </si>
  <si>
    <t xml:space="preserve"> ODS Substitutes</t>
  </si>
  <si>
    <t>Road</t>
  </si>
  <si>
    <t>Marine and Rail</t>
  </si>
  <si>
    <t>Total Emissions</t>
  </si>
  <si>
    <t>Energy Use</t>
  </si>
  <si>
    <t>Process</t>
  </si>
  <si>
    <t>Glass</t>
  </si>
  <si>
    <t>KC08-14-3_SeaTacFuel</t>
  </si>
  <si>
    <t>Total Enplaned Passengers (domestic and international)</t>
  </si>
  <si>
    <t>Ratio 2003:2005</t>
  </si>
  <si>
    <t>2005 Jet Fuel Consumption</t>
  </si>
  <si>
    <t xml:space="preserve">2003 data not available; 2004 incomplete. </t>
  </si>
  <si>
    <t>KC08-14-4_AnnActReport05</t>
  </si>
  <si>
    <t>Includes domestic and international flights; passenger flights only.</t>
  </si>
  <si>
    <t>KC08-14-5_AnnActReport03</t>
  </si>
  <si>
    <t>KC08-14-2_AnnActReport08</t>
  </si>
  <si>
    <t>landings</t>
  </si>
  <si>
    <t>Landings</t>
  </si>
  <si>
    <t>All-Cargo Landings</t>
  </si>
  <si>
    <t>Total Landings</t>
  </si>
  <si>
    <t>KC08-14-1_SeaTacRatio '2008'</t>
  </si>
  <si>
    <t>KC08-14-1_SeaTacRatio '2003'</t>
  </si>
  <si>
    <t>cell C28</t>
  </si>
  <si>
    <t>Total Ops</t>
  </si>
  <si>
    <t>Assume roughly equal to 2008</t>
  </si>
  <si>
    <t>aircraft operations</t>
  </si>
  <si>
    <t>08-14-1</t>
  </si>
  <si>
    <t>Scale by historical activity</t>
  </si>
  <si>
    <t>Petroleum (Heating)</t>
  </si>
  <si>
    <t>Petroleum (Heat and Other)</t>
  </si>
  <si>
    <t>Tire</t>
  </si>
  <si>
    <t>Cement (Calcination)</t>
  </si>
  <si>
    <t>King Co. Airport</t>
  </si>
  <si>
    <t>SeaTac Air Travel</t>
  </si>
  <si>
    <r>
      <t>All figures shown are in metric tons of CO2 equivalent (MgCO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 xml:space="preserve">e) </t>
    </r>
  </si>
  <si>
    <t>All figures shown are in metric tons of CO2 equivalent (MgCO2e) and rounded to nearest 1,000 where possible</t>
  </si>
  <si>
    <r>
      <t>Switchgear Insulation (SF</t>
    </r>
    <r>
      <rPr>
        <b/>
        <vertAlign val="subscript"/>
        <sz val="9"/>
        <rFont val="Arial"/>
        <family val="2"/>
      </rPr>
      <t>6</t>
    </r>
    <r>
      <rPr>
        <b/>
        <sz val="9"/>
        <rFont val="Arial"/>
        <family val="2"/>
      </rPr>
      <t>)</t>
    </r>
  </si>
  <si>
    <t>2008 population</t>
  </si>
  <si>
    <t>2007 population</t>
  </si>
  <si>
    <t>popWA08</t>
  </si>
  <si>
    <t>popWA07</t>
  </si>
  <si>
    <t>2003 population</t>
  </si>
  <si>
    <t>popWA03</t>
  </si>
  <si>
    <t xml:space="preserve"> Ozone-Depleting Substances (ODS) Substitutes</t>
  </si>
  <si>
    <t>2. Calculate KC-associated consumption</t>
  </si>
  <si>
    <t>8. Emissions using US vehicle efficiency</t>
  </si>
  <si>
    <t>Total Natural Gas Consumption</t>
  </si>
  <si>
    <t>6. Calculate emissions</t>
  </si>
  <si>
    <t>Trans-Road</t>
  </si>
  <si>
    <t>Trans-Marine</t>
  </si>
  <si>
    <t>Trans-Air</t>
  </si>
  <si>
    <t>Ind- Small Equip</t>
  </si>
  <si>
    <t xml:space="preserve">Metric tons of carbon dioxide equivalent (CO2e) </t>
  </si>
  <si>
    <t>Per Capita GHG Emissions by Sector</t>
  </si>
  <si>
    <t>Petroleum (Yard Equipment)</t>
  </si>
  <si>
    <t>Natural Gas (Commercial Equipment)</t>
  </si>
  <si>
    <t>Natural Gas (Heat and Other)</t>
  </si>
  <si>
    <t>Petroleum (Commercial Equipment)</t>
  </si>
  <si>
    <t>ODS Substitutes</t>
  </si>
  <si>
    <t>Switchgear Insulation</t>
  </si>
  <si>
    <t>Natural Gas (Industrial Equipment)</t>
  </si>
  <si>
    <t>Petroleum (Industrial Equipment)</t>
  </si>
  <si>
    <t>transportation to landfill</t>
  </si>
  <si>
    <t>carbon sequestration</t>
  </si>
  <si>
    <t>KC08-050-4_Waste_calcs</t>
  </si>
  <si>
    <r>
      <t>MgCO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</t>
    </r>
  </si>
  <si>
    <t>emissions from disposal of MSW</t>
  </si>
  <si>
    <t>King County's Community GHG Emissions Inventory (Draft)</t>
  </si>
  <si>
    <t>Cedar Hills landfill</t>
  </si>
  <si>
    <t>Closed landfills</t>
  </si>
  <si>
    <t>list of worksheets</t>
  </si>
  <si>
    <t>Revision history (beginning after the October 2010 delivery of the full inventory).</t>
  </si>
  <si>
    <t>Land Use Change - Emissions from Clearing for Residential Development</t>
  </si>
  <si>
    <t>Building permits issued for new residential construction</t>
  </si>
  <si>
    <t>Number of permits</t>
  </si>
  <si>
    <t>KC08-80-2</t>
  </si>
  <si>
    <t>tons C / hectare</t>
  </si>
  <si>
    <t>Parcel starting conditions</t>
  </si>
  <si>
    <t>Mean canopy cover</t>
  </si>
  <si>
    <t>Mean carbon density</t>
  </si>
  <si>
    <t>a. Land cleared (assuming 100% cleared)</t>
  </si>
  <si>
    <t>a.  Carbon per acre * acres cleared</t>
  </si>
  <si>
    <t>b.  Convert to CO2</t>
  </si>
  <si>
    <t>LAND USE</t>
  </si>
  <si>
    <t>Clearing for residential development</t>
  </si>
  <si>
    <t>Clearing for Residential Development</t>
  </si>
  <si>
    <t>Residential Development</t>
  </si>
  <si>
    <t>LAND USE CHANGE</t>
  </si>
  <si>
    <t>Less than or equal to 0.25 acres</t>
  </si>
  <si>
    <t>Acreage of parcels</t>
  </si>
  <si>
    <t>0.25 to 1 acres</t>
  </si>
  <si>
    <t>&gt;1 acre</t>
  </si>
  <si>
    <t>Assumed clearing</t>
  </si>
  <si>
    <t>1.  Total acres cleared</t>
  </si>
  <si>
    <t>2.  Estimate carbon stocks  per acre</t>
  </si>
  <si>
    <t>3.  Estimate carbon lost by clearing</t>
  </si>
  <si>
    <t>This carbon density assumes the mean canopy cover rate above and includes only aboveground live biomass in trees</t>
  </si>
  <si>
    <t>Ratio of belowground to aboveground live biomass</t>
  </si>
  <si>
    <t>a.  Carbon per hectare - aboveground</t>
  </si>
  <si>
    <t>c.  Convert to tons C/acre</t>
  </si>
  <si>
    <t>b.  Add in belowground carbon</t>
  </si>
  <si>
    <t>N2O</t>
  </si>
  <si>
    <t>CH4</t>
  </si>
  <si>
    <t>VMT</t>
  </si>
  <si>
    <t>Emissions Source</t>
  </si>
  <si>
    <t xml:space="preserve">Core </t>
  </si>
  <si>
    <t>Transportation: Road</t>
  </si>
  <si>
    <t>Emissions (MtCO2e)</t>
  </si>
  <si>
    <t>VMT (billions miles)</t>
  </si>
  <si>
    <t>Buildings: Residential &amp; Commercial</t>
  </si>
  <si>
    <t>Waste: Landfills</t>
  </si>
  <si>
    <t>Emissions per capita (tCO2e/resident)</t>
  </si>
  <si>
    <t>Residential waste per capita (tons / resident)</t>
  </si>
  <si>
    <t>Nonresidential waste per capita (tons / employee)</t>
  </si>
  <si>
    <t>Expanded: Consumption</t>
  </si>
  <si>
    <t>n/a</t>
  </si>
  <si>
    <t>Expanded: Production</t>
  </si>
  <si>
    <t>Other Industry</t>
  </si>
  <si>
    <t>Port of Seattle</t>
  </si>
  <si>
    <t>Land Use</t>
  </si>
  <si>
    <t>In-region Landfills</t>
  </si>
  <si>
    <t>VMT per capita (thousand miles/resident)</t>
  </si>
  <si>
    <t>Emissions per mile (kgCO2e/VMT)</t>
  </si>
  <si>
    <t>3. Calculate oil emissions</t>
  </si>
  <si>
    <t>Residential Energy use (trillion BTU)</t>
  </si>
  <si>
    <t>Commercial energy use (trillion BTU)</t>
  </si>
  <si>
    <t>Energy use (trillion BTU)</t>
  </si>
  <si>
    <t>Residential energy per capita (million BTU/resident)</t>
  </si>
  <si>
    <t>tonne steel</t>
  </si>
  <si>
    <t>tonne glass</t>
  </si>
  <si>
    <t>tonne clinker</t>
  </si>
  <si>
    <t>Residential waste (tons)</t>
  </si>
  <si>
    <t>Nonresidential waste (tons)</t>
  </si>
  <si>
    <t>tCO2e</t>
  </si>
  <si>
    <t>MtCO2e</t>
  </si>
  <si>
    <t>row 26</t>
  </si>
  <si>
    <t>No longer subtracting out residential equipment</t>
  </si>
  <si>
    <t>Corrected to subtract out all natural gas from point sources</t>
  </si>
  <si>
    <t>row 21</t>
  </si>
  <si>
    <t>Moved Jorgensen natural gas from Ind- Process tab</t>
  </si>
  <si>
    <t>6. Convert to Mg</t>
  </si>
  <si>
    <t>7. Calculate glass production emissions:</t>
  </si>
  <si>
    <t>8. Calculate total Other Process Emissions</t>
  </si>
  <si>
    <t>row 50</t>
  </si>
  <si>
    <t>No longer adding Jorgensen natural gas</t>
  </si>
  <si>
    <t>Calculated steel emissions from Nucor separately</t>
  </si>
  <si>
    <t>row 52</t>
  </si>
  <si>
    <t>Res- Garden &amp; Rec</t>
  </si>
  <si>
    <t>Commercial energy per employee (million BTU/employee)</t>
  </si>
  <si>
    <t>Freight Truck VMT (billion miles)</t>
  </si>
  <si>
    <t>Energy use per capita per heat demand (thousand BTU per capita per HDD)</t>
  </si>
  <si>
    <t>Industrial Activity ($)</t>
  </si>
  <si>
    <t># of animals</t>
  </si>
  <si>
    <t>throghput (tonnes)</t>
  </si>
  <si>
    <t>Heating oil</t>
  </si>
  <si>
    <t>Electricty</t>
  </si>
  <si>
    <r>
      <t>Emissions per BTU (kg 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e/million BTU)</t>
    </r>
  </si>
  <si>
    <t>Embodied Emissions (MtCO2e)</t>
  </si>
  <si>
    <t>Recycling tons relative to national average</t>
  </si>
  <si>
    <t>per capita</t>
  </si>
  <si>
    <t>Embodied emissions in food, goods, and services</t>
  </si>
  <si>
    <t>Avoided Manufacturing Emissions due to Recycling</t>
  </si>
  <si>
    <t>kgC02e/$</t>
  </si>
  <si>
    <t>Adjusted Emissions</t>
  </si>
  <si>
    <t>GHG intensity of fuels (kg CO2e / MBTU)</t>
  </si>
  <si>
    <t>Freight truck emissions per mile (kgCO2e/VMT)</t>
  </si>
  <si>
    <r>
      <t>Residential GHG intensity of energy (kg 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e/million BTU)</t>
    </r>
  </si>
  <si>
    <r>
      <t>Commercial GHG intensity of energy (kg 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e/million BTU)</t>
    </r>
  </si>
  <si>
    <t>total animal mass, tonnes</t>
  </si>
  <si>
    <t>Air travel</t>
  </si>
  <si>
    <t>Diversion rate</t>
  </si>
  <si>
    <t>Construction</t>
  </si>
  <si>
    <t>Residential emissions</t>
  </si>
  <si>
    <t>Commercial, emissions</t>
  </si>
  <si>
    <t>Residential, per capita</t>
  </si>
  <si>
    <t>Commercial, per capita</t>
  </si>
  <si>
    <t>Composting tons relative to national average</t>
  </si>
  <si>
    <t>Emissions per ton composted</t>
  </si>
  <si>
    <t>Recycling Emissions (MtCO2e)</t>
  </si>
  <si>
    <t>Avoided emissions per resident (tCO2e/resident)</t>
  </si>
  <si>
    <t>Avoided emissions per ton recycled</t>
  </si>
  <si>
    <t>Avoided composting emissions (MtCO2e)</t>
  </si>
  <si>
    <t>Heating degree days (HDD)</t>
  </si>
  <si>
    <t>Cooling degree days (CDD)</t>
  </si>
  <si>
    <t>2003 to 2008 change</t>
  </si>
  <si>
    <t>2009</t>
  </si>
  <si>
    <t>Population</t>
  </si>
  <si>
    <t>Employment</t>
  </si>
  <si>
    <t>short tons</t>
  </si>
  <si>
    <t>PE</t>
  </si>
  <si>
    <t>Natural gas is not a process emission</t>
  </si>
  <si>
    <t>Population; ref</t>
  </si>
  <si>
    <t>numerous</t>
  </si>
  <si>
    <t>popUS06</t>
  </si>
  <si>
    <t>popUS07</t>
  </si>
  <si>
    <t>popUS03</t>
  </si>
  <si>
    <t>popUS04</t>
  </si>
  <si>
    <t>Tables and charts for the summary report</t>
  </si>
  <si>
    <t>Updated population totals from U.S. Census Bureau; updated commercial and industrial employment for 2003 (previous was 2004); this change propagated throughout multiple sheets, including small changes to many results</t>
  </si>
  <si>
    <t>2010</t>
  </si>
  <si>
    <t>2011</t>
  </si>
  <si>
    <t>1000 Gal</t>
  </si>
  <si>
    <t>1000 Therms</t>
  </si>
  <si>
    <t>Passenger VMT (billion miles)</t>
  </si>
  <si>
    <t>Passenger emissions per mile (kgCO2e/VMT)</t>
  </si>
  <si>
    <r>
      <t>Emissions per person (MT 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e/resident)</t>
    </r>
  </si>
  <si>
    <r>
      <t>Passenger emissions per person (MT 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e/resident)</t>
    </r>
  </si>
  <si>
    <t>Freight emissions per person (MT CO2e/resident)</t>
  </si>
  <si>
    <t>Passenger VMT/person (thousand miles/resident)</t>
  </si>
  <si>
    <t>Freight Truck VMT/person (thousand miles/resident)</t>
  </si>
  <si>
    <t>Need better data for oil, especially for commercial.</t>
  </si>
  <si>
    <t>Freight = medium and heavy duty trucks</t>
  </si>
  <si>
    <t>Passenger = Cars. light trucks, buses</t>
  </si>
  <si>
    <t>For Sound Transit buses, used fuel use * EF from Metro buses.  In future iterations, recommend just getting bus VMT data from PSRC along with the other modes.</t>
  </si>
  <si>
    <t>Excludes equipment</t>
  </si>
  <si>
    <t>Includes oil at Seattle Steam</t>
  </si>
  <si>
    <t>2010 population</t>
  </si>
  <si>
    <t>popWA10</t>
  </si>
  <si>
    <t>Source file: KC08-22-0_HDD_CDD</t>
  </si>
  <si>
    <t>Emissions (MT CO2e)</t>
  </si>
  <si>
    <t>Emissions (Million MT CO2e)</t>
  </si>
  <si>
    <t>Residential Emissions (Million MT CO2e)</t>
  </si>
  <si>
    <t>Commercial Emissions (Million MT CO2e)</t>
  </si>
  <si>
    <r>
      <t>Emissions per capita (MT 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e/resident)</t>
    </r>
  </si>
  <si>
    <r>
      <t>Residential emissions per capita (MT 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e/resident)</t>
    </r>
  </si>
  <si>
    <r>
      <t>Commercial emissions per capita (MT 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e/resident)</t>
    </r>
  </si>
  <si>
    <t>Emissions per capita (MT CO2e/resident)</t>
  </si>
  <si>
    <t>Emissions per ton disposed (MT CO2e/ton)</t>
  </si>
  <si>
    <t>Emissions per output (MT CO2e/tonne clinker)</t>
  </si>
  <si>
    <t>This is Nucor steel only (which makes raw steel), not Jorgensen (which is a forge)</t>
  </si>
  <si>
    <t>Emissions per output (MT CO2e/tonne glass)</t>
  </si>
  <si>
    <t>Emissions per output (MT CO2e/tonne steel)</t>
  </si>
  <si>
    <t>Source:KC08-43-1; is value-added by NAICS codes 31-33 (manufacturing), 21 (mining), and 23 (construction) from the U.S. Economic Census for 2007</t>
  </si>
  <si>
    <t>Source: KC08-40-5; these figures for cement, steel, and glass are from 2006 and are measurements from the stock.  Need a better methodology for estimating in the future</t>
  </si>
  <si>
    <t>excludes fugitive gas, switchgear</t>
  </si>
  <si>
    <t>Emisions per animal (MT CO2e/animal)</t>
  </si>
  <si>
    <t>Emissions per animal mass (MT CO2e/t animal)</t>
  </si>
  <si>
    <t>Emissions per tonne throughput (MT CO2e/tonne throughput)</t>
  </si>
  <si>
    <t>Embodied Emissions (Million MT CO2e)</t>
  </si>
  <si>
    <t>Includes natural gas for steam and likely a small emough for equipment</t>
  </si>
  <si>
    <t>efgasoline08</t>
  </si>
  <si>
    <t>efgasoline03</t>
  </si>
  <si>
    <t>Annex 2, Table A-43.</t>
  </si>
  <si>
    <t>KC08-11-12</t>
  </si>
  <si>
    <t>Annex 2, page A-22</t>
  </si>
  <si>
    <t>efgasoline09</t>
  </si>
  <si>
    <t>distillate fuel oil (#2)</t>
  </si>
  <si>
    <t>residual fuel oil (#6)</t>
  </si>
  <si>
    <t>Annex 2, Table A-53.</t>
  </si>
  <si>
    <t>Annex 2, Table A-33.</t>
  </si>
  <si>
    <t>Annex 2, Table A-34.  Nominal value (mode, 1990-2004 bins).</t>
  </si>
  <si>
    <t xml:space="preserve">Annex 2, Table A-34. </t>
  </si>
  <si>
    <t>Annex 2, Table A-34.  Nominal value (mode, 2003-2008).</t>
  </si>
  <si>
    <t>Ref tab</t>
  </si>
  <si>
    <t>per commercial (not incl indust) employee</t>
  </si>
  <si>
    <t>May include small amount of emissions from CNG-fueled equipment that could not be excluded; does include emissions from diesel-powered equipment that could not be excluded</t>
  </si>
  <si>
    <t>Passenger Cars</t>
  </si>
  <si>
    <t>Fuel</t>
  </si>
  <si>
    <t>Other 2-axle 4-tire</t>
  </si>
  <si>
    <t>Total mpg</t>
  </si>
  <si>
    <t>efgasoline07</t>
  </si>
  <si>
    <t>efgasoline06</t>
  </si>
  <si>
    <t>efgasoline04</t>
  </si>
  <si>
    <t>efgasoline02</t>
  </si>
  <si>
    <t>efgasoline01</t>
  </si>
  <si>
    <t>litres/mile</t>
  </si>
  <si>
    <t>kgCO2/mile</t>
  </si>
  <si>
    <t xml:space="preserve">GHG intensity of building energy </t>
  </si>
  <si>
    <t>GHG intensity of PSE electricity</t>
  </si>
  <si>
    <t>Tracking_Framework</t>
  </si>
  <si>
    <t>Added tracking framework tab and populated with 2003 and 2008 results</t>
  </si>
  <si>
    <t>Update to tracking framework to include 2010</t>
  </si>
  <si>
    <t>Update tabs with placeholder for 2011</t>
  </si>
  <si>
    <t>Update tabs for 2010</t>
  </si>
  <si>
    <t>Trans- Road; Res-Heat &amp; Hot Water; Commercial- Heat &amp; Hot Water; Electricity</t>
  </si>
  <si>
    <t>Trans- Road; Res-Heat &amp; Hot Water; Res- Garden &amp; Rec; Commercial- Heat &amp; Hot Water; Commercial- Equip; Electricity</t>
  </si>
  <si>
    <t>Tracking_Framework; Res-Heat &amp; Hot Water; Commerical- Heat&amp; Hot Water</t>
  </si>
  <si>
    <t>Updated data on residential and commerical oil heat</t>
  </si>
  <si>
    <t>Million Cu Ft Burned</t>
  </si>
  <si>
    <t>Gal</t>
  </si>
  <si>
    <t>Ton</t>
  </si>
  <si>
    <t>Tons Clinker Produce</t>
  </si>
  <si>
    <t>TON</t>
  </si>
  <si>
    <r>
      <t>Maximum methane generation potential (B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>)</t>
    </r>
  </si>
  <si>
    <r>
      <t>m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>CH4/kg VS added</t>
    </r>
  </si>
  <si>
    <r>
      <t>Excreted Nitrogen (N</t>
    </r>
    <r>
      <rPr>
        <vertAlign val="subscript"/>
        <sz val="9"/>
        <rFont val="Calibri"/>
        <family val="2"/>
        <scheme val="minor"/>
      </rPr>
      <t>e</t>
    </r>
    <r>
      <rPr>
        <sz val="9"/>
        <rFont val="Calibri"/>
        <family val="2"/>
        <scheme val="minor"/>
      </rPr>
      <t>)</t>
    </r>
  </si>
  <si>
    <r>
      <t>kgCH4/m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>CH4</t>
    </r>
  </si>
  <si>
    <r>
      <t>2. multiply: AnimalPop*TAM*(kg/1000kg)*VS*(days/year)*B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>*MCF*ρCH4</t>
    </r>
  </si>
  <si>
    <r>
      <t>kg N2O-N / kgN</t>
    </r>
    <r>
      <rPr>
        <vertAlign val="subscript"/>
        <sz val="9"/>
        <rFont val="Calibri"/>
        <family val="2"/>
        <scheme val="minor"/>
      </rPr>
      <t>e</t>
    </r>
  </si>
  <si>
    <r>
      <t>kg N2O-N / kgN</t>
    </r>
    <r>
      <rPr>
        <b/>
        <vertAlign val="subscript"/>
        <sz val="9"/>
        <rFont val="Calibri"/>
        <family val="2"/>
        <scheme val="minor"/>
      </rPr>
      <t>e</t>
    </r>
  </si>
  <si>
    <t>2015</t>
  </si>
  <si>
    <t>Brightwater Facility</t>
  </si>
  <si>
    <t xml:space="preserve">Water- Wastewater </t>
  </si>
  <si>
    <t>Energy-related Emissions Associated with Water Delivery and Treatment</t>
  </si>
  <si>
    <t>Appenix:</t>
  </si>
  <si>
    <t>F</t>
  </si>
  <si>
    <t>Page:</t>
  </si>
  <si>
    <t>U.S. Community Protocol Notes</t>
  </si>
  <si>
    <t>Extraction</t>
  </si>
  <si>
    <t>Conveyance</t>
  </si>
  <si>
    <t>Treatment</t>
  </si>
  <si>
    <t>Distribution</t>
  </si>
  <si>
    <t>E</t>
  </si>
  <si>
    <t>INDUSTRIAL FUGITIVE GASES</t>
  </si>
  <si>
    <t>f</t>
  </si>
  <si>
    <t>INDUSTRIAL OPERATIONS</t>
  </si>
  <si>
    <t>Residential Stationary Fuel Use</t>
  </si>
  <si>
    <t>Electricity Usage</t>
  </si>
  <si>
    <t>King County International Airport LTO Emissions</t>
  </si>
  <si>
    <t>Airports</t>
  </si>
  <si>
    <t>KC15-11-02</t>
  </si>
  <si>
    <t>mmTc/QBTU</t>
  </si>
  <si>
    <t>2014</t>
  </si>
  <si>
    <t>2013</t>
  </si>
  <si>
    <t>2012</t>
  </si>
  <si>
    <t>1995</t>
  </si>
  <si>
    <t>efgasoline15</t>
  </si>
  <si>
    <t>efgasoline14</t>
  </si>
  <si>
    <t>efgasoline13</t>
  </si>
  <si>
    <t>efgasoline12</t>
  </si>
  <si>
    <t>efgasoline11</t>
  </si>
  <si>
    <t>efgasoline10</t>
  </si>
  <si>
    <t>efggasoline15</t>
  </si>
  <si>
    <r>
      <t>gCO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/gal</t>
    </r>
  </si>
  <si>
    <t>efggasoline14</t>
  </si>
  <si>
    <t>efggasoline13</t>
  </si>
  <si>
    <t>efggasoline12</t>
  </si>
  <si>
    <t>efggasoline11</t>
  </si>
  <si>
    <t>efggasoline10</t>
  </si>
  <si>
    <t>efggasoline9</t>
  </si>
  <si>
    <t>efggasoline8</t>
  </si>
  <si>
    <t>efggasoline7</t>
  </si>
  <si>
    <t>efggasoline6</t>
  </si>
  <si>
    <t>efggasoline5</t>
  </si>
  <si>
    <t>efggasoline4</t>
  </si>
  <si>
    <t>efggasoline3</t>
  </si>
  <si>
    <t>efggasoline2</t>
  </si>
  <si>
    <t>efggasoline1</t>
  </si>
  <si>
    <t>efggasoline0</t>
  </si>
  <si>
    <t>efggasoline95</t>
  </si>
  <si>
    <t>effgasoline90</t>
  </si>
  <si>
    <t>Annex 2, Table A-49.</t>
  </si>
  <si>
    <t>efdistillate</t>
  </si>
  <si>
    <t>efgdistillate</t>
  </si>
  <si>
    <r>
      <t>residential stationary CH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emission factor</t>
    </r>
  </si>
  <si>
    <t>KC15-20-01</t>
  </si>
  <si>
    <t>Appendix C Table B.4</t>
  </si>
  <si>
    <r>
      <t>residential stationary N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 emission factor</t>
    </r>
  </si>
  <si>
    <r>
      <t>commercial stationary CH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emission factor</t>
    </r>
  </si>
  <si>
    <r>
      <t>commercial stationary N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0 emission factor</t>
    </r>
  </si>
  <si>
    <r>
      <t>industrial stationary CH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emission factors</t>
    </r>
  </si>
  <si>
    <r>
      <t>industrial stationary N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 emission factors</t>
    </r>
  </si>
  <si>
    <t>efgresidual</t>
  </si>
  <si>
    <t>KC15-11-03</t>
  </si>
  <si>
    <t>efgLPG</t>
  </si>
  <si>
    <t>emission factor (g/gal)</t>
  </si>
  <si>
    <t>efgjetfuel</t>
  </si>
  <si>
    <t>efgavgas</t>
  </si>
  <si>
    <t>US community protocol, Appendix C, page 60</t>
  </si>
  <si>
    <r>
      <t>Transportation CH</t>
    </r>
    <r>
      <rPr>
        <vertAlign val="subscript"/>
        <sz val="16"/>
        <rFont val="Arial"/>
        <family val="2"/>
      </rPr>
      <t>4</t>
    </r>
    <r>
      <rPr>
        <sz val="16"/>
        <rFont val="Arial"/>
        <family val="2"/>
      </rPr>
      <t xml:space="preserve"> N</t>
    </r>
    <r>
      <rPr>
        <vertAlign val="subscript"/>
        <sz val="16"/>
        <rFont val="Arial"/>
        <family val="2"/>
      </rPr>
      <t>2</t>
    </r>
    <r>
      <rPr>
        <sz val="16"/>
        <rFont val="Arial"/>
        <family val="2"/>
      </rPr>
      <t>O Emission Factors</t>
    </r>
  </si>
  <si>
    <t>vehicle type</t>
  </si>
  <si>
    <t>emission type</t>
  </si>
  <si>
    <t>call. no</t>
  </si>
  <si>
    <t>gasoline passenger cars</t>
  </si>
  <si>
    <t>EPA Tier 2</t>
  </si>
  <si>
    <t>g/mi</t>
  </si>
  <si>
    <t>KC15-11-06</t>
  </si>
  <si>
    <t>Annex 2, A-108</t>
  </si>
  <si>
    <t>Low Emission Vehicles</t>
  </si>
  <si>
    <t>EPA Tier 1</t>
  </si>
  <si>
    <t>EPA Tier 0</t>
  </si>
  <si>
    <t>Oxidation Catalyst</t>
  </si>
  <si>
    <t>Non-catalyst Control</t>
  </si>
  <si>
    <t>Uncontrolled</t>
  </si>
  <si>
    <t>gasoline light trucks</t>
  </si>
  <si>
    <t>gasoline heavy-duty vehicles</t>
  </si>
  <si>
    <t>diesel passenger cars</t>
  </si>
  <si>
    <t>Advanced</t>
  </si>
  <si>
    <t>Moderate</t>
  </si>
  <si>
    <t>diesel light-duty trucks</t>
  </si>
  <si>
    <t>diesel medium- and heavy-duty trucks and buses</t>
  </si>
  <si>
    <t>Aftertreatment</t>
  </si>
  <si>
    <t>motorcycles</t>
  </si>
  <si>
    <t>alternative-fuel light duty vehicles</t>
  </si>
  <si>
    <t>Methanol</t>
  </si>
  <si>
    <t>KC15-11-07</t>
  </si>
  <si>
    <t>Annex 2, A-109</t>
  </si>
  <si>
    <t>Ethanol</t>
  </si>
  <si>
    <t>Biodiesel</t>
  </si>
  <si>
    <t>alternative-fuel medium- and heavy-duty trucks</t>
  </si>
  <si>
    <t>LNG</t>
  </si>
  <si>
    <t>alternative fuel buses</t>
  </si>
  <si>
    <t>ships and boats</t>
  </si>
  <si>
    <t>residual</t>
  </si>
  <si>
    <t>g/kg</t>
  </si>
  <si>
    <t>KC15-12-02</t>
  </si>
  <si>
    <t>Annex 2, A-110</t>
  </si>
  <si>
    <t>rail</t>
  </si>
  <si>
    <t>agricultural equipment</t>
  </si>
  <si>
    <t>construction/mining equipment</t>
  </si>
  <si>
    <t>all-other non-road</t>
  </si>
  <si>
    <t>aircraft</t>
  </si>
  <si>
    <t>jet</t>
  </si>
  <si>
    <t>aviation</t>
  </si>
  <si>
    <t>Potable Water</t>
  </si>
  <si>
    <t>As calculated</t>
  </si>
  <si>
    <t>As printed</t>
  </si>
  <si>
    <t>CCG notes</t>
  </si>
  <si>
    <t>Volume surface and groundwater</t>
  </si>
  <si>
    <t>Volume groundwater</t>
  </si>
  <si>
    <t>Volume surface water</t>
  </si>
  <si>
    <t>energy per unit groundwater</t>
  </si>
  <si>
    <t>kWh/MG</t>
  </si>
  <si>
    <t>Total energy consumed by groundwater</t>
  </si>
  <si>
    <t>GHG emissions</t>
  </si>
  <si>
    <t>Energy consumed per unit conveyance</t>
  </si>
  <si>
    <t>total energy consumed</t>
  </si>
  <si>
    <t>multply by process energy per unit water (step 4)</t>
  </si>
  <si>
    <t>multiply by appropriate GHG emissions factor (step 5)</t>
  </si>
  <si>
    <t>Energy consumed per unit treatment</t>
  </si>
  <si>
    <t>Total energy consumed</t>
  </si>
  <si>
    <t>Water distributed</t>
  </si>
  <si>
    <t>Energy Intensity for distribution</t>
  </si>
  <si>
    <t>Total energy consumed for distribution</t>
  </si>
  <si>
    <t>&lt;0.1</t>
  </si>
  <si>
    <t/>
  </si>
  <si>
    <t>Emissions, MgCO2e</t>
  </si>
  <si>
    <t>Use of fuel in residential and commercial stationary combustion equipment</t>
  </si>
  <si>
    <t>Industrial stationary combustion sources</t>
  </si>
  <si>
    <t>Use of electricity by the community</t>
  </si>
  <si>
    <t>Industrial process emissions in the community</t>
  </si>
  <si>
    <t>Transportation and Other Mobile Sources</t>
  </si>
  <si>
    <t>On-road passenger vehicles operating within the community boundary</t>
  </si>
  <si>
    <t>On-road freight and service vehicles operating within the community boundary</t>
  </si>
  <si>
    <t>On-road transit vehicles operating within the community boundary</t>
  </si>
  <si>
    <t>Transit rail vehicles operating within the community boundary</t>
  </si>
  <si>
    <t>Freight rail vehicles operating within the community boundary</t>
  </si>
  <si>
    <t>Marine vessels operating within the community boundary</t>
  </si>
  <si>
    <t>Off-road surface vehicles and other mobile equipment operating within the community boundary</t>
  </si>
  <si>
    <t xml:space="preserve">Solid Waste </t>
  </si>
  <si>
    <t>Operation of solid waste disposal facilities in the community</t>
  </si>
  <si>
    <t>Generation and disposal of solid waste by the community</t>
  </si>
  <si>
    <t xml:space="preserve">Water and Wastewater </t>
  </si>
  <si>
    <t>Use of energy associated with use of potable water by the community</t>
  </si>
  <si>
    <t>Process emissions associated with generation of wastewater by the community</t>
  </si>
  <si>
    <t xml:space="preserve">Agriculture </t>
  </si>
  <si>
    <t>Domesticated animal production</t>
  </si>
  <si>
    <t>Manure decomposition and treatment</t>
  </si>
  <si>
    <t>Other emission types included by KC that are not part of the Community Protocol</t>
  </si>
  <si>
    <t>Built Environment</t>
  </si>
  <si>
    <t>Offsets retired by Seattle City Light</t>
  </si>
  <si>
    <t>Emissions benefits of public transit</t>
  </si>
  <si>
    <t>Emissions benefits of waste diversion</t>
  </si>
  <si>
    <t>Soil management</t>
  </si>
  <si>
    <t>Residential development</t>
  </si>
  <si>
    <t>Carbon sequestered in forests</t>
  </si>
  <si>
    <t>Fuel Oil</t>
  </si>
  <si>
    <t>All other stationary combustion equipment</t>
  </si>
  <si>
    <t>Marine vessels</t>
  </si>
  <si>
    <t>Operation of solid waste disposal facilities</t>
  </si>
  <si>
    <t>Generation and disposal of solid waste</t>
  </si>
  <si>
    <t>Digester gas</t>
  </si>
  <si>
    <t>Annex 2, Table A-171</t>
  </si>
  <si>
    <t>Annex 2, Table A-174</t>
  </si>
  <si>
    <t>Table A-180</t>
  </si>
  <si>
    <t>Abstract from conference</t>
  </si>
  <si>
    <t>kg/animal/yr</t>
  </si>
  <si>
    <t>Table A-182</t>
  </si>
  <si>
    <t>Table A-181</t>
  </si>
  <si>
    <t>Table 5-17</t>
  </si>
  <si>
    <t>Table 5-18</t>
  </si>
  <si>
    <t>Natural Gas (Equipment)</t>
  </si>
  <si>
    <t>Petroleum (Non-road equipment)</t>
  </si>
  <si>
    <t>Petroleum (Equipment)</t>
  </si>
  <si>
    <t>Stationary combustion</t>
  </si>
  <si>
    <r>
      <t>Stationary CH</t>
    </r>
    <r>
      <rPr>
        <b/>
        <vertAlign val="subscript"/>
        <sz val="9"/>
        <rFont val="Arial"/>
        <family val="2"/>
      </rPr>
      <t>4</t>
    </r>
    <r>
      <rPr>
        <b/>
        <sz val="9"/>
        <rFont val="Arial"/>
        <family val="2"/>
      </rPr>
      <t xml:space="preserve"> Emissions from Incomplete Combustion of Digester Gas </t>
    </r>
  </si>
  <si>
    <t>CO2e/house</t>
  </si>
  <si>
    <t>MgCO2e/KC house</t>
  </si>
  <si>
    <t>Sensitivity Analysis</t>
  </si>
  <si>
    <t>lbCO2e/MWh</t>
  </si>
  <si>
    <t>Total-regional</t>
  </si>
  <si>
    <t>Total-Actual</t>
  </si>
  <si>
    <t>Actual vs. regional</t>
  </si>
  <si>
    <t>Average diesel fuel price</t>
  </si>
  <si>
    <t>USD/gal</t>
  </si>
  <si>
    <t>MTCO2e</t>
  </si>
  <si>
    <t>scaled to 2015 tonnage</t>
  </si>
  <si>
    <t>tons</t>
  </si>
  <si>
    <t>2015 data</t>
  </si>
  <si>
    <t>Table 4.11</t>
  </si>
  <si>
    <t>Table 4.15</t>
  </si>
  <si>
    <t>scaled to 2015 pop estimate</t>
  </si>
  <si>
    <t>GHG emissions Marine</t>
  </si>
  <si>
    <t>As reported</t>
  </si>
  <si>
    <t>2015/2011 ratio</t>
  </si>
  <si>
    <t>in 2010 MRR</t>
  </si>
  <si>
    <t>USD/yr</t>
  </si>
  <si>
    <r>
      <t>tonCO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</t>
    </r>
  </si>
  <si>
    <r>
      <t>MgCO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</t>
    </r>
  </si>
  <si>
    <r>
      <t>tonsCO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</t>
    </r>
  </si>
  <si>
    <t>gal/day</t>
  </si>
  <si>
    <t>per capita emissions</t>
  </si>
  <si>
    <r>
      <t>MgCO</t>
    </r>
    <r>
      <rPr>
        <b/>
        <vertAlign val="subscript"/>
        <sz val="9"/>
        <color theme="3" tint="0.39997558519241921"/>
        <rFont val="Arial"/>
        <family val="2"/>
      </rPr>
      <t>2</t>
    </r>
    <r>
      <rPr>
        <b/>
        <sz val="9"/>
        <color theme="3" tint="0.39997558519241921"/>
        <rFont val="Arial"/>
        <family val="2"/>
      </rPr>
      <t>e/person</t>
    </r>
  </si>
  <si>
    <t>residential per capita emissions</t>
  </si>
  <si>
    <t>residential per capita energy</t>
  </si>
  <si>
    <t>MWh/person</t>
  </si>
  <si>
    <t xml:space="preserve">Natural Gas </t>
  </si>
  <si>
    <t>all goats category</t>
  </si>
  <si>
    <t>Annex 2, Table A-171, called "beef bulls"</t>
  </si>
  <si>
    <t>KC15_70_04</t>
  </si>
  <si>
    <t>2011 population</t>
  </si>
  <si>
    <t>2012 population</t>
  </si>
  <si>
    <t>2013 population</t>
  </si>
  <si>
    <t>2014 population</t>
  </si>
  <si>
    <t>2015 population</t>
  </si>
  <si>
    <t>popWA11</t>
  </si>
  <si>
    <t>popWA12</t>
  </si>
  <si>
    <t>popWA13</t>
  </si>
  <si>
    <t>popWA14</t>
  </si>
  <si>
    <t>popWA15</t>
  </si>
  <si>
    <t>KC15_70_06</t>
  </si>
  <si>
    <t>KC15_70_03</t>
  </si>
  <si>
    <t>KC15-20-02</t>
  </si>
  <si>
    <t>popUS15</t>
  </si>
  <si>
    <t>captia</t>
  </si>
  <si>
    <t xml:space="preserve">Fugitive gas </t>
  </si>
  <si>
    <t>2015 Invenotry Update</t>
  </si>
  <si>
    <t>Update to U.S. Community Protocol</t>
  </si>
  <si>
    <t>Levels for Totals</t>
  </si>
  <si>
    <t>A</t>
  </si>
  <si>
    <t>On-road vehicles</t>
  </si>
  <si>
    <t>Passenger vehicles</t>
  </si>
  <si>
    <t>Freight and service vehicles</t>
  </si>
  <si>
    <t>Transit vehicles</t>
  </si>
  <si>
    <t>Off-road vehicles and other mobile equipment</t>
  </si>
  <si>
    <t>Core</t>
  </si>
  <si>
    <t>Expanded: Cons.</t>
  </si>
  <si>
    <t>Expanded: Supp.</t>
  </si>
  <si>
    <t>●</t>
  </si>
  <si>
    <t>Required</t>
  </si>
  <si>
    <t>Included</t>
  </si>
  <si>
    <t>C/E</t>
  </si>
  <si>
    <t>S-A</t>
  </si>
  <si>
    <t>Wastewater process emissions</t>
  </si>
  <si>
    <t>Potable water process emissions</t>
  </si>
  <si>
    <t>RHts</t>
  </si>
  <si>
    <t>Raw Emissison Estimates</t>
  </si>
  <si>
    <t xml:space="preserve">Use of air travel by the community </t>
  </si>
  <si>
    <t xml:space="preserve">Upstream Impacts of Community-Wide Activities   </t>
  </si>
  <si>
    <t>Upstream impacts of fuels used in stationary applications by the community</t>
  </si>
  <si>
    <t>Upstream and transmission and distribution (T&amp;D) impacts of purchased electricity used by the community</t>
  </si>
  <si>
    <t>Upstream impacts of fuels used for transportation in trips associated with the community</t>
  </si>
  <si>
    <t>Upstream impacts of fuels used by water and wastewater facilities for water used and wastewater generated within the community boundary</t>
  </si>
  <si>
    <t>Upstream impacts of select materials (concrete, food, paper, carpets, etc.) used by the whole community. Note: Additional community-wide flows of goods &amp; services will create significant double counting issues.</t>
  </si>
  <si>
    <t xml:space="preserve">﻿Independent Consumption-Based Accounting   </t>
  </si>
  <si>
    <t>Household Consumption (e.g., gas &amp; electricity, transportation, and the purchase of all other food, goods and services by all households in the community)</t>
  </si>
  <si>
    <t>Government Consumption (e.g., gas &amp; electricity, transportation, and the purchase of all other food, goods and services by all governments in the community)</t>
  </si>
  <si>
    <t>Life cycle emissions of community businesses (e.g., gas &amp; electricity, transportation, and the purchase of all other food, goods and services by all businesses in the community)</t>
  </si>
  <si>
    <t>Summary_RptTbls</t>
  </si>
  <si>
    <t>Water-Potable</t>
  </si>
  <si>
    <t>Water-Waste</t>
  </si>
  <si>
    <r>
      <t>GHG Emissions by Sector (MTCO</t>
    </r>
    <r>
      <rPr>
        <b/>
        <vertAlign val="sub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e)</t>
    </r>
  </si>
  <si>
    <r>
      <t>GHG Emissions by Sector (Million MTCO</t>
    </r>
    <r>
      <rPr>
        <b/>
        <vertAlign val="sub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e)</t>
    </r>
  </si>
  <si>
    <t>Core &amp; Expanded: Production</t>
  </si>
  <si>
    <t>Core &amp; Expanded Production</t>
  </si>
  <si>
    <t>Scaling Factor (Million MTCO2e)---&gt;&gt;</t>
  </si>
  <si>
    <t>Rounding Factor ---&gt;</t>
  </si>
  <si>
    <t>Status</t>
  </si>
  <si>
    <t>DATE</t>
  </si>
  <si>
    <t>Qcer</t>
  </si>
  <si>
    <t>Original Action Items</t>
  </si>
  <si>
    <t>Regional emission factor (NWPP)</t>
  </si>
  <si>
    <t>BTU to MMBTU</t>
  </si>
  <si>
    <t>Methane emission factor</t>
  </si>
  <si>
    <t>Kg/MMBTU</t>
  </si>
  <si>
    <t>Days per year</t>
  </si>
  <si>
    <t>Kg to Metric tons</t>
  </si>
  <si>
    <t>Mt/kg</t>
  </si>
  <si>
    <t>GWP of methane</t>
  </si>
  <si>
    <t>CO2e</t>
  </si>
  <si>
    <t>GWP of nitrous oxide</t>
  </si>
  <si>
    <t>Equation WW.8 of the Community Protocol</t>
  </si>
  <si>
    <t>Factor for Nitrogen loading with Commericial/Industrial discharge</t>
  </si>
  <si>
    <t>Emissions factor for plants without nitrification/denitrification</t>
  </si>
  <si>
    <t>g N2O/person/year</t>
  </si>
  <si>
    <t>Conversion from g to Mt</t>
  </si>
  <si>
    <t>Mt/g</t>
  </si>
  <si>
    <t>Equation WW.12.alt of the Community Protocol</t>
  </si>
  <si>
    <t>Factor for industrial/commercial discharge</t>
  </si>
  <si>
    <t>Avg. total N per day</t>
  </si>
  <si>
    <t>kg/person/day</t>
  </si>
  <si>
    <t>Nitrogen uptake for cell growth in anaerobic conditions</t>
  </si>
  <si>
    <t>kg N/kg BOD</t>
  </si>
  <si>
    <t>Daily BOD produced per capita</t>
  </si>
  <si>
    <r>
      <t>Emission factor for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</si>
  <si>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t>kg N2O/kg sewage</t>
  </si>
  <si>
    <r>
      <t>Ratio of molecular weights of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and N</t>
    </r>
    <r>
      <rPr>
        <vertAlign val="subscript"/>
        <sz val="10"/>
        <rFont val="Arial"/>
        <family val="2"/>
      </rPr>
      <t>2</t>
    </r>
  </si>
  <si>
    <t>Fraction N removed from plant</t>
  </si>
  <si>
    <t>days to year</t>
  </si>
  <si>
    <t>conversion from kg to Mt</t>
  </si>
  <si>
    <t>kg/Mt</t>
  </si>
  <si>
    <r>
      <t>GWP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</si>
  <si>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t>efgdistillate.res.n2o</t>
  </si>
  <si>
    <t>efgdistillate.res.ch4</t>
  </si>
  <si>
    <t>efgas.res.ch4</t>
  </si>
  <si>
    <t>efgas.res.n2o</t>
  </si>
  <si>
    <t>efgdistillate.com.ch4</t>
  </si>
  <si>
    <t>efgdistillate.com.n2o</t>
  </si>
  <si>
    <t>Convert to gallons</t>
  </si>
  <si>
    <t>2014 est.</t>
  </si>
  <si>
    <r>
      <t>MgCO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e</t>
    </r>
  </si>
  <si>
    <t>2011 report, Table 6.2, p.213</t>
  </si>
  <si>
    <t>2011 report, Table 6.1, p 212</t>
  </si>
  <si>
    <t>Stationary nitrous oxide emissions from combustion of digester gas</t>
  </si>
  <si>
    <t>Septic Emissions</t>
  </si>
  <si>
    <t>Population on septic</t>
  </si>
  <si>
    <t>Avg. people per household</t>
  </si>
  <si>
    <r>
      <t>BOD</t>
    </r>
    <r>
      <rPr>
        <vertAlign val="subscript"/>
        <sz val="9"/>
        <rFont val="Arial"/>
        <family val="2"/>
      </rPr>
      <t>5</t>
    </r>
    <r>
      <rPr>
        <sz val="9"/>
        <rFont val="Arial"/>
        <family val="2"/>
      </rPr>
      <t>/capita/day</t>
    </r>
  </si>
  <si>
    <r>
      <t>kgCH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/kgBOD</t>
    </r>
    <r>
      <rPr>
        <vertAlign val="subscript"/>
        <sz val="9"/>
        <rFont val="Arial"/>
        <family val="2"/>
      </rPr>
      <t>5</t>
    </r>
  </si>
  <si>
    <t>CH4 correction factor</t>
  </si>
  <si>
    <t>Maximum CH4 producing capacity</t>
  </si>
  <si>
    <t>BOD5 loading</t>
  </si>
  <si>
    <t>Community Protocol Appendix F page 48 Box WW.11(alt)</t>
  </si>
  <si>
    <t>SC15_100_01</t>
  </si>
  <si>
    <t>SC15_100_05</t>
  </si>
  <si>
    <t>SC15_100_03</t>
  </si>
  <si>
    <t>SC15_100_02</t>
  </si>
  <si>
    <t>SC15_100_04</t>
  </si>
  <si>
    <t>SC15_100_09</t>
  </si>
  <si>
    <t>SC15_100_06</t>
  </si>
  <si>
    <t>SC15_103_01</t>
  </si>
  <si>
    <t>SC15_103_02</t>
  </si>
  <si>
    <t>SC15_105_03</t>
  </si>
  <si>
    <t>SC15_105_01</t>
  </si>
  <si>
    <t>SC15_105_05</t>
  </si>
  <si>
    <t>SC15_00_02</t>
  </si>
  <si>
    <t>SC15_102_0</t>
  </si>
  <si>
    <t>SC15_105_02</t>
  </si>
  <si>
    <t>SC15_105_04</t>
  </si>
  <si>
    <t>SC15_100_07</t>
  </si>
  <si>
    <t>SC15_100_08</t>
  </si>
  <si>
    <t>SC15_00_01</t>
  </si>
  <si>
    <t>proportion SC use</t>
  </si>
  <si>
    <t>Digester gas SC</t>
  </si>
  <si>
    <t>Everett supply</t>
  </si>
  <si>
    <t>Spada and Chaplain reservoirs are source</t>
  </si>
  <si>
    <t>SC15_90_02</t>
  </si>
  <si>
    <t>SC15_90_03</t>
  </si>
  <si>
    <t>Snohomish County PUD</t>
  </si>
  <si>
    <t>SC consumption</t>
  </si>
  <si>
    <t>SC15_65_02</t>
  </si>
  <si>
    <t>Kingston fuel cost</t>
  </si>
  <si>
    <t>Mukilteo fuel cost</t>
  </si>
  <si>
    <t>Annual Kingston fuel cost</t>
  </si>
  <si>
    <t>Annual Mukilteo fuel cost</t>
  </si>
  <si>
    <t>Kingston</t>
  </si>
  <si>
    <t xml:space="preserve">Mukilteo </t>
  </si>
  <si>
    <t xml:space="preserve"> GHG emissions Kingston</t>
  </si>
  <si>
    <t>GHG emissions Mukilteo</t>
  </si>
  <si>
    <t>SC15-12-01</t>
  </si>
  <si>
    <t>SC12-12-02</t>
  </si>
  <si>
    <t>SC15-12-03</t>
  </si>
  <si>
    <t>Total OGV manuevering at PoS (2011)</t>
  </si>
  <si>
    <t>2011 tonnage</t>
  </si>
  <si>
    <t>2015 tonnage</t>
  </si>
  <si>
    <t>Total OGV manuevering at PoS (2015)</t>
  </si>
  <si>
    <t>Total OGV manuevering at PoS (2015) Metric</t>
  </si>
  <si>
    <t>recreational vessels, PoS (2011)</t>
  </si>
  <si>
    <t>recreational vessels, 2015</t>
  </si>
  <si>
    <t>popSno11</t>
  </si>
  <si>
    <t>popSno15</t>
  </si>
  <si>
    <t>Brightwater Facility SC</t>
  </si>
  <si>
    <t>Methane emissions from lagoons</t>
  </si>
  <si>
    <t>Factor for signfiicant industrial/commercial co-discharge</t>
  </si>
  <si>
    <r>
      <t>Amount of BOD</t>
    </r>
    <r>
      <rPr>
        <vertAlign val="subscript"/>
        <sz val="9"/>
        <rFont val="Arial"/>
        <family val="2"/>
      </rPr>
      <t>5</t>
    </r>
    <r>
      <rPr>
        <sz val="9"/>
        <rFont val="Arial"/>
        <family val="2"/>
      </rPr>
      <t xml:space="preserve"> treated</t>
    </r>
  </si>
  <si>
    <r>
      <t>Fraction of BOD</t>
    </r>
    <r>
      <rPr>
        <vertAlign val="subscript"/>
        <sz val="9"/>
        <rFont val="Arial"/>
        <family val="2"/>
      </rPr>
      <t xml:space="preserve">5 </t>
    </r>
    <r>
      <rPr>
        <sz val="9"/>
        <rFont val="Arial"/>
        <family val="2"/>
      </rPr>
      <t>removed in treatment</t>
    </r>
  </si>
  <si>
    <r>
      <t>Maximum CH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producing capacity</t>
    </r>
  </si>
  <si>
    <r>
      <t>CH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correction factor for anaerobic systems</t>
    </r>
  </si>
  <si>
    <t>Kg/person/day</t>
  </si>
  <si>
    <r>
      <t>N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 emissions from effluent</t>
    </r>
  </si>
  <si>
    <t>SC15_90_05</t>
  </si>
  <si>
    <t>SC residential use</t>
  </si>
  <si>
    <t>Data relating to SC consumption</t>
  </si>
  <si>
    <t>SC housing units w/ oil heat</t>
  </si>
  <si>
    <t>2. Calculate SC oil use: Multiply WA use by SC/WA ratio of homes with oil</t>
  </si>
  <si>
    <t>SC15_65_03</t>
  </si>
  <si>
    <t>line haul</t>
  </si>
  <si>
    <t>SC15_12_05</t>
  </si>
  <si>
    <t>SC15_12_04</t>
  </si>
  <si>
    <t>SC15_12_03</t>
  </si>
  <si>
    <t>2011 data</t>
  </si>
  <si>
    <t>Table 3.43</t>
  </si>
  <si>
    <t>OGV hotelling at PoS (2011)</t>
  </si>
  <si>
    <t>OGV hotelling at PoS (2015)</t>
  </si>
  <si>
    <t>SC15_65_05</t>
  </si>
  <si>
    <t>% WA employees in SC</t>
  </si>
  <si>
    <t>SC15_40_01</t>
  </si>
  <si>
    <t>Sound Transit fuel within SC</t>
  </si>
  <si>
    <t>Proportion in SC</t>
  </si>
  <si>
    <t>Annual Fuel used in SC</t>
  </si>
  <si>
    <t>GHG emissions for SC ferries</t>
  </si>
  <si>
    <t>Calcuate net SC emissions: subtract ferry and rec from SC gross</t>
  </si>
  <si>
    <t>SC GHG emissions from extraction</t>
  </si>
  <si>
    <t>SC GHG emissions from treatment</t>
  </si>
  <si>
    <t>Snohomish County</t>
  </si>
  <si>
    <t>IndSno08</t>
  </si>
  <si>
    <t>IndSno11</t>
  </si>
  <si>
    <t>IndSno15</t>
  </si>
  <si>
    <t>ComSno08</t>
  </si>
  <si>
    <t>ComSno11</t>
  </si>
  <si>
    <t>ComSno15</t>
  </si>
  <si>
    <t>IndWA08</t>
  </si>
  <si>
    <t>IndWA11</t>
  </si>
  <si>
    <t>IndWA15</t>
  </si>
  <si>
    <t>ComWA08</t>
  </si>
  <si>
    <t>ComWA11</t>
  </si>
  <si>
    <t>ComWA15</t>
  </si>
  <si>
    <t>SC15_70_02</t>
  </si>
  <si>
    <t>SC15-40-01</t>
  </si>
  <si>
    <r>
      <rPr>
        <sz val="9"/>
        <rFont val="Arial"/>
        <family val="2"/>
      </rPr>
      <t>Commercial Haarbor (2011</t>
    </r>
    <r>
      <rPr>
        <b/>
        <sz val="9"/>
        <rFont val="Arial"/>
        <family val="2"/>
      </rPr>
      <t>)</t>
    </r>
  </si>
  <si>
    <t>Recreational (2011)</t>
  </si>
  <si>
    <t>Snohomish County gross (2011))</t>
  </si>
  <si>
    <t>Snohomish County gross 2015</t>
  </si>
  <si>
    <t>Convert to metric</t>
  </si>
  <si>
    <t>Table 2.9</t>
  </si>
  <si>
    <t>SC15_90_10</t>
  </si>
  <si>
    <t>therms</t>
  </si>
  <si>
    <t>Northwest Pipeline LLC  Snohomish Unit 2 Solar Mars 90S</t>
  </si>
  <si>
    <t>Northwest Pipeline LLC  Snohomish  Unit 1 Solar Mars 90S</t>
  </si>
  <si>
    <t>Boeing Commercial Airplane Group - Everett Boilers</t>
  </si>
  <si>
    <t>Boeing Commercial Airplane Group - Everett Emergency Generators &amp; Fire Pumps</t>
  </si>
  <si>
    <t>row 199</t>
  </si>
  <si>
    <t>line 180</t>
  </si>
  <si>
    <t>line 181</t>
  </si>
  <si>
    <t>line 245</t>
  </si>
  <si>
    <t>line 246</t>
  </si>
  <si>
    <t>SC15_40_02</t>
  </si>
  <si>
    <t>Fuel Consumption, MOVES 2014 NONROAD output</t>
  </si>
  <si>
    <t>Airport</t>
  </si>
  <si>
    <t>Equipment</t>
  </si>
  <si>
    <t>Fuel Consumption, MOVES 2014 NONROAD output)</t>
  </si>
  <si>
    <t>Diesel L &amp; G Rec</t>
  </si>
  <si>
    <t>LPG L&amp;G</t>
  </si>
  <si>
    <t>Fuel Consumption, NONROAD2008 output</t>
  </si>
  <si>
    <t>SC15-20-01</t>
  </si>
  <si>
    <t>KC15-20-03</t>
  </si>
  <si>
    <t>KC15-20-04</t>
  </si>
  <si>
    <t>KC15-20-05</t>
  </si>
  <si>
    <t>KC15-20-06</t>
  </si>
  <si>
    <t>KC15-20-07</t>
  </si>
  <si>
    <t>KC15-20-08</t>
  </si>
  <si>
    <t>KC15-20-09</t>
  </si>
  <si>
    <t>KC15-20-10</t>
  </si>
  <si>
    <t>KC15-20-11</t>
  </si>
  <si>
    <t>KC15-20-12</t>
  </si>
  <si>
    <t>KC15-20-13</t>
  </si>
  <si>
    <t>g/gal</t>
  </si>
  <si>
    <t>efgdistillate.ind.ch4</t>
  </si>
  <si>
    <t>efgdistillate.ind.n2o</t>
  </si>
  <si>
    <t>residential stationary CH4 emission factor</t>
  </si>
  <si>
    <t>efgresidual.res.ch4</t>
  </si>
  <si>
    <t>residential stationary N2O emission factor</t>
  </si>
  <si>
    <t>efgresidual.res.n2o</t>
  </si>
  <si>
    <t>commercial stationary CH4 emission factor</t>
  </si>
  <si>
    <t>efgresidual.com.ch4</t>
  </si>
  <si>
    <t>commercial stationary N20 emission factor</t>
  </si>
  <si>
    <t>efgresidual.com.n2o</t>
  </si>
  <si>
    <t>industrial stationary CH4 emission factors</t>
  </si>
  <si>
    <t>efgresidual.ind.ch4</t>
  </si>
  <si>
    <t>industrial stationary N2O emission factors</t>
  </si>
  <si>
    <t>efgresidual.ind.n2o</t>
  </si>
  <si>
    <t>gCO2/mmBTU</t>
  </si>
  <si>
    <t>kgCO2/mmBTU</t>
  </si>
  <si>
    <t>efCNGmobile</t>
  </si>
  <si>
    <t>gCO2/gal</t>
  </si>
  <si>
    <t>KgCO2/Scf</t>
  </si>
  <si>
    <t>KC15-11-10</t>
  </si>
  <si>
    <t>gCH4/mmbtu</t>
  </si>
  <si>
    <t>gN2O/mmbtu</t>
  </si>
  <si>
    <t>Annex 2, Table A-52. (value for C3H8)</t>
  </si>
  <si>
    <t>efTDF-previous</t>
  </si>
  <si>
    <t>mmbtu</t>
  </si>
  <si>
    <t>1. Convert to mmbtu</t>
  </si>
  <si>
    <t>Prorate for SC employees</t>
  </si>
  <si>
    <t>National fugitive gas (no SF6 for transmission)</t>
  </si>
  <si>
    <t>2014 (newest) national refrigerants, HFC- substitution of ozone depleting substances</t>
  </si>
  <si>
    <t>scaled to KC</t>
  </si>
  <si>
    <r>
      <t>MgSF</t>
    </r>
    <r>
      <rPr>
        <vertAlign val="subscript"/>
        <sz val="9"/>
        <rFont val="Arial"/>
        <family val="2"/>
      </rPr>
      <t>6</t>
    </r>
  </si>
  <si>
    <t>Table ES-2</t>
  </si>
  <si>
    <t>Ratio of counties served</t>
  </si>
  <si>
    <t>1/8 counties served</t>
  </si>
  <si>
    <t>Passenger Miles</t>
  </si>
  <si>
    <t>Running Emissions</t>
  </si>
  <si>
    <t>Start Emissions</t>
  </si>
  <si>
    <t>Medium Truck daily VMT</t>
  </si>
  <si>
    <t>Medium Truck annual running emissions</t>
  </si>
  <si>
    <t>Medium Truck annual start emissions</t>
  </si>
  <si>
    <t>Medium Truck annual emissions</t>
  </si>
  <si>
    <t>Heavy Truck daily VMT</t>
  </si>
  <si>
    <t>Heavy Truck annual running emissions</t>
  </si>
  <si>
    <t>Heavy Truck annual start emissions</t>
  </si>
  <si>
    <t>Heavy Truck annual emissions</t>
  </si>
  <si>
    <t>75% allocated to KC, 12.5 to Pierce and Snohomish</t>
  </si>
  <si>
    <t>Everett Transit</t>
  </si>
  <si>
    <t>Line 16</t>
  </si>
  <si>
    <t>Line 17</t>
  </si>
  <si>
    <t>Everett Transit diesel emissions</t>
  </si>
  <si>
    <t>Everett Transit gasoline emissions</t>
  </si>
  <si>
    <t>Motor bus</t>
  </si>
  <si>
    <t>Van pool</t>
  </si>
  <si>
    <t>line 64</t>
  </si>
  <si>
    <t>liines 61, 62</t>
  </si>
  <si>
    <t>lines 63</t>
  </si>
  <si>
    <t>line 65</t>
  </si>
  <si>
    <t>Snohomish County Public Transit</t>
  </si>
  <si>
    <t>Snohomish County Public Transit diesel emissions</t>
  </si>
  <si>
    <t>Snohomish County Public Transit gasoline emissions</t>
  </si>
  <si>
    <t>Sound Transit diesel emissions</t>
  </si>
  <si>
    <t>Sound Transit gasoline emissions</t>
  </si>
  <si>
    <t>Transit emissions</t>
  </si>
  <si>
    <t>MG denotes: million gallons,  U.S. Community Protocol Table WW.14.2</t>
  </si>
  <si>
    <t>U.S. Community Protocol Table WW.14.3</t>
  </si>
  <si>
    <t>U.S. Community Protocol Table WW.14.4</t>
  </si>
  <si>
    <t>Percent surfacewater</t>
  </si>
  <si>
    <r>
      <t>MgCO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e/day</t>
    </r>
  </si>
  <si>
    <r>
      <t>MgCO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e/MWh</t>
    </r>
  </si>
  <si>
    <t>Transmission Lost Waste</t>
  </si>
  <si>
    <t>Transmission lost waste emissions</t>
  </si>
  <si>
    <t>Street Lighting</t>
  </si>
  <si>
    <t xml:space="preserve"> Calculate emissions</t>
  </si>
  <si>
    <t>includes transmission loss</t>
  </si>
  <si>
    <t>Includes streetlighting, includes transmission loss</t>
  </si>
  <si>
    <t>Divided number of mink by number of farms, multiplied by number of farms within KC</t>
  </si>
  <si>
    <t>Sum of layers 20 weeks old and older, pullets for laying flock replacement, broilers and other meat-type chickens, and turkeys.</t>
  </si>
  <si>
    <t>KT15_00_02</t>
  </si>
  <si>
    <t>assumed to be the same as goats</t>
  </si>
  <si>
    <t>Table A-187</t>
  </si>
  <si>
    <t>Volatilization Nitrogen Loss</t>
  </si>
  <si>
    <t>Poultry Volatilization Nitrogen Loss</t>
  </si>
  <si>
    <t xml:space="preserve">Runoff </t>
  </si>
  <si>
    <t>Runoff Poultry</t>
  </si>
  <si>
    <t>Indirect N20 Emissions</t>
  </si>
  <si>
    <r>
      <t>kgN</t>
    </r>
    <r>
      <rPr>
        <vertAlign val="subscript"/>
        <sz val="9"/>
        <rFont val="Calibri"/>
        <family val="2"/>
      </rPr>
      <t>2</t>
    </r>
    <r>
      <rPr>
        <sz val="9"/>
        <rFont val="Calibri"/>
        <family val="2"/>
      </rPr>
      <t>O</t>
    </r>
  </si>
  <si>
    <r>
      <t>MgN</t>
    </r>
    <r>
      <rPr>
        <b/>
        <vertAlign val="subscript"/>
        <sz val="9"/>
        <rFont val="Calibri"/>
        <family val="2"/>
      </rPr>
      <t>2</t>
    </r>
    <r>
      <rPr>
        <b/>
        <sz val="9"/>
        <rFont val="Calibri"/>
        <family val="2"/>
      </rPr>
      <t>O</t>
    </r>
  </si>
  <si>
    <r>
      <t>MgCO</t>
    </r>
    <r>
      <rPr>
        <b/>
        <vertAlign val="subscript"/>
        <sz val="9"/>
        <color theme="3" tint="0.39997558519241921"/>
        <rFont val="Calibri"/>
        <family val="2"/>
      </rPr>
      <t>2</t>
    </r>
    <r>
      <rPr>
        <b/>
        <sz val="9"/>
        <color theme="3" tint="0.39997558519241921"/>
        <rFont val="Calibri"/>
        <family val="2"/>
      </rPr>
      <t>e</t>
    </r>
  </si>
  <si>
    <r>
      <t>kgN</t>
    </r>
    <r>
      <rPr>
        <b/>
        <vertAlign val="subscript"/>
        <sz val="9"/>
        <rFont val="Calibri"/>
        <family val="2"/>
      </rPr>
      <t>2</t>
    </r>
    <r>
      <rPr>
        <b/>
        <sz val="9"/>
        <rFont val="Calibri"/>
        <family val="2"/>
      </rPr>
      <t>O</t>
    </r>
  </si>
  <si>
    <r>
      <t>kgCO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e</t>
    </r>
  </si>
  <si>
    <t>Everett Supply</t>
  </si>
  <si>
    <t>Olympic View</t>
  </si>
  <si>
    <t>2015 Water use</t>
  </si>
  <si>
    <t>Percent Surfacewater</t>
  </si>
  <si>
    <t>Percent groundwater</t>
  </si>
  <si>
    <t>City of Sultan</t>
  </si>
  <si>
    <t>City of Goldbar</t>
  </si>
  <si>
    <t>SC emissions from conveyance</t>
  </si>
  <si>
    <t>2015 Water use-daily</t>
  </si>
  <si>
    <t>gallons/day</t>
  </si>
  <si>
    <t>kWh//day</t>
  </si>
  <si>
    <t>gallons/year</t>
  </si>
  <si>
    <t>Everett GHG emissions</t>
  </si>
  <si>
    <t>Everett population served</t>
  </si>
  <si>
    <t>Marysville population served</t>
  </si>
  <si>
    <t>Marysville GHG emissions</t>
  </si>
  <si>
    <t>SC15_90_11</t>
  </si>
  <si>
    <t>SC15_90_12</t>
  </si>
  <si>
    <t>phone call to 425-774-7769, office provided numbers</t>
  </si>
  <si>
    <t>2. Scale to Snohomish County by population and year</t>
  </si>
  <si>
    <t>SC15_65_06</t>
  </si>
  <si>
    <t>SC15_40_03</t>
  </si>
  <si>
    <t>No cement producers</t>
  </si>
  <si>
    <t>No steel producers</t>
  </si>
  <si>
    <t>5. Aggregate glass production</t>
  </si>
  <si>
    <t>No glass</t>
  </si>
  <si>
    <t>SC15_40_04</t>
  </si>
  <si>
    <t>SC15_40_05</t>
  </si>
  <si>
    <r>
      <t>MgCO</t>
    </r>
    <r>
      <rPr>
        <b/>
        <vertAlign val="subscript"/>
        <sz val="9"/>
        <color theme="3" tint="0.39997558519241921"/>
        <rFont val="Arial"/>
        <family val="2"/>
      </rPr>
      <t>2</t>
    </r>
    <r>
      <rPr>
        <b/>
        <sz val="9"/>
        <color theme="3" tint="0.39994506668294322"/>
        <rFont val="Arial"/>
        <family val="2"/>
      </rPr>
      <t>e</t>
    </r>
  </si>
  <si>
    <t>% WA employees in KC</t>
  </si>
  <si>
    <t>scale by % KC employees</t>
  </si>
  <si>
    <t>Natural gas</t>
    <phoneticPr fontId="29" type="noConversion"/>
  </si>
  <si>
    <t>source data</t>
    <phoneticPr fontId="29" type="noConversion"/>
  </si>
  <si>
    <t>calculation steps</t>
    <phoneticPr fontId="29" type="noConversion"/>
  </si>
  <si>
    <t>1. Aggregate steam plant consumption</t>
    <phoneticPr fontId="29" type="noConversion"/>
  </si>
  <si>
    <t xml:space="preserve">3. Calculate emissions </t>
    <phoneticPr fontId="29" type="noConversion"/>
  </si>
  <si>
    <t>Distillate Oil</t>
    <phoneticPr fontId="29" type="noConversion"/>
  </si>
  <si>
    <t xml:space="preserve">PSCAA Monitoring Data, per PSE deignation </t>
    <phoneticPr fontId="29" type="noConversion"/>
  </si>
  <si>
    <t>1. Aggregate distillate oil</t>
    <phoneticPr fontId="29" type="noConversion"/>
  </si>
  <si>
    <t>therms</t>
    <phoneticPr fontId="29" type="noConversion"/>
  </si>
  <si>
    <t>data below threshold, unreported</t>
  </si>
  <si>
    <t>None</t>
  </si>
  <si>
    <t>SC15_65_08</t>
  </si>
  <si>
    <t>GGL14 tab-Western</t>
  </si>
  <si>
    <t>SC15_65_07</t>
  </si>
  <si>
    <t xml:space="preserve">gallons listed </t>
  </si>
  <si>
    <t>SC15_11_01</t>
  </si>
  <si>
    <t>MMBTU/BTU</t>
  </si>
  <si>
    <t>Mg/kg</t>
  </si>
  <si>
    <r>
      <t>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e</t>
    </r>
  </si>
  <si>
    <t>Equation WW.1.a of the U.S. Community Protocol</t>
  </si>
  <si>
    <r>
      <t>N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O process emissions from wastewater treatment plants without nitrification or denitrification</t>
    </r>
  </si>
  <si>
    <r>
      <t>Calculation of N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O emissions from effluent discharge</t>
    </r>
  </si>
  <si>
    <t>Brightwater Facility emissions</t>
  </si>
  <si>
    <t>Septic emissions</t>
  </si>
  <si>
    <t>WWTP's with aerobic digestion, no incineration, and N/DN (See Appendix F Page 14)</t>
  </si>
  <si>
    <t>Septic Emissions (See Appendix F page 12)</t>
  </si>
  <si>
    <t>WWTP's with anaerobic digesters, no incineration of solids, no N/DN (See Appendix F page 14)</t>
  </si>
  <si>
    <t>Equation WW.7 of the Community Protocol</t>
  </si>
  <si>
    <t>Factor for high N loading of industrial or commercial discharge</t>
  </si>
  <si>
    <t>EF for WWTP with N/DN</t>
  </si>
  <si>
    <t>Conversion from g to Mg</t>
  </si>
  <si>
    <t>unit-less</t>
  </si>
  <si>
    <r>
      <t>g N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O/person/year</t>
    </r>
  </si>
  <si>
    <t>Mg/g</t>
  </si>
  <si>
    <t>Granite Falls population</t>
  </si>
  <si>
    <t>Sultan Population</t>
  </si>
  <si>
    <t>Monroe Population</t>
  </si>
  <si>
    <t>Alderwood/Picnic Point population</t>
  </si>
  <si>
    <t>Granite Falls emissions</t>
  </si>
  <si>
    <t>Sultan emissions</t>
  </si>
  <si>
    <t>Monroe emissions</t>
  </si>
  <si>
    <t>Alderwood/Picnic Point emissions</t>
  </si>
  <si>
    <t>BN2O Process Emissions from WWTPs that use N/DN</t>
  </si>
  <si>
    <t>WWTP's with aerobic digestion, no incineration, and N/DN emissions</t>
  </si>
  <si>
    <t>WWTP's with anaerobic digesters, no incineration of solids, no N/DN emissions</t>
  </si>
  <si>
    <t>Lagoon systems (Appendix F page 13)</t>
  </si>
  <si>
    <t>Lagoon emissions</t>
  </si>
  <si>
    <t>WWTP's without anaeorbic digestion, Incineration no D/DN (Appendix F page 14)</t>
  </si>
  <si>
    <t>Lynwood WWTP population</t>
  </si>
  <si>
    <t>people</t>
  </si>
  <si>
    <t>g/person/day</t>
  </si>
  <si>
    <t>wealthy country mass Table 3</t>
  </si>
  <si>
    <t>mean wet fecal mass</t>
  </si>
  <si>
    <r>
      <t xml:space="preserve"> g CH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/ Mg</t>
    </r>
  </si>
  <si>
    <t>GWP methane</t>
  </si>
  <si>
    <t>g to Mg</t>
  </si>
  <si>
    <r>
      <t>EF CH</t>
    </r>
    <r>
      <rPr>
        <vertAlign val="subscript"/>
        <sz val="9"/>
        <rFont val="Arial"/>
        <family val="2"/>
      </rPr>
      <t>4</t>
    </r>
  </si>
  <si>
    <t>Convert fecal mass to Mg</t>
  </si>
  <si>
    <t>g/Mg</t>
  </si>
  <si>
    <t>Lynwood emissions</t>
  </si>
  <si>
    <r>
      <t>CH</t>
    </r>
    <r>
      <rPr>
        <b/>
        <vertAlign val="subscript"/>
        <sz val="9"/>
        <rFont val="Arial"/>
        <family val="2"/>
      </rPr>
      <t>4</t>
    </r>
    <r>
      <rPr>
        <b/>
        <sz val="9"/>
        <rFont val="Arial"/>
        <family val="2"/>
      </rPr>
      <t xml:space="preserve"> Emissions from the combustion of WWTP residuals</t>
    </r>
  </si>
  <si>
    <r>
      <t>N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O Emissions from the combustion of WWTP residuals</t>
    </r>
  </si>
  <si>
    <r>
      <t xml:space="preserve"> g N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O/ Mg</t>
    </r>
  </si>
  <si>
    <t>GWP nitrous oxide</t>
  </si>
  <si>
    <t>Lynwood Facility</t>
  </si>
  <si>
    <t>WWTP's without anaerobic digesters, performs incineration of solids, no N/DN emissions</t>
  </si>
  <si>
    <t>Emonds WWTP emissions</t>
  </si>
  <si>
    <t>Arlington WWTP emissions</t>
  </si>
  <si>
    <t>Emonds WWTP population</t>
  </si>
  <si>
    <t>Arlington WWTP population</t>
  </si>
  <si>
    <t>Emissions all WWTP in Snohomish County</t>
  </si>
  <si>
    <t>SC15_90_01</t>
  </si>
  <si>
    <t>value from Bremertonm in Kitsap County. Assumed to be similar for Snohomish County</t>
  </si>
  <si>
    <t>SC15_90_13</t>
  </si>
  <si>
    <t>SC15_90_14</t>
  </si>
  <si>
    <t>SC15_90_17</t>
  </si>
  <si>
    <t>SC15_90_18</t>
  </si>
  <si>
    <t>SC15_90_15, SC15_90_16</t>
  </si>
  <si>
    <t>SC15_90_19</t>
  </si>
  <si>
    <t>SC15_90_20</t>
  </si>
  <si>
    <t>SC15_90_06, SC15_90_07</t>
  </si>
  <si>
    <t>SC15_90_04</t>
  </si>
  <si>
    <t>page 6</t>
  </si>
  <si>
    <t>Probably slight over-estimate of population (based on early 2017 numbers). Assumed 4 ERU's per multifamily and commercial</t>
  </si>
  <si>
    <t>SC15_90_22</t>
  </si>
  <si>
    <t>SC15_90_23</t>
  </si>
  <si>
    <t>Open landfills</t>
  </si>
  <si>
    <t>N/A</t>
  </si>
  <si>
    <t>Cathcart landfill</t>
  </si>
  <si>
    <t>CO2 emissions</t>
  </si>
  <si>
    <t xml:space="preserve">Natural gas </t>
  </si>
  <si>
    <t>Petroleum (heating)</t>
  </si>
  <si>
    <t>Petroleum (non-road equipment)</t>
  </si>
  <si>
    <t>Natural gas (heat and other)</t>
  </si>
  <si>
    <t>Natural gas (equipment)</t>
  </si>
  <si>
    <t>Petroleum (heat and other)</t>
  </si>
  <si>
    <t>Petroleum (equipment)</t>
  </si>
  <si>
    <t>Freight and passenger rail</t>
  </si>
  <si>
    <t>Freight and Passenger rail</t>
  </si>
  <si>
    <t>Supplementary Emission Sectors</t>
  </si>
  <si>
    <t xml:space="preserve">Expanded: Supplementary </t>
  </si>
  <si>
    <t>Sequestration</t>
  </si>
  <si>
    <t>Solid waste disposal</t>
  </si>
  <si>
    <t>&lt;SC15-00-1&gt; - 2015 Snohomish County GHG Inventory Master Spreadsheet</t>
  </si>
  <si>
    <t>GHG emissions generated at SNOPUD</t>
  </si>
  <si>
    <t>SNOPUD</t>
  </si>
  <si>
    <t>Reported SNOPUD EF</t>
  </si>
  <si>
    <t>2. Calculate emissions</t>
  </si>
  <si>
    <t>SC15_50_01, SC15_50_02</t>
  </si>
  <si>
    <t>SC15_50_01</t>
  </si>
  <si>
    <t>Table 4</t>
  </si>
  <si>
    <t>Lynwood Facility emissions</t>
  </si>
  <si>
    <t>SC15_50_03</t>
  </si>
  <si>
    <t>SC15_20_02</t>
  </si>
  <si>
    <t>Snohomish Public Utilities</t>
  </si>
  <si>
    <t>1. Calculate acreage ratio of cropland (SC:US)</t>
  </si>
  <si>
    <t xml:space="preserve">     Snohomish County</t>
  </si>
  <si>
    <t>QC Tracker</t>
  </si>
  <si>
    <t>Tab</t>
  </si>
  <si>
    <t>QC'r</t>
  </si>
  <si>
    <t>Date</t>
  </si>
  <si>
    <t>Comments Addressed?</t>
  </si>
  <si>
    <t>Trans-Rail</t>
  </si>
  <si>
    <t>SC15_11_02</t>
  </si>
  <si>
    <t>SC15_80_01, SC15_80_02</t>
  </si>
  <si>
    <t>Emily</t>
  </si>
  <si>
    <t>Cell O29</t>
  </si>
  <si>
    <t>Diesel output in NONROAD refers to boats</t>
  </si>
  <si>
    <t>4-stroke and 2-stroke from NONROAD</t>
  </si>
  <si>
    <t>LPG output in NONROAD refers to boats</t>
  </si>
  <si>
    <t>Demand Response</t>
  </si>
  <si>
    <t>Commuter Bus</t>
  </si>
  <si>
    <t>BH 6/22/17</t>
  </si>
  <si>
    <t>Datum Description</t>
  </si>
  <si>
    <t>SeaTac Airport emissions</t>
  </si>
  <si>
    <t>Total emissions</t>
  </si>
  <si>
    <t>SC15_14_02</t>
  </si>
  <si>
    <t>SC15_14_03</t>
  </si>
  <si>
    <t>SC proportion of 4-county population</t>
  </si>
  <si>
    <t>SC proportion of emissions</t>
  </si>
  <si>
    <t>SC air emissions</t>
  </si>
  <si>
    <t>Commercial airport</t>
  </si>
  <si>
    <t>Assume commercial employees more representative of oil use then county population</t>
  </si>
  <si>
    <t>Calculated average of 12 months for 2015 -- similar to 2016 avg reported in SC15_90_02</t>
  </si>
  <si>
    <t>SC15_90_24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</si>
</sst>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#,##0.0"/>
    <numFmt numFmtId="166" formatCode="0.0000"/>
    <numFmt numFmtId="167" formatCode="0.0000000"/>
    <numFmt numFmtId="168" formatCode="#,##0.000000"/>
    <numFmt numFmtId="169" formatCode="0.0"/>
    <numFmt numFmtId="170" formatCode="0.000"/>
    <numFmt numFmtId="171" formatCode="0.00000"/>
    <numFmt numFmtId="172" formatCode="0.000000"/>
    <numFmt numFmtId="173" formatCode="0.000E+00"/>
    <numFmt numFmtId="174" formatCode="#,##0.00000"/>
    <numFmt numFmtId="175" formatCode="#,##0.0000"/>
    <numFmt numFmtId="176" formatCode="0.000%"/>
    <numFmt numFmtId="177" formatCode="0.0000E+00"/>
    <numFmt numFmtId="178" formatCode="0.0%"/>
    <numFmt numFmtId="179" formatCode="#,##0_);\(#,##0\);&quot;-&quot;_);@_)"/>
    <numFmt numFmtId="180" formatCode="mm/dd/yy;@"/>
    <numFmt numFmtId="181" formatCode="_(* #,##0_);_(* \(#,##0\);_(* &quot;-&quot;??_);_(@_)"/>
    <numFmt numFmtId="182" formatCode="_(* #,##0.0_);_(* \(#,##0.0\);_(* &quot;-&quot;??_);_(@_)"/>
    <numFmt numFmtId="183" formatCode="_(* #,##0.000_);_(* \(#,##0.000\);_(* &quot;-&quot;??_);_(@_)"/>
    <numFmt numFmtId="184" formatCode="#,##0.0_);\(#,##0.0\)"/>
    <numFmt numFmtId="185" formatCode="#,##0.0000000000000000000"/>
    <numFmt numFmtId="186" formatCode="_(&quot;$&quot;* #,##0_);_(&quot;$&quot;* \(#,##0\);_(&quot;$&quot;* &quot;-&quot;??_);_(@_)"/>
    <numFmt numFmtId="187" formatCode="_(* #,##0.00000_);_(* \(#,##0.00000\);_(* &quot;-&quot;??_);_(@_)"/>
    <numFmt numFmtId="188" formatCode="_(* #,##0.0000_);_(* \(#,##0.0000\);_(* &quot;-&quot;??_);_(@_)"/>
    <numFmt numFmtId="189" formatCode="_(* #,##0_);_(* \(#,##0\);_(* &quot;-&quot;???_);_(@_)"/>
  </numFmts>
  <fonts count="121" x14ac:knownFonts="1"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9"/>
      <color indexed="12"/>
      <name val="Arial"/>
      <family val="2"/>
    </font>
    <font>
      <sz val="9"/>
      <color indexed="39"/>
      <name val="Arial"/>
      <family val="2"/>
    </font>
    <font>
      <sz val="9"/>
      <name val="Times New Roman"/>
      <family val="1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b/>
      <vertAlign val="subscript"/>
      <sz val="9"/>
      <name val="Arial"/>
      <family val="2"/>
    </font>
    <font>
      <b/>
      <sz val="9"/>
      <color indexed="10"/>
      <name val="Arial"/>
      <family val="2"/>
    </font>
    <font>
      <sz val="8"/>
      <color indexed="39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b/>
      <i/>
      <sz val="9"/>
      <color indexed="10"/>
      <name val="Arial"/>
      <family val="2"/>
    </font>
    <font>
      <sz val="10"/>
      <name val="Arial"/>
      <family val="2"/>
    </font>
    <font>
      <sz val="8"/>
      <name val="Helv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name val="Verdana"/>
      <family val="2"/>
    </font>
    <font>
      <sz val="9"/>
      <name val="Arial"/>
      <family val="2"/>
    </font>
    <font>
      <vertAlign val="subscript"/>
      <sz val="9"/>
      <color indexed="8"/>
      <name val="Arial"/>
      <family val="2"/>
    </font>
    <font>
      <sz val="7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14"/>
      <color indexed="9"/>
      <name val="Arial"/>
      <family val="2"/>
    </font>
    <font>
      <vertAlign val="subscript"/>
      <sz val="10"/>
      <name val="Arial"/>
      <family val="2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3"/>
      <color indexed="9"/>
      <name val="Calibri"/>
      <family val="2"/>
      <scheme val="minor"/>
    </font>
    <font>
      <sz val="13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Arial"/>
      <family val="2"/>
    </font>
    <font>
      <b/>
      <sz val="9"/>
      <color theme="3" tint="0.39997558519241921"/>
      <name val="Arial"/>
      <family val="2"/>
    </font>
    <font>
      <u/>
      <sz val="9"/>
      <color theme="10"/>
      <name val="Arial"/>
      <family val="2"/>
    </font>
    <font>
      <u/>
      <sz val="9"/>
      <name val="Arial"/>
      <family val="2"/>
    </font>
    <font>
      <b/>
      <vertAlign val="subscript"/>
      <sz val="9"/>
      <color theme="3" tint="0.39997558519241921"/>
      <name val="Arial"/>
      <family val="2"/>
    </font>
    <font>
      <b/>
      <sz val="9"/>
      <color theme="0" tint="-0.34998626667073579"/>
      <name val="Arial"/>
      <family val="2"/>
    </font>
    <font>
      <sz val="9"/>
      <color theme="3" tint="0.39997558519241921"/>
      <name val="Arial"/>
      <family val="2"/>
    </font>
    <font>
      <vertAlign val="subscript"/>
      <sz val="9"/>
      <color theme="3" tint="0.3999755851924192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name val="Calibri"/>
      <family val="2"/>
    </font>
    <font>
      <sz val="9"/>
      <color theme="0" tint="-0.249977111117893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vertAlign val="subscript"/>
      <sz val="8"/>
      <name val="Calibri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theme="0" tint="-0.249977111117893"/>
      <name val="Arial"/>
      <family val="2"/>
    </font>
    <font>
      <b/>
      <sz val="9"/>
      <name val="Calibri"/>
      <family val="2"/>
      <scheme val="minor"/>
    </font>
    <font>
      <b/>
      <sz val="9"/>
      <color theme="4"/>
      <name val="Calibri"/>
      <family val="2"/>
      <scheme val="minor"/>
    </font>
    <font>
      <vertAlign val="subscript"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bscript"/>
      <sz val="9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u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color theme="0"/>
      <name val="Arial"/>
      <family val="2"/>
    </font>
    <font>
      <sz val="16"/>
      <name val="Arial"/>
      <family val="2"/>
    </font>
    <font>
      <vertAlign val="subscript"/>
      <sz val="16"/>
      <name val="Arial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9"/>
      <name val="Segoe UI"/>
      <family val="2"/>
    </font>
    <font>
      <b/>
      <sz val="10"/>
      <color theme="0"/>
      <name val="Segoe UI"/>
      <family val="2"/>
    </font>
    <font>
      <b/>
      <sz val="9"/>
      <name val="Segoe UI"/>
      <family val="2"/>
    </font>
    <font>
      <b/>
      <sz val="9"/>
      <color rgb="FFFFFFFF"/>
      <name val="Segoe UI"/>
      <family val="2"/>
    </font>
    <font>
      <b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vertAlign val="subscript"/>
      <sz val="10"/>
      <name val="Arial"/>
      <family val="2"/>
    </font>
    <font>
      <sz val="9"/>
      <color theme="1"/>
      <name val="Arial"/>
      <family val="2"/>
    </font>
    <font>
      <sz val="7"/>
      <color theme="0"/>
      <name val="Arial"/>
      <family val="2"/>
    </font>
    <font>
      <u/>
      <sz val="9"/>
      <color theme="1"/>
      <name val="Arial"/>
      <family val="2"/>
    </font>
    <font>
      <b/>
      <u/>
      <sz val="9"/>
      <name val="Arial"/>
      <family val="2"/>
    </font>
    <font>
      <sz val="8.5"/>
      <name val="Arial"/>
      <family val="2"/>
    </font>
    <font>
      <sz val="9"/>
      <color theme="3" tint="0.39997558519241921"/>
      <name val="Calibri"/>
      <family val="2"/>
      <scheme val="minor"/>
    </font>
    <font>
      <vertAlign val="subscript"/>
      <sz val="9"/>
      <name val="Calibri"/>
      <family val="2"/>
    </font>
    <font>
      <sz val="9"/>
      <name val="Calibri"/>
      <family val="2"/>
    </font>
    <font>
      <b/>
      <vertAlign val="subscript"/>
      <sz val="9"/>
      <name val="Calibri"/>
      <family val="2"/>
    </font>
    <font>
      <b/>
      <sz val="9"/>
      <name val="Calibri"/>
      <family val="2"/>
    </font>
    <font>
      <b/>
      <vertAlign val="subscript"/>
      <sz val="9"/>
      <color theme="3" tint="0.39997558519241921"/>
      <name val="Calibri"/>
      <family val="2"/>
    </font>
    <font>
      <b/>
      <sz val="9"/>
      <color theme="3" tint="0.39997558519241921"/>
      <name val="Calibri"/>
      <family val="2"/>
    </font>
    <font>
      <b/>
      <sz val="9"/>
      <color theme="3" tint="0.3999450666829432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99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C70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rgb="FF9FAFA5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3">
    <xf numFmtId="0" fontId="0" fillId="0" borderId="0">
      <alignment vertical="top"/>
    </xf>
    <xf numFmtId="43" fontId="1" fillId="0" borderId="0" applyFont="0" applyFill="0" applyBorder="0" applyAlignment="0" applyProtection="0"/>
    <xf numFmtId="0" fontId="5" fillId="0" borderId="1"/>
    <xf numFmtId="0" fontId="6" fillId="0" borderId="0"/>
    <xf numFmtId="9" fontId="1" fillId="0" borderId="0" applyFont="0" applyFill="0" applyBorder="0" applyAlignment="0" applyProtection="0"/>
    <xf numFmtId="0" fontId="23" fillId="0" borderId="0">
      <alignment horizontal="left"/>
    </xf>
    <xf numFmtId="179" fontId="18" fillId="0" borderId="2" applyFont="0" applyFill="0" applyBorder="0" applyProtection="0">
      <alignment horizontal="right" vertical="top"/>
    </xf>
    <xf numFmtId="0" fontId="6" fillId="0" borderId="3">
      <alignment vertical="top"/>
    </xf>
    <xf numFmtId="3" fontId="2" fillId="0" borderId="0" applyNumberFormat="0" applyFill="0" applyBorder="0" applyProtection="0">
      <alignment horizontal="left" vertical="top"/>
    </xf>
    <xf numFmtId="3" fontId="8" fillId="0" borderId="0" applyNumberFormat="0" applyFill="0" applyBorder="0" applyProtection="0">
      <alignment horizontal="left" vertical="top"/>
    </xf>
    <xf numFmtId="0" fontId="63" fillId="0" borderId="0" applyNumberFormat="0" applyFill="0" applyBorder="0" applyAlignment="0" applyProtection="0">
      <alignment vertical="top"/>
    </xf>
    <xf numFmtId="179" fontId="6" fillId="0" borderId="2" applyFont="0" applyFill="0" applyBorder="0" applyProtection="0">
      <alignment horizontal="right" vertical="top"/>
    </xf>
    <xf numFmtId="44" fontId="6" fillId="0" borderId="0" applyFont="0" applyFill="0" applyBorder="0" applyAlignment="0" applyProtection="0"/>
  </cellStyleXfs>
  <cellXfs count="1832">
    <xf numFmtId="0" fontId="0" fillId="0" borderId="0" xfId="0">
      <alignment vertical="top"/>
    </xf>
    <xf numFmtId="0" fontId="0" fillId="0" borderId="2" xfId="0" applyBorder="1">
      <alignment vertical="top"/>
    </xf>
    <xf numFmtId="0" fontId="7" fillId="0" borderId="0" xfId="0" applyFont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left"/>
    </xf>
    <xf numFmtId="0" fontId="0" fillId="0" borderId="0" xfId="0" applyBorder="1">
      <alignment vertical="top"/>
    </xf>
    <xf numFmtId="0" fontId="7" fillId="0" borderId="0" xfId="0" applyFont="1" applyBorder="1" applyAlignment="1">
      <alignment horizontal="centerContinuous"/>
    </xf>
    <xf numFmtId="0" fontId="7" fillId="0" borderId="2" xfId="0" applyFont="1" applyBorder="1" applyAlignment="1"/>
    <xf numFmtId="0" fontId="7" fillId="0" borderId="0" xfId="0" applyFont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0" xfId="0" applyFill="1" applyBorder="1" applyAlignment="1"/>
    <xf numFmtId="0" fontId="0" fillId="0" borderId="0" xfId="0" applyAlignment="1"/>
    <xf numFmtId="3" fontId="8" fillId="0" borderId="0" xfId="9" applyAlignment="1">
      <alignment horizontal="left" vertical="center"/>
    </xf>
    <xf numFmtId="3" fontId="7" fillId="0" borderId="0" xfId="9" applyFont="1">
      <alignment horizontal="left" vertical="top"/>
    </xf>
    <xf numFmtId="0" fontId="6" fillId="0" borderId="0" xfId="3" applyFont="1"/>
    <xf numFmtId="0" fontId="6" fillId="0" borderId="0" xfId="3" applyFont="1" applyAlignment="1">
      <alignment horizontal="center"/>
    </xf>
    <xf numFmtId="3" fontId="7" fillId="0" borderId="0" xfId="9" applyFont="1" applyAlignment="1">
      <alignment horizontal="centerContinuous" vertical="top"/>
    </xf>
    <xf numFmtId="0" fontId="7" fillId="0" borderId="0" xfId="3" applyFont="1" applyAlignment="1">
      <alignment horizontal="center"/>
    </xf>
    <xf numFmtId="3" fontId="7" fillId="0" borderId="0" xfId="9" applyFont="1" applyAlignment="1">
      <alignment horizontal="center" vertical="top"/>
    </xf>
    <xf numFmtId="0" fontId="7" fillId="2" borderId="0" xfId="2" applyFont="1" applyFill="1" applyBorder="1"/>
    <xf numFmtId="164" fontId="6" fillId="0" borderId="0" xfId="3" applyNumberFormat="1" applyFont="1" applyFill="1" applyBorder="1"/>
    <xf numFmtId="166" fontId="6" fillId="0" borderId="0" xfId="3" applyNumberFormat="1" applyFont="1"/>
    <xf numFmtId="0" fontId="9" fillId="0" borderId="0" xfId="3" applyFont="1"/>
    <xf numFmtId="170" fontId="6" fillId="0" borderId="0" xfId="3" applyNumberFormat="1" applyFont="1"/>
    <xf numFmtId="171" fontId="6" fillId="0" borderId="0" xfId="3" applyNumberFormat="1" applyFont="1"/>
    <xf numFmtId="165" fontId="6" fillId="0" borderId="0" xfId="3" applyNumberFormat="1" applyFont="1"/>
    <xf numFmtId="167" fontId="6" fillId="0" borderId="0" xfId="3" applyNumberFormat="1" applyFont="1"/>
    <xf numFmtId="0" fontId="6" fillId="0" borderId="0" xfId="3" applyFont="1" applyFill="1" applyBorder="1"/>
    <xf numFmtId="171" fontId="10" fillId="0" borderId="0" xfId="3" applyNumberFormat="1" applyFont="1"/>
    <xf numFmtId="177" fontId="10" fillId="0" borderId="0" xfId="3" applyNumberFormat="1" applyFont="1"/>
    <xf numFmtId="4" fontId="10" fillId="0" borderId="0" xfId="3" applyNumberFormat="1" applyFont="1"/>
    <xf numFmtId="1" fontId="10" fillId="0" borderId="0" xfId="3" applyNumberFormat="1" applyFont="1"/>
    <xf numFmtId="175" fontId="10" fillId="0" borderId="0" xfId="3" applyNumberFormat="1" applyFont="1"/>
    <xf numFmtId="2" fontId="6" fillId="0" borderId="0" xfId="3" applyNumberFormat="1" applyFont="1"/>
    <xf numFmtId="169" fontId="6" fillId="0" borderId="0" xfId="3" applyNumberFormat="1" applyFont="1"/>
    <xf numFmtId="173" fontId="9" fillId="0" borderId="0" xfId="3" applyNumberFormat="1" applyFont="1"/>
    <xf numFmtId="0" fontId="9" fillId="0" borderId="0" xfId="3" applyNumberFormat="1" applyFont="1"/>
    <xf numFmtId="173" fontId="6" fillId="0" borderId="0" xfId="3" applyNumberFormat="1" applyFont="1"/>
    <xf numFmtId="175" fontId="6" fillId="0" borderId="0" xfId="3" applyNumberFormat="1" applyFont="1"/>
    <xf numFmtId="171" fontId="9" fillId="0" borderId="0" xfId="3" applyNumberFormat="1" applyFont="1"/>
    <xf numFmtId="174" fontId="9" fillId="0" borderId="0" xfId="3" applyNumberFormat="1" applyFont="1"/>
    <xf numFmtId="175" fontId="9" fillId="0" borderId="0" xfId="3" applyNumberFormat="1" applyFont="1"/>
    <xf numFmtId="4" fontId="9" fillId="0" borderId="0" xfId="3" applyNumberFormat="1" applyFont="1"/>
    <xf numFmtId="0" fontId="11" fillId="0" borderId="0" xfId="3" applyFont="1" applyAlignment="1">
      <alignment horizontal="left" indent="2"/>
    </xf>
    <xf numFmtId="0" fontId="9" fillId="0" borderId="0" xfId="3" applyNumberFormat="1" applyFont="1" applyAlignment="1"/>
    <xf numFmtId="172" fontId="6" fillId="0" borderId="0" xfId="3" applyNumberFormat="1" applyFont="1"/>
    <xf numFmtId="0" fontId="11" fillId="0" borderId="0" xfId="3" applyFont="1"/>
    <xf numFmtId="1" fontId="6" fillId="0" borderId="0" xfId="3" applyNumberFormat="1" applyFont="1"/>
    <xf numFmtId="3" fontId="6" fillId="0" borderId="0" xfId="3" applyNumberFormat="1" applyFont="1"/>
    <xf numFmtId="3" fontId="10" fillId="0" borderId="0" xfId="3" applyNumberFormat="1" applyFont="1"/>
    <xf numFmtId="173" fontId="10" fillId="0" borderId="0" xfId="3" applyNumberFormat="1" applyFont="1"/>
    <xf numFmtId="164" fontId="6" fillId="0" borderId="0" xfId="3" applyNumberFormat="1" applyFont="1"/>
    <xf numFmtId="4" fontId="6" fillId="0" borderId="0" xfId="3" applyNumberFormat="1" applyFont="1"/>
    <xf numFmtId="168" fontId="6" fillId="0" borderId="0" xfId="3" applyNumberFormat="1" applyFont="1"/>
    <xf numFmtId="174" fontId="6" fillId="0" borderId="0" xfId="3" applyNumberFormat="1" applyFont="1"/>
    <xf numFmtId="0" fontId="7" fillId="0" borderId="0" xfId="3" applyFont="1"/>
    <xf numFmtId="4" fontId="0" fillId="0" borderId="0" xfId="0" applyNumberFormat="1">
      <alignment vertical="top"/>
    </xf>
    <xf numFmtId="49" fontId="0" fillId="0" borderId="2" xfId="0" applyNumberFormat="1" applyBorder="1" applyAlignment="1">
      <alignment horizontal="center"/>
    </xf>
    <xf numFmtId="0" fontId="6" fillId="0" borderId="0" xfId="0" applyFont="1">
      <alignment vertical="top"/>
    </xf>
    <xf numFmtId="165" fontId="6" fillId="0" borderId="0" xfId="0" applyNumberFormat="1" applyFont="1">
      <alignment vertical="top"/>
    </xf>
    <xf numFmtId="3" fontId="6" fillId="0" borderId="0" xfId="0" applyNumberFormat="1" applyFont="1">
      <alignment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>
      <alignment vertical="top"/>
    </xf>
    <xf numFmtId="3" fontId="8" fillId="0" borderId="0" xfId="9" applyFont="1" applyAlignment="1">
      <alignment horizontal="left" vertical="center"/>
    </xf>
    <xf numFmtId="0" fontId="0" fillId="0" borderId="0" xfId="0" applyFill="1" applyBorder="1">
      <alignment vertical="top"/>
    </xf>
    <xf numFmtId="174" fontId="0" fillId="0" borderId="0" xfId="0" applyNumberFormat="1">
      <alignment vertical="top"/>
    </xf>
    <xf numFmtId="0" fontId="6" fillId="0" borderId="0" xfId="3" applyFont="1" applyAlignment="1"/>
    <xf numFmtId="0" fontId="7" fillId="0" borderId="0" xfId="0" applyFont="1" applyAlignment="1">
      <alignment vertical="top"/>
    </xf>
    <xf numFmtId="49" fontId="7" fillId="2" borderId="0" xfId="2" applyNumberFormat="1" applyFont="1" applyFill="1" applyBorder="1" applyAlignment="1"/>
    <xf numFmtId="0" fontId="0" fillId="0" borderId="0" xfId="0" applyAlignment="1">
      <alignment vertical="top"/>
    </xf>
    <xf numFmtId="0" fontId="7" fillId="2" borderId="0" xfId="2" applyFont="1" applyFill="1" applyBorder="1" applyAlignment="1"/>
    <xf numFmtId="168" fontId="6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/>
    <xf numFmtId="3" fontId="7" fillId="0" borderId="0" xfId="0" applyNumberFormat="1" applyFont="1" applyFill="1" applyBorder="1" applyAlignment="1" applyProtection="1">
      <alignment vertical="top" wrapText="1"/>
    </xf>
    <xf numFmtId="165" fontId="0" fillId="0" borderId="0" xfId="0" applyNumberFormat="1" applyFill="1" applyAlignment="1">
      <alignment vertical="top" wrapText="1"/>
    </xf>
    <xf numFmtId="3" fontId="0" fillId="0" borderId="0" xfId="0" applyNumberFormat="1" applyFill="1" applyAlignment="1">
      <alignment vertical="top" wrapText="1"/>
    </xf>
    <xf numFmtId="3" fontId="9" fillId="0" borderId="0" xfId="3" applyNumberFormat="1" applyFont="1"/>
    <xf numFmtId="0" fontId="6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177" fontId="6" fillId="0" borderId="0" xfId="3" applyNumberFormat="1" applyFont="1" applyAlignment="1">
      <alignment horizontal="left"/>
    </xf>
    <xf numFmtId="4" fontId="0" fillId="0" borderId="0" xfId="0" applyNumberFormat="1" applyFill="1" applyAlignment="1">
      <alignment vertical="top" wrapText="1"/>
    </xf>
    <xf numFmtId="49" fontId="6" fillId="0" borderId="0" xfId="0" applyNumberFormat="1" applyFont="1" applyBorder="1" applyAlignment="1">
      <alignment vertical="top"/>
    </xf>
    <xf numFmtId="0" fontId="6" fillId="0" borderId="2" xfId="0" applyFont="1" applyBorder="1" applyAlignment="1">
      <alignment horizontal="left"/>
    </xf>
    <xf numFmtId="0" fontId="0" fillId="0" borderId="2" xfId="0" applyFill="1" applyBorder="1">
      <alignment vertical="top"/>
    </xf>
    <xf numFmtId="4" fontId="0" fillId="0" borderId="0" xfId="0" applyNumberFormat="1" applyFill="1">
      <alignment vertical="top"/>
    </xf>
    <xf numFmtId="49" fontId="0" fillId="0" borderId="2" xfId="0" applyNumberFormat="1" applyFill="1" applyBorder="1" applyAlignment="1">
      <alignment horizontal="center"/>
    </xf>
    <xf numFmtId="0" fontId="0" fillId="0" borderId="0" xfId="0" applyFill="1">
      <alignment vertical="top"/>
    </xf>
    <xf numFmtId="0" fontId="0" fillId="0" borderId="0" xfId="0" applyFill="1" applyAlignment="1"/>
    <xf numFmtId="0" fontId="0" fillId="0" borderId="2" xfId="0" applyFill="1" applyBorder="1" applyAlignment="1"/>
    <xf numFmtId="0" fontId="0" fillId="0" borderId="0" xfId="0" applyFill="1" applyBorder="1" applyAlignment="1"/>
    <xf numFmtId="165" fontId="0" fillId="0" borderId="0" xfId="0" applyNumberFormat="1" applyFill="1">
      <alignment vertical="top"/>
    </xf>
    <xf numFmtId="49" fontId="0" fillId="0" borderId="2" xfId="0" applyNumberFormat="1" applyFill="1" applyBorder="1" applyAlignment="1">
      <alignment horizontal="center" vertical="top"/>
    </xf>
    <xf numFmtId="9" fontId="0" fillId="0" borderId="0" xfId="0" applyNumberFormat="1" applyFill="1">
      <alignment vertical="top"/>
    </xf>
    <xf numFmtId="164" fontId="0" fillId="0" borderId="0" xfId="0" applyNumberFormat="1" applyFill="1">
      <alignment vertical="top"/>
    </xf>
    <xf numFmtId="0" fontId="0" fillId="0" borderId="2" xfId="0" applyFill="1" applyBorder="1" applyAlignment="1">
      <alignment horizontal="left" vertical="top" wrapText="1" indent="3"/>
    </xf>
    <xf numFmtId="10" fontId="0" fillId="0" borderId="0" xfId="0" applyNumberFormat="1" applyFill="1">
      <alignment vertical="top"/>
    </xf>
    <xf numFmtId="178" fontId="0" fillId="0" borderId="0" xfId="0" applyNumberFormat="1" applyFill="1">
      <alignment vertical="top"/>
    </xf>
    <xf numFmtId="0" fontId="0" fillId="0" borderId="2" xfId="0" applyFill="1" applyBorder="1" applyAlignment="1">
      <alignment horizontal="left" vertical="top" wrapText="1"/>
    </xf>
    <xf numFmtId="174" fontId="0" fillId="0" borderId="0" xfId="0" applyNumberFormat="1" applyFill="1">
      <alignment vertical="top"/>
    </xf>
    <xf numFmtId="3" fontId="0" fillId="0" borderId="0" xfId="0" applyNumberFormat="1" applyFill="1">
      <alignment vertical="top"/>
    </xf>
    <xf numFmtId="0" fontId="0" fillId="0" borderId="2" xfId="0" applyFill="1" applyBorder="1" applyAlignment="1">
      <alignment vertical="top" wrapText="1"/>
    </xf>
    <xf numFmtId="0" fontId="0" fillId="0" borderId="0" xfId="0" applyFill="1" applyAlignment="1">
      <alignment horizontal="left" vertical="top" wrapText="1" indent="3"/>
    </xf>
    <xf numFmtId="49" fontId="0" fillId="0" borderId="2" xfId="0" applyNumberFormat="1" applyFill="1" applyBorder="1" applyAlignment="1">
      <alignment horizontal="left" indent="3"/>
    </xf>
    <xf numFmtId="9" fontId="0" fillId="0" borderId="0" xfId="0" applyNumberFormat="1" applyFill="1" applyAlignment="1">
      <alignment vertical="top" wrapText="1"/>
    </xf>
    <xf numFmtId="11" fontId="0" fillId="0" borderId="0" xfId="0" applyNumberFormat="1" applyFill="1">
      <alignment vertical="top"/>
    </xf>
    <xf numFmtId="4" fontId="17" fillId="0" borderId="0" xfId="0" applyNumberFormat="1" applyFont="1" applyFill="1">
      <alignment vertical="top"/>
    </xf>
    <xf numFmtId="175" fontId="0" fillId="0" borderId="0" xfId="0" applyNumberFormat="1" applyFill="1">
      <alignment vertical="top"/>
    </xf>
    <xf numFmtId="49" fontId="0" fillId="0" borderId="2" xfId="0" applyNumberFormat="1" applyFill="1" applyBorder="1" applyAlignment="1">
      <alignment horizontal="left" vertical="top" wrapText="1" indent="1"/>
    </xf>
    <xf numFmtId="49" fontId="7" fillId="0" borderId="2" xfId="0" applyNumberFormat="1" applyFont="1" applyBorder="1" applyAlignment="1"/>
    <xf numFmtId="49" fontId="7" fillId="2" borderId="2" xfId="0" applyNumberFormat="1" applyFont="1" applyFill="1" applyBorder="1" applyAlignment="1"/>
    <xf numFmtId="49" fontId="0" fillId="0" borderId="2" xfId="0" applyNumberFormat="1" applyBorder="1">
      <alignment vertical="top"/>
    </xf>
    <xf numFmtId="49" fontId="0" fillId="0" borderId="2" xfId="0" applyNumberFormat="1" applyFill="1" applyBorder="1" applyAlignment="1">
      <alignment horizontal="left" vertical="top" wrapText="1" indent="2"/>
    </xf>
    <xf numFmtId="49" fontId="0" fillId="0" borderId="2" xfId="0" applyNumberFormat="1" applyFill="1" applyBorder="1">
      <alignment vertical="top"/>
    </xf>
    <xf numFmtId="49" fontId="7" fillId="0" borderId="2" xfId="0" applyNumberFormat="1" applyFont="1" applyFill="1" applyBorder="1" applyAlignment="1"/>
    <xf numFmtId="49" fontId="0" fillId="0" borderId="2" xfId="0" applyNumberForma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left" vertical="top" wrapText="1" indent="2"/>
    </xf>
    <xf numFmtId="49" fontId="0" fillId="0" borderId="2" xfId="0" applyNumberFormat="1" applyFill="1" applyBorder="1" applyAlignment="1">
      <alignment horizontal="left" vertical="top" wrapText="1" indent="3"/>
    </xf>
    <xf numFmtId="49" fontId="6" fillId="0" borderId="0" xfId="3" applyNumberFormat="1" applyFont="1"/>
    <xf numFmtId="49" fontId="7" fillId="0" borderId="2" xfId="0" applyNumberFormat="1" applyFont="1" applyBorder="1" applyAlignment="1">
      <alignment horizontal="centerContinuous"/>
    </xf>
    <xf numFmtId="49" fontId="0" fillId="2" borderId="2" xfId="0" applyNumberFormat="1" applyFill="1" applyBorder="1" applyAlignment="1">
      <alignment horizontal="center"/>
    </xf>
    <xf numFmtId="0" fontId="6" fillId="0" borderId="0" xfId="0" applyNumberFormat="1" applyFont="1" applyAlignment="1">
      <alignment horizontal="left"/>
    </xf>
    <xf numFmtId="49" fontId="7" fillId="0" borderId="0" xfId="9" applyNumberFormat="1" applyFont="1" applyAlignment="1">
      <alignment vertical="top"/>
    </xf>
    <xf numFmtId="49" fontId="7" fillId="2" borderId="0" xfId="0" applyNumberFormat="1" applyFont="1" applyFill="1" applyBorder="1" applyAlignment="1">
      <alignment vertical="top"/>
    </xf>
    <xf numFmtId="49" fontId="0" fillId="0" borderId="0" xfId="0" applyNumberFormat="1" applyFill="1" applyBorder="1" applyAlignment="1">
      <alignment vertical="top"/>
    </xf>
    <xf numFmtId="49" fontId="7" fillId="0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49" fontId="7" fillId="0" borderId="0" xfId="0" applyNumberFormat="1" applyFont="1" applyAlignment="1">
      <alignment horizontal="centerContinuous" vertical="top"/>
    </xf>
    <xf numFmtId="49" fontId="7" fillId="0" borderId="0" xfId="0" applyNumberFormat="1" applyFont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165" fontId="0" fillId="0" borderId="0" xfId="0" applyNumberFormat="1" applyFill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vertical="top"/>
    </xf>
    <xf numFmtId="165" fontId="0" fillId="0" borderId="2" xfId="0" applyNumberFormat="1" applyFill="1" applyBorder="1" applyAlignment="1">
      <alignment vertical="top"/>
    </xf>
    <xf numFmtId="0" fontId="0" fillId="0" borderId="5" xfId="0" applyBorder="1">
      <alignment vertical="top"/>
    </xf>
    <xf numFmtId="0" fontId="7" fillId="0" borderId="0" xfId="0" applyFont="1" applyBorder="1" applyAlignment="1">
      <alignment horizontal="center"/>
    </xf>
    <xf numFmtId="3" fontId="0" fillId="0" borderId="0" xfId="0" applyNumberFormat="1" applyFill="1" applyBorder="1">
      <alignment vertical="top"/>
    </xf>
    <xf numFmtId="0" fontId="0" fillId="0" borderId="0" xfId="0" applyNumberFormat="1">
      <alignment vertical="top"/>
    </xf>
    <xf numFmtId="0" fontId="7" fillId="0" borderId="7" xfId="0" applyNumberFormat="1" applyFont="1" applyBorder="1" applyAlignment="1"/>
    <xf numFmtId="0" fontId="6" fillId="0" borderId="0" xfId="0" applyNumberFormat="1" applyFont="1" applyAlignment="1">
      <alignment horizontal="left" vertical="top"/>
    </xf>
    <xf numFmtId="0" fontId="15" fillId="0" borderId="0" xfId="0" applyNumberFormat="1" applyFont="1">
      <alignment vertical="top"/>
    </xf>
    <xf numFmtId="0" fontId="7" fillId="0" borderId="0" xfId="0" applyNumberFormat="1" applyFont="1" applyBorder="1" applyAlignment="1"/>
    <xf numFmtId="0" fontId="8" fillId="0" borderId="0" xfId="9" applyNumberFormat="1" applyFont="1" applyAlignment="1">
      <alignment horizontal="left" vertical="center"/>
    </xf>
    <xf numFmtId="0" fontId="7" fillId="0" borderId="0" xfId="0" applyNumberFormat="1" applyFont="1">
      <alignment vertical="top"/>
    </xf>
    <xf numFmtId="0" fontId="7" fillId="2" borderId="0" xfId="2" applyNumberFormat="1" applyFont="1" applyFill="1" applyBorder="1"/>
    <xf numFmtId="0" fontId="6" fillId="0" borderId="0" xfId="0" applyNumberFormat="1" applyFont="1">
      <alignment vertical="top"/>
    </xf>
    <xf numFmtId="0" fontId="7" fillId="0" borderId="0" xfId="0" applyNumberFormat="1" applyFont="1" applyAlignment="1">
      <alignment horizontal="left"/>
    </xf>
    <xf numFmtId="179" fontId="0" fillId="0" borderId="0" xfId="6" applyFont="1" applyBorder="1">
      <alignment horizontal="right" vertical="top"/>
    </xf>
    <xf numFmtId="0" fontId="7" fillId="0" borderId="0" xfId="0" applyNumberFormat="1" applyFont="1" applyBorder="1" applyAlignment="1">
      <alignment horizontal="left" vertical="top"/>
    </xf>
    <xf numFmtId="49" fontId="7" fillId="2" borderId="0" xfId="0" applyNumberFormat="1" applyFont="1" applyFill="1" applyBorder="1" applyAlignment="1"/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49" fontId="0" fillId="0" borderId="2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indent="2"/>
    </xf>
    <xf numFmtId="0" fontId="0" fillId="0" borderId="0" xfId="0" applyNumberFormat="1" applyFont="1">
      <alignment vertical="top"/>
    </xf>
    <xf numFmtId="49" fontId="0" fillId="0" borderId="0" xfId="0" applyNumberFormat="1" applyFill="1" applyBorder="1" applyAlignment="1">
      <alignment horizontal="left" vertical="top" wrapText="1" indent="1"/>
    </xf>
    <xf numFmtId="0" fontId="7" fillId="0" borderId="10" xfId="0" applyNumberFormat="1" applyFont="1" applyBorder="1" applyAlignment="1"/>
    <xf numFmtId="49" fontId="0" fillId="0" borderId="2" xfId="0" applyNumberFormat="1" applyFill="1" applyBorder="1" applyAlignment="1">
      <alignment horizontal="left" vertical="top" indent="1"/>
    </xf>
    <xf numFmtId="49" fontId="6" fillId="0" borderId="2" xfId="0" applyNumberFormat="1" applyFont="1" applyFill="1" applyBorder="1" applyAlignment="1">
      <alignment horizontal="left" indent="1"/>
    </xf>
    <xf numFmtId="0" fontId="7" fillId="0" borderId="0" xfId="0" applyFont="1" applyFill="1" applyAlignment="1"/>
    <xf numFmtId="49" fontId="0" fillId="0" borderId="0" xfId="0" applyNumberFormat="1" applyBorder="1" applyAlignment="1">
      <alignment horizontal="center" vertical="top"/>
    </xf>
    <xf numFmtId="0" fontId="7" fillId="0" borderId="9" xfId="0" applyNumberFormat="1" applyFont="1" applyBorder="1" applyAlignment="1">
      <alignment horizontal="left" vertical="top"/>
    </xf>
    <xf numFmtId="0" fontId="7" fillId="0" borderId="9" xfId="0" applyNumberFormat="1" applyFont="1" applyBorder="1" applyAlignment="1">
      <alignment horizontal="left"/>
    </xf>
    <xf numFmtId="0" fontId="7" fillId="0" borderId="9" xfId="0" applyNumberFormat="1" applyFont="1" applyBorder="1" applyAlignment="1"/>
    <xf numFmtId="0" fontId="15" fillId="0" borderId="0" xfId="0" applyNumberFormat="1" applyFont="1" applyAlignment="1">
      <alignment horizontal="right" vertical="top"/>
    </xf>
    <xf numFmtId="0" fontId="7" fillId="0" borderId="10" xfId="0" applyNumberFormat="1" applyFont="1" applyBorder="1" applyAlignment="1">
      <alignment horizontal="right"/>
    </xf>
    <xf numFmtId="49" fontId="0" fillId="0" borderId="2" xfId="0" applyNumberFormat="1" applyFill="1" applyBorder="1" applyAlignment="1">
      <alignment horizontal="left" vertical="top" indent="2"/>
    </xf>
    <xf numFmtId="49" fontId="6" fillId="0" borderId="2" xfId="0" applyNumberFormat="1" applyFont="1" applyFill="1" applyBorder="1" applyAlignment="1">
      <alignment horizontal="left"/>
    </xf>
    <xf numFmtId="0" fontId="7" fillId="0" borderId="0" xfId="0" applyFont="1" applyBorder="1" applyAlignment="1">
      <alignment vertical="top"/>
    </xf>
    <xf numFmtId="180" fontId="7" fillId="2" borderId="0" xfId="0" applyNumberFormat="1" applyFont="1" applyFill="1">
      <alignment vertical="top"/>
    </xf>
    <xf numFmtId="0" fontId="7" fillId="2" borderId="0" xfId="0" applyFont="1" applyFill="1">
      <alignment vertical="top"/>
    </xf>
    <xf numFmtId="0" fontId="7" fillId="2" borderId="0" xfId="0" applyFont="1" applyFill="1" applyAlignment="1">
      <alignment vertical="top" wrapText="1"/>
    </xf>
    <xf numFmtId="180" fontId="6" fillId="0" borderId="0" xfId="0" applyNumberFormat="1" applyFont="1">
      <alignment vertical="top"/>
    </xf>
    <xf numFmtId="0" fontId="6" fillId="0" borderId="2" xfId="0" applyFont="1" applyBorder="1">
      <alignment vertical="top"/>
    </xf>
    <xf numFmtId="49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Alignment="1"/>
    <xf numFmtId="0" fontId="6" fillId="0" borderId="2" xfId="0" applyNumberFormat="1" applyFont="1" applyFill="1" applyBorder="1" applyAlignment="1"/>
    <xf numFmtId="3" fontId="6" fillId="0" borderId="0" xfId="0" applyNumberFormat="1" applyFont="1" applyFill="1" applyAlignment="1"/>
    <xf numFmtId="0" fontId="6" fillId="0" borderId="0" xfId="0" applyNumberFormat="1" applyFont="1" applyFill="1" applyBorder="1" applyAlignment="1"/>
    <xf numFmtId="49" fontId="6" fillId="0" borderId="2" xfId="0" applyNumberFormat="1" applyFont="1" applyFill="1" applyBorder="1" applyAlignment="1">
      <alignment horizontal="left" vertical="top" wrapText="1" indent="1"/>
    </xf>
    <xf numFmtId="0" fontId="6" fillId="0" borderId="0" xfId="0" applyFont="1" applyFill="1" applyBorder="1">
      <alignment vertical="top"/>
    </xf>
    <xf numFmtId="49" fontId="6" fillId="0" borderId="2" xfId="0" applyNumberFormat="1" applyFont="1" applyFill="1" applyBorder="1" applyAlignment="1">
      <alignment horizontal="left" vertical="top" indent="1"/>
    </xf>
    <xf numFmtId="49" fontId="6" fillId="0" borderId="2" xfId="0" applyNumberFormat="1" applyFont="1" applyFill="1" applyBorder="1" applyAlignment="1">
      <alignment horizontal="left" vertical="top"/>
    </xf>
    <xf numFmtId="0" fontId="6" fillId="0" borderId="0" xfId="0" applyFont="1" applyFill="1">
      <alignment vertical="top"/>
    </xf>
    <xf numFmtId="0" fontId="7" fillId="0" borderId="0" xfId="0" applyFont="1" applyFill="1">
      <alignment vertical="top"/>
    </xf>
    <xf numFmtId="49" fontId="6" fillId="0" borderId="0" xfId="0" applyNumberFormat="1" applyFont="1" applyFill="1" applyBorder="1" applyAlignment="1"/>
    <xf numFmtId="49" fontId="7" fillId="0" borderId="2" xfId="0" applyNumberFormat="1" applyFont="1" applyFill="1" applyBorder="1">
      <alignment vertical="top"/>
    </xf>
    <xf numFmtId="49" fontId="0" fillId="0" borderId="0" xfId="0" applyNumberFormat="1" applyFill="1" applyBorder="1" applyAlignment="1">
      <alignment horizontal="center" vertical="top"/>
    </xf>
    <xf numFmtId="49" fontId="7" fillId="3" borderId="2" xfId="0" applyNumberFormat="1" applyFont="1" applyFill="1" applyBorder="1" applyAlignment="1"/>
    <xf numFmtId="49" fontId="7" fillId="4" borderId="2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vertical="top"/>
    </xf>
    <xf numFmtId="3" fontId="6" fillId="0" borderId="0" xfId="0" applyNumberFormat="1" applyFont="1" applyFill="1" applyBorder="1">
      <alignment vertical="top"/>
    </xf>
    <xf numFmtId="0" fontId="6" fillId="0" borderId="0" xfId="0" applyFont="1" applyFill="1" applyBorder="1" applyAlignment="1"/>
    <xf numFmtId="0" fontId="6" fillId="0" borderId="0" xfId="0" applyFont="1" applyFill="1" applyAlignment="1"/>
    <xf numFmtId="181" fontId="7" fillId="0" borderId="0" xfId="1" applyNumberFormat="1" applyFont="1" applyBorder="1" applyAlignment="1">
      <alignment horizontal="center"/>
    </xf>
    <xf numFmtId="181" fontId="0" fillId="0" borderId="0" xfId="1" applyNumberFormat="1" applyFont="1" applyFill="1" applyBorder="1" applyAlignment="1">
      <alignment vertical="top"/>
    </xf>
    <xf numFmtId="1" fontId="0" fillId="0" borderId="0" xfId="0" applyNumberFormat="1" applyFill="1" applyBorder="1">
      <alignment vertical="top"/>
    </xf>
    <xf numFmtId="0" fontId="6" fillId="0" borderId="2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left"/>
    </xf>
    <xf numFmtId="181" fontId="7" fillId="0" borderId="0" xfId="1" applyNumberFormat="1" applyFont="1" applyFill="1" applyBorder="1" applyAlignment="1">
      <alignment horizontal="left"/>
    </xf>
    <xf numFmtId="181" fontId="6" fillId="0" borderId="0" xfId="1" applyNumberFormat="1" applyFont="1" applyFill="1" applyBorder="1" applyAlignment="1">
      <alignment horizontal="left"/>
    </xf>
    <xf numFmtId="181" fontId="0" fillId="0" borderId="0" xfId="1" applyNumberFormat="1" applyFont="1" applyBorder="1" applyAlignment="1">
      <alignment vertical="top"/>
    </xf>
    <xf numFmtId="11" fontId="0" fillId="0" borderId="0" xfId="0" applyNumberFormat="1" applyFill="1" applyBorder="1">
      <alignment vertical="top"/>
    </xf>
    <xf numFmtId="165" fontId="0" fillId="0" borderId="0" xfId="0" applyNumberFormat="1" applyFill="1" applyBorder="1">
      <alignment vertical="top"/>
    </xf>
    <xf numFmtId="181" fontId="0" fillId="0" borderId="0" xfId="1" applyNumberFormat="1" applyFont="1" applyFill="1" applyAlignment="1">
      <alignment vertical="top"/>
    </xf>
    <xf numFmtId="181" fontId="0" fillId="0" borderId="5" xfId="1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horizontal="left" vertical="top" wrapText="1" indent="1"/>
    </xf>
    <xf numFmtId="0" fontId="0" fillId="0" borderId="0" xfId="0" applyFont="1" applyFill="1" applyBorder="1">
      <alignment vertical="top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vertical="top"/>
    </xf>
    <xf numFmtId="0" fontId="6" fillId="0" borderId="0" xfId="3" applyFont="1" applyBorder="1" applyAlignment="1"/>
    <xf numFmtId="164" fontId="6" fillId="0" borderId="0" xfId="0" applyNumberFormat="1" applyFont="1" applyBorder="1" applyAlignment="1">
      <alignment vertical="top" wrapText="1"/>
    </xf>
    <xf numFmtId="175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2" fontId="6" fillId="0" borderId="0" xfId="0" applyNumberFormat="1" applyFont="1" applyBorder="1" applyAlignment="1">
      <alignment vertical="top" wrapText="1"/>
    </xf>
    <xf numFmtId="0" fontId="7" fillId="0" borderId="0" xfId="0" applyFont="1" applyBorder="1" applyAlignment="1"/>
    <xf numFmtId="174" fontId="10" fillId="0" borderId="0" xfId="0" applyNumberFormat="1" applyFont="1" applyBorder="1" applyAlignment="1"/>
    <xf numFmtId="175" fontId="10" fillId="0" borderId="0" xfId="0" applyNumberFormat="1" applyFont="1" applyBorder="1" applyAlignment="1"/>
    <xf numFmtId="164" fontId="10" fillId="0" borderId="0" xfId="0" applyNumberFormat="1" applyFont="1" applyBorder="1" applyAlignment="1"/>
    <xf numFmtId="0" fontId="6" fillId="0" borderId="0" xfId="0" applyFont="1" applyBorder="1" applyAlignment="1"/>
    <xf numFmtId="4" fontId="6" fillId="0" borderId="0" xfId="0" applyNumberFormat="1" applyFont="1" applyBorder="1" applyAlignment="1"/>
    <xf numFmtId="0" fontId="10" fillId="0" borderId="0" xfId="0" applyNumberFormat="1" applyFont="1" applyBorder="1" applyAlignment="1"/>
    <xf numFmtId="176" fontId="10" fillId="0" borderId="0" xfId="0" applyNumberFormat="1" applyFont="1" applyBorder="1" applyAlignment="1"/>
    <xf numFmtId="176" fontId="6" fillId="0" borderId="0" xfId="0" applyNumberFormat="1" applyFont="1" applyBorder="1" applyAlignment="1"/>
    <xf numFmtId="3" fontId="6" fillId="0" borderId="0" xfId="0" applyNumberFormat="1" applyFont="1" applyBorder="1" applyAlignment="1"/>
    <xf numFmtId="3" fontId="0" fillId="0" borderId="0" xfId="0" applyNumberFormat="1" applyBorder="1" applyAlignment="1">
      <alignment wrapText="1"/>
    </xf>
    <xf numFmtId="49" fontId="6" fillId="0" borderId="0" xfId="0" applyNumberFormat="1" applyFont="1" applyAlignment="1">
      <alignment vertical="top"/>
    </xf>
    <xf numFmtId="49" fontId="7" fillId="0" borderId="0" xfId="0" applyNumberFormat="1" applyFont="1" applyFill="1" applyBorder="1" applyAlignment="1"/>
    <xf numFmtId="0" fontId="7" fillId="3" borderId="2" xfId="0" applyNumberFormat="1" applyFont="1" applyFill="1" applyBorder="1" applyAlignment="1">
      <alignment horizontal="left" vertical="top"/>
    </xf>
    <xf numFmtId="49" fontId="0" fillId="0" borderId="0" xfId="0" applyNumberFormat="1" applyFill="1" applyBorder="1">
      <alignment vertical="top"/>
    </xf>
    <xf numFmtId="3" fontId="7" fillId="0" borderId="0" xfId="0" applyNumberFormat="1" applyFont="1" applyFill="1" applyBorder="1">
      <alignment vertical="top"/>
    </xf>
    <xf numFmtId="0" fontId="7" fillId="3" borderId="2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center" vertical="top"/>
    </xf>
    <xf numFmtId="3" fontId="0" fillId="0" borderId="0" xfId="0" applyNumberFormat="1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>
      <alignment vertical="top"/>
    </xf>
    <xf numFmtId="0" fontId="7" fillId="3" borderId="0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0" fillId="0" borderId="0" xfId="1" applyNumberFormat="1" applyFont="1" applyFill="1" applyBorder="1" applyAlignment="1">
      <alignment horizontal="left" vertical="top" indent="5"/>
    </xf>
    <xf numFmtId="170" fontId="0" fillId="0" borderId="0" xfId="1" applyNumberFormat="1" applyFont="1" applyFill="1" applyBorder="1" applyAlignment="1">
      <alignment vertical="top"/>
    </xf>
    <xf numFmtId="181" fontId="26" fillId="0" borderId="0" xfId="1" applyNumberFormat="1" applyFont="1" applyFill="1" applyAlignment="1">
      <alignment vertical="top"/>
    </xf>
    <xf numFmtId="181" fontId="0" fillId="0" borderId="0" xfId="1" applyNumberFormat="1" applyFont="1" applyFill="1" applyAlignment="1"/>
    <xf numFmtId="181" fontId="7" fillId="0" borderId="0" xfId="1" applyNumberFormat="1" applyFont="1" applyFill="1" applyAlignment="1"/>
    <xf numFmtId="3" fontId="6" fillId="0" borderId="0" xfId="0" applyNumberFormat="1" applyFont="1" applyFill="1" applyBorder="1" applyAlignment="1">
      <alignment vertical="top"/>
    </xf>
    <xf numFmtId="181" fontId="0" fillId="0" borderId="0" xfId="1" quotePrefix="1" applyNumberFormat="1" applyFont="1" applyFill="1" applyAlignment="1"/>
    <xf numFmtId="181" fontId="6" fillId="0" borderId="0" xfId="1" applyNumberFormat="1" applyFont="1" applyFill="1" applyBorder="1" applyAlignment="1">
      <alignment horizontal="right" vertical="top"/>
    </xf>
    <xf numFmtId="0" fontId="0" fillId="0" borderId="0" xfId="1" applyNumberFormat="1" applyFont="1" applyFill="1" applyBorder="1" applyAlignment="1">
      <alignment vertical="top"/>
    </xf>
    <xf numFmtId="3" fontId="7" fillId="0" borderId="0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 vertical="top" wrapText="1" indent="3"/>
    </xf>
    <xf numFmtId="49" fontId="0" fillId="0" borderId="0" xfId="0" applyNumberFormat="1" applyFill="1" applyBorder="1" applyAlignment="1">
      <alignment horizontal="left" vertical="top" wrapText="1" indent="2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0" xfId="0" applyNumberFormat="1" applyFont="1" applyBorder="1" applyAlignment="1">
      <alignment horizontal="centerContinuous" wrapText="1"/>
    </xf>
    <xf numFmtId="10" fontId="0" fillId="0" borderId="0" xfId="4" applyNumberFormat="1" applyFont="1" applyFill="1" applyAlignment="1"/>
    <xf numFmtId="49" fontId="7" fillId="0" borderId="0" xfId="0" applyNumberFormat="1" applyFont="1" applyBorder="1" applyAlignment="1"/>
    <xf numFmtId="43" fontId="0" fillId="0" borderId="0" xfId="1" applyNumberFormat="1" applyFont="1" applyFill="1" applyBorder="1" applyAlignment="1">
      <alignment vertical="top"/>
    </xf>
    <xf numFmtId="4" fontId="0" fillId="0" borderId="0" xfId="0" applyNumberFormat="1" applyFill="1" applyBorder="1">
      <alignment vertical="top"/>
    </xf>
    <xf numFmtId="49" fontId="0" fillId="0" borderId="2" xfId="0" applyNumberFormat="1" applyFill="1" applyBorder="1" applyAlignment="1">
      <alignment horizontal="left"/>
    </xf>
    <xf numFmtId="0" fontId="0" fillId="0" borderId="0" xfId="0" applyFill="1" applyBorder="1" applyAlignment="1">
      <alignment horizontal="center" vertical="top"/>
    </xf>
    <xf numFmtId="165" fontId="6" fillId="0" borderId="0" xfId="0" applyNumberFormat="1" applyFont="1" applyFill="1" applyBorder="1">
      <alignment vertical="top"/>
    </xf>
    <xf numFmtId="181" fontId="0" fillId="0" borderId="0" xfId="1" applyNumberFormat="1" applyFont="1" applyAlignment="1">
      <alignment vertical="top"/>
    </xf>
    <xf numFmtId="0" fontId="15" fillId="0" borderId="0" xfId="0" applyNumberFormat="1" applyFont="1" applyAlignment="1"/>
    <xf numFmtId="0" fontId="6" fillId="3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top"/>
    </xf>
    <xf numFmtId="181" fontId="0" fillId="0" borderId="0" xfId="0" applyNumberFormat="1" applyFill="1" applyBorder="1">
      <alignment vertical="top"/>
    </xf>
    <xf numFmtId="49" fontId="0" fillId="0" borderId="0" xfId="0" applyNumberFormat="1" applyFill="1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0" fontId="0" fillId="0" borderId="2" xfId="0" applyBorder="1" applyAlignment="1">
      <alignment horizontal="left" indent="1"/>
    </xf>
    <xf numFmtId="0" fontId="6" fillId="0" borderId="2" xfId="0" applyFont="1" applyFill="1" applyBorder="1" applyAlignment="1">
      <alignment horizontal="left" indent="1"/>
    </xf>
    <xf numFmtId="165" fontId="7" fillId="0" borderId="0" xfId="0" applyNumberFormat="1" applyFont="1" applyFill="1" applyBorder="1">
      <alignment vertical="top"/>
    </xf>
    <xf numFmtId="181" fontId="7" fillId="0" borderId="5" xfId="1" applyNumberFormat="1" applyFont="1" applyBorder="1" applyAlignment="1">
      <alignment horizontal="center"/>
    </xf>
    <xf numFmtId="0" fontId="7" fillId="0" borderId="2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0" fillId="0" borderId="0" xfId="0" applyBorder="1" applyAlignment="1">
      <alignment horizontal="center" vertical="top"/>
    </xf>
    <xf numFmtId="3" fontId="0" fillId="0" borderId="0" xfId="0" applyNumberFormat="1" applyFill="1" applyBorder="1" applyAlignment="1">
      <alignment vertical="top"/>
    </xf>
    <xf numFmtId="0" fontId="0" fillId="0" borderId="0" xfId="0" applyFill="1" applyAlignment="1">
      <alignment vertical="top"/>
    </xf>
    <xf numFmtId="0" fontId="6" fillId="0" borderId="0" xfId="0" applyFont="1" applyFill="1" applyAlignment="1">
      <alignment vertical="top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top"/>
    </xf>
    <xf numFmtId="181" fontId="7" fillId="0" borderId="0" xfId="1" applyNumberFormat="1" applyFont="1" applyFill="1" applyBorder="1" applyAlignment="1">
      <alignment horizontal="left" vertical="top"/>
    </xf>
    <xf numFmtId="0" fontId="6" fillId="3" borderId="0" xfId="0" applyNumberFormat="1" applyFont="1" applyFill="1" applyBorder="1" applyAlignment="1">
      <alignment horizontal="left" vertical="top"/>
    </xf>
    <xf numFmtId="181" fontId="7" fillId="0" borderId="0" xfId="1" applyNumberFormat="1" applyFont="1" applyFill="1" applyBorder="1" applyAlignment="1">
      <alignment horizontal="right" vertical="top"/>
    </xf>
    <xf numFmtId="3" fontId="7" fillId="0" borderId="5" xfId="0" applyNumberFormat="1" applyFont="1" applyFill="1" applyBorder="1" applyAlignment="1">
      <alignment horizontal="right" vertical="top"/>
    </xf>
    <xf numFmtId="0" fontId="30" fillId="0" borderId="0" xfId="0" applyFont="1" applyBorder="1" applyAlignment="1">
      <alignment vertical="top"/>
    </xf>
    <xf numFmtId="0" fontId="30" fillId="0" borderId="0" xfId="0" applyFont="1" applyFill="1" applyBorder="1" applyAlignment="1">
      <alignment vertical="top"/>
    </xf>
    <xf numFmtId="49" fontId="19" fillId="0" borderId="2" xfId="0" applyNumberFormat="1" applyFont="1" applyFill="1" applyBorder="1" applyAlignment="1">
      <alignment horizontal="left" vertical="top"/>
    </xf>
    <xf numFmtId="0" fontId="30" fillId="0" borderId="2" xfId="0" applyFont="1" applyBorder="1" applyAlignment="1">
      <alignment vertical="top"/>
    </xf>
    <xf numFmtId="0" fontId="30" fillId="0" borderId="2" xfId="0" applyFont="1" applyFill="1" applyBorder="1" applyAlignment="1">
      <alignment vertical="top"/>
    </xf>
    <xf numFmtId="0" fontId="30" fillId="0" borderId="2" xfId="0" applyFont="1" applyBorder="1">
      <alignment vertical="top"/>
    </xf>
    <xf numFmtId="49" fontId="30" fillId="0" borderId="2" xfId="0" applyNumberFormat="1" applyFont="1" applyFill="1" applyBorder="1" applyAlignment="1">
      <alignment horizontal="left" vertical="top"/>
    </xf>
    <xf numFmtId="0" fontId="30" fillId="0" borderId="2" xfId="0" applyFont="1" applyFill="1" applyBorder="1">
      <alignment vertical="top"/>
    </xf>
    <xf numFmtId="49" fontId="30" fillId="0" borderId="2" xfId="0" applyNumberFormat="1" applyFont="1" applyFill="1" applyBorder="1" applyAlignment="1">
      <alignment horizontal="center" vertical="top"/>
    </xf>
    <xf numFmtId="49" fontId="19" fillId="0" borderId="2" xfId="0" applyNumberFormat="1" applyFont="1" applyFill="1" applyBorder="1" applyAlignment="1">
      <alignment horizontal="center" vertical="top"/>
    </xf>
    <xf numFmtId="0" fontId="30" fillId="0" borderId="2" xfId="0" applyFont="1" applyBorder="1" applyAlignment="1">
      <alignment horizontal="left" vertical="top"/>
    </xf>
    <xf numFmtId="49" fontId="19" fillId="0" borderId="2" xfId="0" applyNumberFormat="1" applyFont="1" applyFill="1" applyBorder="1" applyAlignment="1">
      <alignment horizontal="left"/>
    </xf>
    <xf numFmtId="49" fontId="19" fillId="0" borderId="2" xfId="0" applyNumberFormat="1" applyFont="1" applyFill="1" applyBorder="1" applyAlignment="1">
      <alignment vertical="top"/>
    </xf>
    <xf numFmtId="49" fontId="30" fillId="0" borderId="2" xfId="0" applyNumberFormat="1" applyFont="1" applyFill="1" applyBorder="1" applyAlignment="1">
      <alignment horizontal="left"/>
    </xf>
    <xf numFmtId="49" fontId="30" fillId="0" borderId="2" xfId="0" applyNumberFormat="1" applyFont="1" applyFill="1" applyBorder="1">
      <alignment vertical="top"/>
    </xf>
    <xf numFmtId="49" fontId="0" fillId="0" borderId="0" xfId="0" applyNumberFormat="1" applyFill="1" applyBorder="1" applyAlignment="1"/>
    <xf numFmtId="0" fontId="19" fillId="0" borderId="2" xfId="0" applyNumberFormat="1" applyFont="1" applyFill="1" applyBorder="1" applyAlignment="1">
      <alignment horizontal="left"/>
    </xf>
    <xf numFmtId="3" fontId="0" fillId="0" borderId="0" xfId="0" applyNumberForma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65" fontId="30" fillId="0" borderId="2" xfId="0" applyNumberFormat="1" applyFont="1" applyFill="1" applyBorder="1">
      <alignment vertical="top"/>
    </xf>
    <xf numFmtId="49" fontId="19" fillId="0" borderId="2" xfId="0" applyNumberFormat="1" applyFont="1" applyFill="1" applyBorder="1" applyAlignment="1"/>
    <xf numFmtId="0" fontId="30" fillId="0" borderId="2" xfId="0" applyFont="1" applyFill="1" applyBorder="1" applyAlignment="1">
      <alignment horizontal="left" vertical="top"/>
    </xf>
    <xf numFmtId="0" fontId="2" fillId="0" borderId="0" xfId="0" applyFont="1">
      <alignment vertical="top"/>
    </xf>
    <xf numFmtId="0" fontId="6" fillId="0" borderId="0" xfId="0" applyFont="1" applyBorder="1" applyAlignment="1">
      <alignment horizontal="left" vertical="top"/>
    </xf>
    <xf numFmtId="0" fontId="30" fillId="0" borderId="0" xfId="0" applyFont="1" applyFill="1" applyBorder="1">
      <alignment vertical="top"/>
    </xf>
    <xf numFmtId="0" fontId="35" fillId="0" borderId="0" xfId="0" applyFont="1" applyFill="1">
      <alignment vertical="top"/>
    </xf>
    <xf numFmtId="0" fontId="0" fillId="0" borderId="0" xfId="0" applyBorder="1" applyAlignment="1"/>
    <xf numFmtId="49" fontId="30" fillId="0" borderId="0" xfId="0" applyNumberFormat="1" applyFont="1" applyFill="1" applyBorder="1" applyAlignment="1">
      <alignment horizontal="left" vertical="top"/>
    </xf>
    <xf numFmtId="0" fontId="7" fillId="0" borderId="5" xfId="0" applyNumberFormat="1" applyFont="1" applyFill="1" applyBorder="1" applyAlignment="1">
      <alignment horizontal="left" vertical="top"/>
    </xf>
    <xf numFmtId="0" fontId="0" fillId="0" borderId="5" xfId="0" applyFill="1" applyBorder="1" applyAlignment="1">
      <alignment vertical="top"/>
    </xf>
    <xf numFmtId="49" fontId="30" fillId="0" borderId="2" xfId="0" applyNumberFormat="1" applyFont="1" applyFill="1" applyBorder="1" applyAlignment="1">
      <alignment vertical="top"/>
    </xf>
    <xf numFmtId="0" fontId="19" fillId="0" borderId="0" xfId="0" applyNumberFormat="1" applyFont="1" applyFill="1" applyBorder="1" applyAlignment="1">
      <alignment horizontal="left" vertical="top"/>
    </xf>
    <xf numFmtId="49" fontId="30" fillId="0" borderId="0" xfId="0" applyNumberFormat="1" applyFont="1" applyFill="1" applyBorder="1" applyAlignment="1">
      <alignment vertical="top"/>
    </xf>
    <xf numFmtId="4" fontId="0" fillId="0" borderId="0" xfId="0" applyNumberForma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19" fillId="0" borderId="2" xfId="0" applyNumberFormat="1" applyFont="1" applyFill="1" applyBorder="1" applyAlignment="1">
      <alignment vertical="top"/>
    </xf>
    <xf numFmtId="3" fontId="30" fillId="0" borderId="2" xfId="0" applyNumberFormat="1" applyFont="1" applyFill="1" applyBorder="1" applyAlignment="1">
      <alignment vertical="top"/>
    </xf>
    <xf numFmtId="0" fontId="36" fillId="0" borderId="0" xfId="0" applyFont="1" applyFill="1">
      <alignment vertical="top"/>
    </xf>
    <xf numFmtId="0" fontId="7" fillId="0" borderId="10" xfId="0" applyNumberFormat="1" applyFont="1" applyBorder="1" applyAlignment="1">
      <alignment horizontal="center"/>
    </xf>
    <xf numFmtId="168" fontId="0" fillId="0" borderId="0" xfId="0" applyNumberFormat="1" applyFill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37" fillId="0" borderId="0" xfId="0" applyFont="1" applyBorder="1">
      <alignment vertical="top"/>
    </xf>
    <xf numFmtId="0" fontId="37" fillId="0" borderId="0" xfId="0" applyFont="1">
      <alignment vertical="top"/>
    </xf>
    <xf numFmtId="0" fontId="37" fillId="0" borderId="0" xfId="0" applyFont="1" applyAlignment="1">
      <alignment vertical="center"/>
    </xf>
    <xf numFmtId="0" fontId="32" fillId="0" borderId="0" xfId="0" applyFont="1" applyBorder="1">
      <alignment vertical="top"/>
    </xf>
    <xf numFmtId="0" fontId="34" fillId="0" borderId="0" xfId="0" applyFont="1" applyBorder="1">
      <alignment vertical="top"/>
    </xf>
    <xf numFmtId="0" fontId="34" fillId="0" borderId="0" xfId="0" applyFont="1">
      <alignment vertical="top"/>
    </xf>
    <xf numFmtId="0" fontId="20" fillId="0" borderId="0" xfId="0" applyFont="1">
      <alignment vertical="top"/>
    </xf>
    <xf numFmtId="0" fontId="2" fillId="0" borderId="0" xfId="0" applyFont="1" applyBorder="1">
      <alignment vertical="top"/>
    </xf>
    <xf numFmtId="0" fontId="2" fillId="0" borderId="0" xfId="0" applyFont="1" applyAlignment="1">
      <alignment vertical="center"/>
    </xf>
    <xf numFmtId="0" fontId="38" fillId="0" borderId="0" xfId="0" applyFont="1">
      <alignment vertical="top"/>
    </xf>
    <xf numFmtId="0" fontId="32" fillId="0" borderId="0" xfId="0" applyFont="1">
      <alignment vertical="top"/>
    </xf>
    <xf numFmtId="0" fontId="0" fillId="0" borderId="0" xfId="0" applyFont="1">
      <alignment vertical="top"/>
    </xf>
    <xf numFmtId="3" fontId="1" fillId="0" borderId="0" xfId="0" applyNumberFormat="1" applyFont="1" applyFill="1" applyBorder="1">
      <alignment vertical="top"/>
    </xf>
    <xf numFmtId="3" fontId="1" fillId="0" borderId="0" xfId="0" applyNumberFormat="1" applyFont="1" applyBorder="1">
      <alignment vertical="top"/>
    </xf>
    <xf numFmtId="3" fontId="31" fillId="0" borderId="0" xfId="0" applyNumberFormat="1" applyFont="1" applyBorder="1">
      <alignment vertical="top"/>
    </xf>
    <xf numFmtId="0" fontId="1" fillId="0" borderId="0" xfId="0" applyFont="1" applyFill="1" applyBorder="1">
      <alignment vertical="top"/>
    </xf>
    <xf numFmtId="3" fontId="31" fillId="0" borderId="0" xfId="0" applyNumberFormat="1" applyFont="1" applyFill="1" applyBorder="1">
      <alignment vertical="top"/>
    </xf>
    <xf numFmtId="3" fontId="33" fillId="0" borderId="0" xfId="0" applyNumberFormat="1" applyFont="1" applyFill="1" applyBorder="1">
      <alignment vertical="top"/>
    </xf>
    <xf numFmtId="0" fontId="38" fillId="0" borderId="0" xfId="0" applyFont="1" applyBorder="1">
      <alignment vertical="top"/>
    </xf>
    <xf numFmtId="3" fontId="2" fillId="0" borderId="0" xfId="0" applyNumberFormat="1" applyFont="1" applyFill="1" applyBorder="1">
      <alignment vertical="top"/>
    </xf>
    <xf numFmtId="0" fontId="20" fillId="0" borderId="0" xfId="0" applyFont="1" applyBorder="1">
      <alignment vertical="top"/>
    </xf>
    <xf numFmtId="3" fontId="2" fillId="0" borderId="0" xfId="0" applyNumberFormat="1" applyFont="1" applyBorder="1">
      <alignment vertical="top"/>
    </xf>
    <xf numFmtId="0" fontId="0" fillId="0" borderId="0" xfId="0" applyFont="1" applyBorder="1">
      <alignment vertical="top"/>
    </xf>
    <xf numFmtId="0" fontId="38" fillId="0" borderId="0" xfId="0" applyFont="1" applyFill="1" applyBorder="1">
      <alignment vertical="top"/>
    </xf>
    <xf numFmtId="0" fontId="39" fillId="0" borderId="0" xfId="0" applyFont="1" applyFill="1" applyBorder="1" applyAlignment="1">
      <alignment horizontal="right"/>
    </xf>
    <xf numFmtId="0" fontId="7" fillId="6" borderId="7" xfId="0" applyNumberFormat="1" applyFont="1" applyFill="1" applyBorder="1" applyAlignment="1"/>
    <xf numFmtId="0" fontId="7" fillId="6" borderId="10" xfId="0" applyNumberFormat="1" applyFont="1" applyFill="1" applyBorder="1" applyAlignment="1"/>
    <xf numFmtId="0" fontId="7" fillId="6" borderId="9" xfId="0" applyNumberFormat="1" applyFont="1" applyFill="1" applyBorder="1" applyAlignment="1"/>
    <xf numFmtId="49" fontId="7" fillId="6" borderId="7" xfId="0" applyNumberFormat="1" applyFont="1" applyFill="1" applyBorder="1" applyAlignment="1">
      <alignment horizontal="centerContinuous" wrapText="1"/>
    </xf>
    <xf numFmtId="0" fontId="7" fillId="6" borderId="9" xfId="0" applyNumberFormat="1" applyFont="1" applyFill="1" applyBorder="1" applyAlignment="1">
      <alignment horizontal="left" vertical="top"/>
    </xf>
    <xf numFmtId="0" fontId="7" fillId="6" borderId="0" xfId="0" applyNumberFormat="1" applyFont="1" applyFill="1" applyBorder="1" applyAlignment="1">
      <alignment horizontal="center"/>
    </xf>
    <xf numFmtId="0" fontId="7" fillId="6" borderId="3" xfId="0" applyNumberFormat="1" applyFont="1" applyFill="1" applyBorder="1" applyAlignment="1">
      <alignment horizontal="left"/>
    </xf>
    <xf numFmtId="0" fontId="7" fillId="6" borderId="6" xfId="0" applyNumberFormat="1" applyFont="1" applyFill="1" applyBorder="1" applyAlignment="1"/>
    <xf numFmtId="0" fontId="7" fillId="6" borderId="9" xfId="0" applyNumberFormat="1" applyFont="1" applyFill="1" applyBorder="1" applyAlignment="1">
      <alignment horizontal="left"/>
    </xf>
    <xf numFmtId="0" fontId="43" fillId="0" borderId="15" xfId="0" applyFont="1" applyBorder="1">
      <alignment vertical="top"/>
    </xf>
    <xf numFmtId="0" fontId="43" fillId="0" borderId="0" xfId="0" applyFont="1" applyBorder="1">
      <alignment vertical="top"/>
    </xf>
    <xf numFmtId="0" fontId="44" fillId="0" borderId="0" xfId="0" applyFont="1" applyFill="1" applyBorder="1" applyAlignment="1">
      <alignment horizontal="center"/>
    </xf>
    <xf numFmtId="0" fontId="46" fillId="0" borderId="0" xfId="0" applyFont="1" applyBorder="1" applyAlignment="1">
      <alignment vertical="top"/>
    </xf>
    <xf numFmtId="181" fontId="46" fillId="0" borderId="0" xfId="1" applyNumberFormat="1" applyFont="1" applyBorder="1" applyAlignment="1">
      <alignment vertical="top"/>
    </xf>
    <xf numFmtId="0" fontId="46" fillId="0" borderId="0" xfId="0" applyFont="1" applyBorder="1">
      <alignment vertical="top"/>
    </xf>
    <xf numFmtId="0" fontId="47" fillId="0" borderId="0" xfId="0" applyFont="1" applyBorder="1" applyAlignment="1">
      <alignment vertical="top"/>
    </xf>
    <xf numFmtId="0" fontId="42" fillId="0" borderId="10" xfId="0" applyFont="1" applyBorder="1" applyAlignment="1"/>
    <xf numFmtId="0" fontId="42" fillId="0" borderId="10" xfId="0" applyFont="1" applyBorder="1" applyAlignment="1">
      <alignment vertical="top"/>
    </xf>
    <xf numFmtId="181" fontId="42" fillId="0" borderId="10" xfId="1" applyNumberFormat="1" applyFont="1" applyBorder="1" applyAlignment="1">
      <alignment vertical="top"/>
    </xf>
    <xf numFmtId="0" fontId="42" fillId="0" borderId="11" xfId="0" applyFont="1" applyBorder="1" applyAlignment="1"/>
    <xf numFmtId="0" fontId="42" fillId="0" borderId="11" xfId="0" applyFont="1" applyBorder="1">
      <alignment vertical="top"/>
    </xf>
    <xf numFmtId="0" fontId="51" fillId="0" borderId="0" xfId="0" applyFont="1" applyBorder="1" applyAlignment="1">
      <alignment vertical="top"/>
    </xf>
    <xf numFmtId="0" fontId="42" fillId="0" borderId="11" xfId="0" applyFont="1" applyBorder="1" applyAlignment="1">
      <alignment vertical="top"/>
    </xf>
    <xf numFmtId="0" fontId="42" fillId="0" borderId="10" xfId="0" applyFont="1" applyBorder="1">
      <alignment vertical="top"/>
    </xf>
    <xf numFmtId="0" fontId="42" fillId="6" borderId="10" xfId="0" applyFont="1" applyFill="1" applyBorder="1" applyAlignment="1"/>
    <xf numFmtId="0" fontId="42" fillId="6" borderId="10" xfId="0" applyFont="1" applyFill="1" applyBorder="1" applyAlignment="1">
      <alignment vertical="top"/>
    </xf>
    <xf numFmtId="181" fontId="42" fillId="6" borderId="10" xfId="1" applyNumberFormat="1" applyFont="1" applyFill="1" applyBorder="1" applyAlignment="1">
      <alignment vertical="top"/>
    </xf>
    <xf numFmtId="3" fontId="42" fillId="6" borderId="10" xfId="0" applyNumberFormat="1" applyFont="1" applyFill="1" applyBorder="1" applyAlignment="1">
      <alignment horizontal="right" vertical="top"/>
    </xf>
    <xf numFmtId="0" fontId="42" fillId="6" borderId="11" xfId="0" applyFont="1" applyFill="1" applyBorder="1" applyAlignment="1"/>
    <xf numFmtId="0" fontId="42" fillId="6" borderId="11" xfId="0" applyFont="1" applyFill="1" applyBorder="1">
      <alignment vertical="top"/>
    </xf>
    <xf numFmtId="3" fontId="42" fillId="6" borderId="11" xfId="0" applyNumberFormat="1" applyFont="1" applyFill="1" applyBorder="1" applyAlignment="1">
      <alignment horizontal="right" vertical="top"/>
    </xf>
    <xf numFmtId="0" fontId="42" fillId="6" borderId="11" xfId="0" applyFont="1" applyFill="1" applyBorder="1" applyAlignment="1">
      <alignment vertical="top"/>
    </xf>
    <xf numFmtId="0" fontId="45" fillId="6" borderId="0" xfId="0" applyFont="1" applyFill="1" applyBorder="1">
      <alignment vertical="top"/>
    </xf>
    <xf numFmtId="0" fontId="41" fillId="8" borderId="16" xfId="0" applyFont="1" applyFill="1" applyBorder="1" applyAlignment="1">
      <alignment vertical="top"/>
    </xf>
    <xf numFmtId="3" fontId="41" fillId="8" borderId="16" xfId="0" applyNumberFormat="1" applyFont="1" applyFill="1" applyBorder="1" applyAlignment="1">
      <alignment horizontal="right" vertical="top"/>
    </xf>
    <xf numFmtId="0" fontId="41" fillId="8" borderId="23" xfId="0" applyFont="1" applyFill="1" applyBorder="1" applyAlignment="1">
      <alignment vertical="top"/>
    </xf>
    <xf numFmtId="0" fontId="45" fillId="6" borderId="12" xfId="0" applyFont="1" applyFill="1" applyBorder="1">
      <alignment vertical="top"/>
    </xf>
    <xf numFmtId="0" fontId="54" fillId="6" borderId="19" xfId="0" applyFont="1" applyFill="1" applyBorder="1">
      <alignment vertical="top"/>
    </xf>
    <xf numFmtId="0" fontId="54" fillId="6" borderId="15" xfId="0" applyFont="1" applyFill="1" applyBorder="1">
      <alignment vertical="top"/>
    </xf>
    <xf numFmtId="0" fontId="54" fillId="6" borderId="0" xfId="0" applyFont="1" applyFill="1" applyBorder="1">
      <alignment vertical="top"/>
    </xf>
    <xf numFmtId="0" fontId="55" fillId="6" borderId="0" xfId="0" applyFont="1" applyFill="1" applyBorder="1" applyAlignment="1">
      <alignment horizontal="center"/>
    </xf>
    <xf numFmtId="0" fontId="45" fillId="6" borderId="0" xfId="0" applyFont="1" applyFill="1" applyBorder="1" applyAlignment="1"/>
    <xf numFmtId="0" fontId="45" fillId="6" borderId="12" xfId="0" applyFont="1" applyFill="1" applyBorder="1" applyAlignment="1">
      <alignment vertical="top"/>
    </xf>
    <xf numFmtId="3" fontId="45" fillId="6" borderId="12" xfId="0" applyNumberFormat="1" applyFont="1" applyFill="1" applyBorder="1" applyAlignment="1">
      <alignment vertical="top"/>
    </xf>
    <xf numFmtId="0" fontId="45" fillId="6" borderId="0" xfId="0" applyFont="1" applyFill="1" applyBorder="1" applyAlignment="1">
      <alignment vertical="top"/>
    </xf>
    <xf numFmtId="0" fontId="41" fillId="9" borderId="17" xfId="0" applyFont="1" applyFill="1" applyBorder="1" applyAlignment="1">
      <alignment horizontal="center"/>
    </xf>
    <xf numFmtId="0" fontId="41" fillId="10" borderId="23" xfId="0" applyFont="1" applyFill="1" applyBorder="1" applyAlignment="1">
      <alignment vertical="top"/>
    </xf>
    <xf numFmtId="0" fontId="41" fillId="10" borderId="16" xfId="0" applyFont="1" applyFill="1" applyBorder="1" applyAlignment="1">
      <alignment vertical="top"/>
    </xf>
    <xf numFmtId="3" fontId="41" fillId="10" borderId="16" xfId="0" applyNumberFormat="1" applyFont="1" applyFill="1" applyBorder="1" applyAlignment="1">
      <alignment horizontal="right" vertical="top"/>
    </xf>
    <xf numFmtId="0" fontId="46" fillId="0" borderId="0" xfId="0" applyFont="1" applyFill="1" applyBorder="1" applyAlignment="1">
      <alignment vertical="top"/>
    </xf>
    <xf numFmtId="49" fontId="7" fillId="6" borderId="10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left" vertical="top"/>
    </xf>
    <xf numFmtId="0" fontId="0" fillId="0" borderId="0" xfId="0" applyFont="1" applyFill="1">
      <alignment vertical="top"/>
    </xf>
    <xf numFmtId="0" fontId="0" fillId="0" borderId="0" xfId="0" applyFont="1" applyAlignment="1"/>
    <xf numFmtId="179" fontId="0" fillId="0" borderId="0" xfId="6" applyFont="1" applyFill="1" applyBorder="1">
      <alignment horizontal="right" vertical="top"/>
    </xf>
    <xf numFmtId="0" fontId="0" fillId="0" borderId="0" xfId="0" applyFont="1" applyAlignment="1">
      <alignment horizontal="left" vertical="top"/>
    </xf>
    <xf numFmtId="49" fontId="0" fillId="0" borderId="0" xfId="0" applyNumberFormat="1" applyFont="1">
      <alignment vertical="top"/>
    </xf>
    <xf numFmtId="0" fontId="7" fillId="6" borderId="10" xfId="0" applyNumberFormat="1" applyFont="1" applyFill="1" applyBorder="1" applyAlignment="1">
      <alignment horizontal="right"/>
    </xf>
    <xf numFmtId="0" fontId="0" fillId="6" borderId="0" xfId="0" applyNumberFormat="1" applyFont="1" applyFill="1" applyBorder="1" applyAlignment="1">
      <alignment horizontal="left"/>
    </xf>
    <xf numFmtId="181" fontId="0" fillId="6" borderId="0" xfId="1" applyNumberFormat="1" applyFont="1" applyFill="1" applyBorder="1" applyAlignment="1">
      <alignment horizontal="left" indent="1"/>
    </xf>
    <xf numFmtId="0" fontId="0" fillId="0" borderId="0" xfId="0" applyNumberFormat="1" applyFont="1" applyBorder="1" applyAlignment="1">
      <alignment horizontal="left" indent="1"/>
    </xf>
    <xf numFmtId="0" fontId="0" fillId="0" borderId="0" xfId="0" applyFont="1" applyFill="1" applyBorder="1" applyAlignment="1"/>
    <xf numFmtId="0" fontId="0" fillId="0" borderId="0" xfId="0" applyNumberFormat="1" applyFont="1" applyBorder="1" applyAlignment="1">
      <alignment horizontal="left"/>
    </xf>
    <xf numFmtId="181" fontId="0" fillId="6" borderId="10" xfId="1" applyNumberFormat="1" applyFont="1" applyFill="1" applyBorder="1" applyAlignment="1">
      <alignment horizontal="left" indent="1"/>
    </xf>
    <xf numFmtId="181" fontId="7" fillId="6" borderId="9" xfId="1" applyNumberFormat="1" applyFont="1" applyFill="1" applyBorder="1" applyAlignment="1">
      <alignment horizontal="left" vertical="top"/>
    </xf>
    <xf numFmtId="179" fontId="0" fillId="0" borderId="0" xfId="0" applyNumberFormat="1" applyFont="1">
      <alignment vertical="top"/>
    </xf>
    <xf numFmtId="181" fontId="0" fillId="6" borderId="0" xfId="1" applyNumberFormat="1" applyFont="1" applyFill="1" applyBorder="1" applyAlignment="1">
      <alignment horizontal="left"/>
    </xf>
    <xf numFmtId="0" fontId="0" fillId="0" borderId="0" xfId="0" applyNumberFormat="1" applyFont="1" applyBorder="1" applyAlignment="1"/>
    <xf numFmtId="0" fontId="0" fillId="6" borderId="0" xfId="0" applyNumberFormat="1" applyFont="1" applyFill="1" applyBorder="1" applyAlignment="1">
      <alignment horizontal="left" vertical="top"/>
    </xf>
    <xf numFmtId="181" fontId="0" fillId="6" borderId="0" xfId="1" applyNumberFormat="1" applyFont="1" applyFill="1" applyBorder="1" applyAlignment="1">
      <alignment horizontal="left" vertical="top"/>
    </xf>
    <xf numFmtId="0" fontId="0" fillId="0" borderId="0" xfId="0" applyNumberFormat="1" applyFont="1" applyBorder="1" applyAlignment="1">
      <alignment horizontal="left" vertical="top"/>
    </xf>
    <xf numFmtId="181" fontId="0" fillId="6" borderId="10" xfId="1" applyNumberFormat="1" applyFont="1" applyFill="1" applyBorder="1" applyAlignment="1">
      <alignment horizontal="left" vertical="top"/>
    </xf>
    <xf numFmtId="181" fontId="7" fillId="6" borderId="9" xfId="1" applyNumberFormat="1" applyFont="1" applyFill="1" applyBorder="1" applyAlignment="1">
      <alignment horizontal="left"/>
    </xf>
    <xf numFmtId="0" fontId="0" fillId="0" borderId="0" xfId="0" applyNumberFormat="1" applyFont="1" applyBorder="1">
      <alignment vertical="top"/>
    </xf>
    <xf numFmtId="0" fontId="7" fillId="6" borderId="0" xfId="0" applyNumberFormat="1" applyFont="1" applyFill="1" applyBorder="1" applyAlignment="1">
      <alignment horizontal="right"/>
    </xf>
    <xf numFmtId="181" fontId="0" fillId="6" borderId="8" xfId="1" applyNumberFormat="1" applyFont="1" applyFill="1" applyBorder="1" applyAlignment="1"/>
    <xf numFmtId="181" fontId="0" fillId="6" borderId="0" xfId="1" applyNumberFormat="1" applyFont="1" applyFill="1" applyBorder="1" applyAlignment="1"/>
    <xf numFmtId="0" fontId="0" fillId="6" borderId="0" xfId="0" applyNumberFormat="1" applyFont="1" applyFill="1" applyBorder="1" applyAlignment="1"/>
    <xf numFmtId="181" fontId="7" fillId="6" borderId="9" xfId="1" applyNumberFormat="1" applyFont="1" applyFill="1" applyBorder="1" applyAlignment="1"/>
    <xf numFmtId="0" fontId="0" fillId="0" borderId="0" xfId="0" applyFont="1" applyBorder="1" applyAlignment="1">
      <alignment horizontal="left" vertical="top"/>
    </xf>
    <xf numFmtId="181" fontId="7" fillId="0" borderId="0" xfId="1" applyNumberFormat="1" applyFont="1" applyBorder="1" applyAlignment="1"/>
    <xf numFmtId="0" fontId="0" fillId="0" borderId="8" xfId="0" applyNumberFormat="1" applyFont="1" applyBorder="1" applyAlignment="1"/>
    <xf numFmtId="181" fontId="0" fillId="6" borderId="10" xfId="1" applyNumberFormat="1" applyFont="1" applyFill="1" applyBorder="1" applyAlignment="1"/>
    <xf numFmtId="0" fontId="0" fillId="0" borderId="0" xfId="0" applyNumberFormat="1" applyFont="1" applyFill="1" applyBorder="1" applyAlignment="1"/>
    <xf numFmtId="0" fontId="7" fillId="6" borderId="0" xfId="0" applyNumberFormat="1" applyFont="1" applyFill="1" applyBorder="1" applyAlignment="1"/>
    <xf numFmtId="181" fontId="7" fillId="6" borderId="0" xfId="1" applyNumberFormat="1" applyFont="1" applyFill="1" applyBorder="1" applyAlignment="1"/>
    <xf numFmtId="0" fontId="7" fillId="6" borderId="0" xfId="0" applyNumberFormat="1" applyFont="1" applyFill="1" applyBorder="1" applyAlignment="1">
      <alignment horizontal="left"/>
    </xf>
    <xf numFmtId="0" fontId="0" fillId="6" borderId="0" xfId="0" applyNumberFormat="1" applyFont="1" applyFill="1" applyBorder="1" applyAlignment="1">
      <alignment horizontal="left" indent="1"/>
    </xf>
    <xf numFmtId="181" fontId="0" fillId="6" borderId="9" xfId="1" applyNumberFormat="1" applyFont="1" applyFill="1" applyBorder="1" applyAlignment="1"/>
    <xf numFmtId="0" fontId="0" fillId="6" borderId="0" xfId="0" applyNumberFormat="1" applyFont="1" applyFill="1" applyBorder="1" applyAlignment="1">
      <alignment horizontal="left" vertical="top" indent="1"/>
    </xf>
    <xf numFmtId="181" fontId="0" fillId="6" borderId="0" xfId="1" applyNumberFormat="1" applyFont="1" applyFill="1" applyBorder="1" applyAlignment="1">
      <alignment horizontal="left" vertical="top" indent="1"/>
    </xf>
    <xf numFmtId="0" fontId="0" fillId="0" borderId="0" xfId="0" applyNumberFormat="1" applyFont="1" applyBorder="1" applyAlignment="1">
      <alignment horizontal="left" vertical="top" indent="1"/>
    </xf>
    <xf numFmtId="0" fontId="7" fillId="6" borderId="0" xfId="0" applyNumberFormat="1" applyFont="1" applyFill="1" applyBorder="1" applyAlignment="1">
      <alignment horizontal="left" vertical="top"/>
    </xf>
    <xf numFmtId="181" fontId="0" fillId="6" borderId="10" xfId="1" applyNumberFormat="1" applyFont="1" applyFill="1" applyBorder="1" applyAlignment="1">
      <alignment horizontal="left" vertical="top" indent="1"/>
    </xf>
    <xf numFmtId="179" fontId="0" fillId="0" borderId="0" xfId="0" applyNumberFormat="1" applyFont="1" applyBorder="1">
      <alignment vertical="top"/>
    </xf>
    <xf numFmtId="179" fontId="0" fillId="6" borderId="0" xfId="6" applyFont="1" applyFill="1" applyBorder="1" applyAlignment="1">
      <alignment horizontal="left" vertical="top" indent="1"/>
    </xf>
    <xf numFmtId="179" fontId="0" fillId="0" borderId="0" xfId="6" applyFont="1" applyBorder="1" applyAlignment="1">
      <alignment horizontal="left" vertical="top" indent="1"/>
    </xf>
    <xf numFmtId="181" fontId="0" fillId="6" borderId="9" xfId="1" applyNumberFormat="1" applyFont="1" applyFill="1" applyBorder="1" applyAlignment="1">
      <alignment horizontal="left" vertical="top"/>
    </xf>
    <xf numFmtId="0" fontId="0" fillId="0" borderId="0" xfId="0" applyNumberFormat="1" applyFont="1" applyAlignment="1">
      <alignment horizontal="right" vertical="top"/>
    </xf>
    <xf numFmtId="0" fontId="0" fillId="0" borderId="0" xfId="0" applyNumberFormat="1" applyFont="1" applyBorder="1" applyAlignment="1">
      <alignment horizontal="right" vertical="top"/>
    </xf>
    <xf numFmtId="181" fontId="0" fillId="0" borderId="0" xfId="1" applyNumberFormat="1" applyFont="1" applyBorder="1" applyAlignment="1">
      <alignment horizontal="right"/>
    </xf>
    <xf numFmtId="181" fontId="0" fillId="0" borderId="10" xfId="1" applyNumberFormat="1" applyFont="1" applyBorder="1" applyAlignment="1">
      <alignment horizontal="right" vertical="top"/>
    </xf>
    <xf numFmtId="181" fontId="7" fillId="0" borderId="9" xfId="1" applyNumberFormat="1" applyFont="1" applyBorder="1" applyAlignment="1">
      <alignment horizontal="right" vertical="top"/>
    </xf>
    <xf numFmtId="181" fontId="0" fillId="6" borderId="0" xfId="1" applyNumberFormat="1" applyFont="1" applyFill="1" applyBorder="1" applyAlignment="1">
      <alignment wrapText="1"/>
    </xf>
    <xf numFmtId="0" fontId="0" fillId="0" borderId="0" xfId="0" applyFont="1" applyFill="1" applyAlignment="1"/>
    <xf numFmtId="181" fontId="0" fillId="6" borderId="0" xfId="1" applyNumberFormat="1" applyFont="1" applyFill="1" applyBorder="1" applyAlignment="1">
      <alignment horizontal="center" wrapText="1"/>
    </xf>
    <xf numFmtId="179" fontId="0" fillId="6" borderId="3" xfId="6" applyFont="1" applyFill="1" applyBorder="1">
      <alignment horizontal="right" vertical="top"/>
    </xf>
    <xf numFmtId="181" fontId="0" fillId="6" borderId="3" xfId="6" applyNumberFormat="1" applyFont="1" applyFill="1" applyBorder="1">
      <alignment horizontal="right" vertical="top"/>
    </xf>
    <xf numFmtId="9" fontId="21" fillId="0" borderId="0" xfId="4" applyNumberFormat="1" applyFont="1" applyBorder="1" applyAlignment="1"/>
    <xf numFmtId="0" fontId="0" fillId="0" borderId="0" xfId="0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9" fontId="21" fillId="0" borderId="0" xfId="4" applyNumberFormat="1" applyFont="1" applyBorder="1"/>
    <xf numFmtId="0" fontId="56" fillId="5" borderId="14" xfId="0" applyFont="1" applyFill="1" applyBorder="1" applyAlignment="1"/>
    <xf numFmtId="0" fontId="57" fillId="5" borderId="13" xfId="0" applyFont="1" applyFill="1" applyBorder="1" applyAlignment="1">
      <alignment vertical="top"/>
    </xf>
    <xf numFmtId="0" fontId="56" fillId="5" borderId="13" xfId="0" applyFont="1" applyFill="1" applyBorder="1" applyAlignment="1">
      <alignment horizontal="center"/>
    </xf>
    <xf numFmtId="0" fontId="56" fillId="5" borderId="13" xfId="0" applyFont="1" applyFill="1" applyBorder="1" applyAlignment="1">
      <alignment horizontal="right"/>
    </xf>
    <xf numFmtId="0" fontId="56" fillId="5" borderId="13" xfId="0" applyFont="1" applyFill="1" applyBorder="1" applyAlignment="1"/>
    <xf numFmtId="0" fontId="56" fillId="0" borderId="0" xfId="0" applyFont="1" applyFill="1" applyBorder="1" applyAlignment="1">
      <alignment horizontal="right"/>
    </xf>
    <xf numFmtId="0" fontId="56" fillId="0" borderId="0" xfId="0" applyFont="1" applyFill="1" applyBorder="1" applyAlignment="1">
      <alignment vertical="top"/>
    </xf>
    <xf numFmtId="0" fontId="56" fillId="0" borderId="12" xfId="0" applyFont="1" applyFill="1" applyBorder="1" applyAlignment="1">
      <alignment vertical="top"/>
    </xf>
    <xf numFmtId="0" fontId="57" fillId="0" borderId="0" xfId="0" applyFont="1" applyFill="1" applyBorder="1" applyAlignment="1">
      <alignment vertical="top"/>
    </xf>
    <xf numFmtId="0" fontId="0" fillId="0" borderId="12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 vertical="top"/>
    </xf>
    <xf numFmtId="0" fontId="7" fillId="0" borderId="11" xfId="0" applyFont="1" applyBorder="1" applyAlignment="1">
      <alignment vertical="top"/>
    </xf>
    <xf numFmtId="3" fontId="7" fillId="0" borderId="11" xfId="0" applyNumberFormat="1" applyFont="1" applyBorder="1" applyAlignment="1">
      <alignment vertical="top"/>
    </xf>
    <xf numFmtId="0" fontId="7" fillId="0" borderId="12" xfId="0" applyFont="1" applyBorder="1" applyAlignment="1">
      <alignment vertical="top"/>
    </xf>
    <xf numFmtId="3" fontId="7" fillId="0" borderId="1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3" fontId="0" fillId="0" borderId="0" xfId="0" applyNumberFormat="1" applyFont="1" applyBorder="1" applyAlignment="1">
      <alignment vertical="top"/>
    </xf>
    <xf numFmtId="3" fontId="25" fillId="0" borderId="0" xfId="0" applyNumberFormat="1" applyFont="1" applyBorder="1" applyAlignment="1">
      <alignment vertical="top"/>
    </xf>
    <xf numFmtId="3" fontId="25" fillId="0" borderId="0" xfId="0" applyNumberFormat="1" applyFont="1" applyFill="1" applyBorder="1" applyAlignment="1">
      <alignment vertical="top"/>
    </xf>
    <xf numFmtId="181" fontId="0" fillId="0" borderId="0" xfId="6" applyNumberFormat="1" applyFont="1" applyBorder="1" applyAlignment="1">
      <alignment horizontal="right" vertical="top"/>
    </xf>
    <xf numFmtId="0" fontId="20" fillId="0" borderId="0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58" fillId="0" borderId="0" xfId="0" applyFont="1" applyFill="1" applyBorder="1" applyAlignment="1">
      <alignment vertical="top"/>
    </xf>
    <xf numFmtId="9" fontId="7" fillId="0" borderId="0" xfId="1" applyNumberFormat="1" applyFont="1" applyFill="1" applyBorder="1"/>
    <xf numFmtId="9" fontId="7" fillId="0" borderId="0" xfId="0" applyNumberFormat="1" applyFont="1" applyFill="1" applyBorder="1">
      <alignment vertical="top"/>
    </xf>
    <xf numFmtId="181" fontId="0" fillId="6" borderId="9" xfId="1" applyNumberFormat="1" applyFont="1" applyFill="1" applyBorder="1" applyAlignment="1">
      <alignment horizontal="right" vertical="top"/>
    </xf>
    <xf numFmtId="181" fontId="6" fillId="6" borderId="9" xfId="1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49" fontId="0" fillId="0" borderId="2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6" fillId="3" borderId="2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3" fontId="0" fillId="0" borderId="0" xfId="0" applyNumberFormat="1" applyFont="1" applyFill="1" applyBorder="1" applyAlignment="1">
      <alignment horizontal="right" vertical="top"/>
    </xf>
    <xf numFmtId="181" fontId="7" fillId="0" borderId="0" xfId="1" applyNumberFormat="1" applyFont="1" applyBorder="1" applyAlignment="1">
      <alignment horizontal="center" vertical="top"/>
    </xf>
    <xf numFmtId="0" fontId="0" fillId="0" borderId="2" xfId="0" applyFont="1" applyFill="1" applyBorder="1" applyAlignment="1"/>
    <xf numFmtId="49" fontId="0" fillId="0" borderId="0" xfId="0" applyNumberFormat="1" applyFont="1" applyBorder="1" applyAlignment="1">
      <alignment horizontal="left" vertical="top"/>
    </xf>
    <xf numFmtId="3" fontId="6" fillId="0" borderId="0" xfId="0" applyNumberFormat="1" applyFont="1" applyAlignment="1">
      <alignment horizontal="right" vertical="top"/>
    </xf>
    <xf numFmtId="0" fontId="64" fillId="0" borderId="2" xfId="0" applyFont="1" applyBorder="1" applyAlignment="1">
      <alignment horizontal="left" vertical="top"/>
    </xf>
    <xf numFmtId="0" fontId="0" fillId="0" borderId="0" xfId="0" applyAlignment="1">
      <alignment horizontal="right" vertical="top"/>
    </xf>
    <xf numFmtId="49" fontId="0" fillId="0" borderId="2" xfId="0" applyNumberFormat="1" applyBorder="1" applyAlignment="1">
      <alignment horizontal="left" vertical="top" indent="1"/>
    </xf>
    <xf numFmtId="49" fontId="0" fillId="0" borderId="2" xfId="0" applyNumberFormat="1" applyFont="1" applyBorder="1" applyAlignment="1"/>
    <xf numFmtId="49" fontId="0" fillId="0" borderId="2" xfId="0" applyNumberFormat="1" applyFont="1" applyBorder="1" applyAlignment="1">
      <alignment horizontal="left" vertical="top" indent="1"/>
    </xf>
    <xf numFmtId="49" fontId="6" fillId="0" borderId="2" xfId="0" applyNumberFormat="1" applyFont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left" vertical="top"/>
    </xf>
    <xf numFmtId="3" fontId="7" fillId="0" borderId="0" xfId="0" applyNumberFormat="1" applyFont="1" applyBorder="1" applyAlignment="1">
      <alignment horizontal="center"/>
    </xf>
    <xf numFmtId="3" fontId="62" fillId="0" borderId="0" xfId="0" applyNumberFormat="1" applyFont="1" applyFill="1" applyBorder="1" applyAlignment="1">
      <alignment horizontal="left" vertical="top"/>
    </xf>
    <xf numFmtId="49" fontId="0" fillId="0" borderId="2" xfId="0" applyNumberFormat="1" applyFont="1" applyFill="1" applyBorder="1" applyAlignment="1">
      <alignment horizontal="left" vertical="top" indent="1"/>
    </xf>
    <xf numFmtId="49" fontId="0" fillId="0" borderId="2" xfId="0" applyNumberFormat="1" applyFont="1" applyFill="1" applyBorder="1" applyAlignment="1">
      <alignment horizontal="left" vertical="top" wrapText="1"/>
    </xf>
    <xf numFmtId="170" fontId="0" fillId="0" borderId="2" xfId="0" applyNumberFormat="1" applyFont="1" applyFill="1" applyBorder="1" applyAlignment="1">
      <alignment horizontal="left" vertical="top" wrapText="1"/>
    </xf>
    <xf numFmtId="170" fontId="0" fillId="0" borderId="0" xfId="0" applyNumberFormat="1" applyFont="1" applyFill="1" applyAlignment="1"/>
    <xf numFmtId="49" fontId="6" fillId="0" borderId="2" xfId="0" applyNumberFormat="1" applyFont="1" applyFill="1" applyBorder="1" applyAlignment="1">
      <alignment horizontal="left" vertical="top" wrapText="1" indent="2"/>
    </xf>
    <xf numFmtId="49" fontId="6" fillId="0" borderId="2" xfId="0" applyNumberFormat="1" applyFont="1" applyFill="1" applyBorder="1" applyAlignment="1">
      <alignment horizontal="left" vertical="top" wrapText="1" indent="3"/>
    </xf>
    <xf numFmtId="49" fontId="7" fillId="0" borderId="2" xfId="0" applyNumberFormat="1" applyFont="1" applyBorder="1" applyAlignment="1">
      <alignment horizontal="left"/>
    </xf>
    <xf numFmtId="49" fontId="0" fillId="0" borderId="2" xfId="0" applyNumberFormat="1" applyFont="1" applyFill="1" applyBorder="1" applyAlignment="1">
      <alignment horizontal="left"/>
    </xf>
    <xf numFmtId="49" fontId="35" fillId="0" borderId="2" xfId="0" applyNumberFormat="1" applyFont="1" applyFill="1" applyBorder="1" applyAlignment="1">
      <alignment horizontal="left"/>
    </xf>
    <xf numFmtId="0" fontId="0" fillId="0" borderId="2" xfId="0" applyFill="1" applyBorder="1" applyAlignment="1">
      <alignment horizontal="left" vertical="top"/>
    </xf>
    <xf numFmtId="181" fontId="0" fillId="0" borderId="2" xfId="1" applyNumberFormat="1" applyFont="1" applyFill="1" applyBorder="1" applyAlignment="1">
      <alignment horizontal="left" vertical="top"/>
    </xf>
    <xf numFmtId="3" fontId="0" fillId="0" borderId="2" xfId="0" applyNumberFormat="1" applyFill="1" applyBorder="1" applyAlignment="1">
      <alignment horizontal="left" vertical="top"/>
    </xf>
    <xf numFmtId="3" fontId="7" fillId="0" borderId="0" xfId="1" applyNumberFormat="1" applyFont="1" applyBorder="1" applyAlignment="1">
      <alignment horizontal="center"/>
    </xf>
    <xf numFmtId="0" fontId="0" fillId="0" borderId="2" xfId="0" applyFont="1" applyBorder="1">
      <alignment vertical="top"/>
    </xf>
    <xf numFmtId="49" fontId="64" fillId="0" borderId="2" xfId="0" applyNumberFormat="1" applyFont="1" applyFill="1" applyBorder="1" applyAlignment="1">
      <alignment horizontal="left"/>
    </xf>
    <xf numFmtId="49" fontId="64" fillId="0" borderId="2" xfId="0" applyNumberFormat="1" applyFon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vertical="top" wrapText="1"/>
    </xf>
    <xf numFmtId="49" fontId="0" fillId="0" borderId="2" xfId="0" applyNumberFormat="1" applyFill="1" applyBorder="1" applyAlignment="1">
      <alignment vertical="top"/>
    </xf>
    <xf numFmtId="3" fontId="0" fillId="0" borderId="0" xfId="0" applyNumberFormat="1" applyFont="1" applyFill="1" applyBorder="1" applyAlignment="1">
      <alignment horizontal="left" vertical="top"/>
    </xf>
    <xf numFmtId="0" fontId="7" fillId="0" borderId="2" xfId="0" applyFont="1" applyBorder="1">
      <alignment vertical="top"/>
    </xf>
    <xf numFmtId="3" fontId="62" fillId="0" borderId="0" xfId="0" applyNumberFormat="1" applyFont="1" applyFill="1" applyBorder="1">
      <alignment vertical="top"/>
    </xf>
    <xf numFmtId="49" fontId="7" fillId="0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7" fillId="0" borderId="0" xfId="0" applyNumberFormat="1" applyFont="1" applyBorder="1" applyAlignment="1">
      <alignment horizontal="center"/>
    </xf>
    <xf numFmtId="0" fontId="0" fillId="0" borderId="0" xfId="0" applyAlignment="1"/>
    <xf numFmtId="49" fontId="0" fillId="0" borderId="2" xfId="0" applyNumberFormat="1" applyFont="1" applyFill="1" applyBorder="1" applyAlignment="1"/>
    <xf numFmtId="49" fontId="19" fillId="0" borderId="2" xfId="0" applyNumberFormat="1" applyFont="1" applyBorder="1" applyAlignment="1"/>
    <xf numFmtId="0" fontId="64" fillId="0" borderId="2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left"/>
    </xf>
    <xf numFmtId="0" fontId="64" fillId="0" borderId="2" xfId="0" applyNumberFormat="1" applyFont="1" applyFill="1" applyBorder="1" applyAlignment="1">
      <alignment horizontal="left" wrapText="1"/>
    </xf>
    <xf numFmtId="0" fontId="7" fillId="0" borderId="2" xfId="0" applyFont="1" applyBorder="1" applyAlignment="1">
      <alignment horizontal="right" vertical="top"/>
    </xf>
    <xf numFmtId="3" fontId="0" fillId="0" borderId="0" xfId="0" applyNumberFormat="1" applyFont="1" applyFill="1" applyBorder="1">
      <alignment vertical="top"/>
    </xf>
    <xf numFmtId="0" fontId="0" fillId="0" borderId="4" xfId="0" applyBorder="1" applyAlignment="1">
      <alignment horizontal="left" vertical="top"/>
    </xf>
    <xf numFmtId="0" fontId="62" fillId="0" borderId="0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top" indent="1"/>
    </xf>
    <xf numFmtId="0" fontId="0" fillId="0" borderId="2" xfId="0" applyFont="1" applyBorder="1" applyAlignment="1">
      <alignment vertical="top"/>
    </xf>
    <xf numFmtId="0" fontId="0" fillId="0" borderId="2" xfId="0" applyFont="1" applyBorder="1" applyAlignment="1">
      <alignment horizontal="left" vertical="top" indent="1"/>
    </xf>
    <xf numFmtId="0" fontId="5" fillId="0" borderId="2" xfId="0" applyFont="1" applyBorder="1" applyAlignment="1">
      <alignment horizontal="left"/>
    </xf>
    <xf numFmtId="49" fontId="6" fillId="0" borderId="2" xfId="0" applyNumberFormat="1" applyFont="1" applyFill="1" applyBorder="1" applyAlignment="1">
      <alignment horizontal="left" vertical="top" indent="3"/>
    </xf>
    <xf numFmtId="3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3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0" xfId="0" applyFont="1" applyFill="1" applyAlignment="1">
      <alignment horizontal="left"/>
    </xf>
    <xf numFmtId="3" fontId="6" fillId="0" borderId="0" xfId="1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left"/>
    </xf>
    <xf numFmtId="49" fontId="0" fillId="0" borderId="2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3" fontId="0" fillId="0" borderId="0" xfId="0" applyNumberForma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49" fontId="6" fillId="0" borderId="0" xfId="0" applyNumberFormat="1" applyFont="1" applyFill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49" fontId="0" fillId="0" borderId="0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180" fontId="0" fillId="0" borderId="0" xfId="0" applyNumberFormat="1" applyFont="1">
      <alignment vertical="top"/>
    </xf>
    <xf numFmtId="0" fontId="0" fillId="6" borderId="8" xfId="0" applyNumberFormat="1" applyFont="1" applyFill="1" applyBorder="1" applyAlignment="1"/>
    <xf numFmtId="0" fontId="7" fillId="0" borderId="0" xfId="0" applyNumberFormat="1" applyFont="1" applyBorder="1" applyAlignment="1">
      <alignment vertical="top"/>
    </xf>
    <xf numFmtId="0" fontId="61" fillId="0" borderId="0" xfId="0" applyFont="1">
      <alignment vertical="top"/>
    </xf>
    <xf numFmtId="3" fontId="0" fillId="0" borderId="0" xfId="0" applyNumberFormat="1" applyFont="1">
      <alignment vertical="top"/>
    </xf>
    <xf numFmtId="0" fontId="7" fillId="11" borderId="11" xfId="0" applyFont="1" applyFill="1" applyBorder="1" applyAlignment="1"/>
    <xf numFmtId="0" fontId="0" fillId="11" borderId="11" xfId="0" applyFont="1" applyFill="1" applyBorder="1" applyAlignment="1">
      <alignment vertical="top"/>
    </xf>
    <xf numFmtId="0" fontId="56" fillId="11" borderId="11" xfId="0" applyFont="1" applyFill="1" applyBorder="1" applyAlignment="1">
      <alignment horizontal="right"/>
    </xf>
    <xf numFmtId="0" fontId="0" fillId="12" borderId="11" xfId="0" applyFont="1" applyFill="1" applyBorder="1" applyAlignment="1">
      <alignment vertical="top"/>
    </xf>
    <xf numFmtId="0" fontId="56" fillId="12" borderId="11" xfId="0" applyFont="1" applyFill="1" applyBorder="1" applyAlignment="1">
      <alignment horizontal="right"/>
    </xf>
    <xf numFmtId="0" fontId="7" fillId="12" borderId="11" xfId="0" applyFont="1" applyFill="1" applyBorder="1" applyAlignment="1">
      <alignment vertical="top"/>
    </xf>
    <xf numFmtId="0" fontId="56" fillId="12" borderId="11" xfId="0" applyFont="1" applyFill="1" applyBorder="1" applyAlignment="1">
      <alignment vertical="top"/>
    </xf>
    <xf numFmtId="0" fontId="57" fillId="12" borderId="11" xfId="0" applyFont="1" applyFill="1" applyBorder="1" applyAlignment="1">
      <alignment vertical="top"/>
    </xf>
    <xf numFmtId="0" fontId="57" fillId="12" borderId="11" xfId="0" applyFont="1" applyFill="1" applyBorder="1" applyAlignment="1">
      <alignment horizontal="left" vertical="top"/>
    </xf>
    <xf numFmtId="0" fontId="56" fillId="12" borderId="0" xfId="0" applyFont="1" applyFill="1" applyBorder="1" applyAlignment="1">
      <alignment horizontal="right"/>
    </xf>
    <xf numFmtId="49" fontId="56" fillId="12" borderId="11" xfId="0" applyNumberFormat="1" applyFont="1" applyFill="1" applyBorder="1" applyAlignment="1"/>
    <xf numFmtId="0" fontId="7" fillId="13" borderId="11" xfId="0" applyFont="1" applyFill="1" applyBorder="1" applyAlignment="1">
      <alignment vertical="top"/>
    </xf>
    <xf numFmtId="0" fontId="0" fillId="13" borderId="11" xfId="0" applyFont="1" applyFill="1" applyBorder="1" applyAlignment="1">
      <alignment vertical="top"/>
    </xf>
    <xf numFmtId="0" fontId="56" fillId="13" borderId="11" xfId="0" applyFont="1" applyFill="1" applyBorder="1" applyAlignment="1">
      <alignment horizontal="right"/>
    </xf>
    <xf numFmtId="0" fontId="57" fillId="13" borderId="11" xfId="0" applyFont="1" applyFill="1" applyBorder="1" applyAlignment="1">
      <alignment vertical="top"/>
    </xf>
    <xf numFmtId="0" fontId="56" fillId="13" borderId="11" xfId="0" applyFont="1" applyFill="1" applyBorder="1" applyAlignment="1">
      <alignment vertical="top"/>
    </xf>
    <xf numFmtId="0" fontId="57" fillId="13" borderId="11" xfId="0" applyFont="1" applyFill="1" applyBorder="1" applyAlignment="1">
      <alignment horizontal="left" vertical="top"/>
    </xf>
    <xf numFmtId="0" fontId="56" fillId="13" borderId="11" xfId="0" applyFont="1" applyFill="1" applyBorder="1" applyAlignment="1">
      <alignment horizontal="left" vertical="top"/>
    </xf>
    <xf numFmtId="49" fontId="56" fillId="13" borderId="11" xfId="0" applyNumberFormat="1" applyFont="1" applyFill="1" applyBorder="1" applyAlignment="1"/>
    <xf numFmtId="0" fontId="56" fillId="10" borderId="11" xfId="0" applyFont="1" applyFill="1" applyBorder="1" applyAlignment="1"/>
    <xf numFmtId="0" fontId="57" fillId="10" borderId="11" xfId="0" applyFont="1" applyFill="1" applyBorder="1" applyAlignment="1">
      <alignment vertical="top"/>
    </xf>
    <xf numFmtId="0" fontId="57" fillId="10" borderId="11" xfId="0" applyFont="1" applyFill="1" applyBorder="1" applyAlignment="1">
      <alignment horizontal="left" vertical="top"/>
    </xf>
    <xf numFmtId="0" fontId="56" fillId="10" borderId="11" xfId="0" applyFont="1" applyFill="1" applyBorder="1" applyAlignment="1">
      <alignment horizontal="right"/>
    </xf>
    <xf numFmtId="0" fontId="56" fillId="10" borderId="11" xfId="0" applyFont="1" applyFill="1" applyBorder="1" applyAlignment="1">
      <alignment vertical="top"/>
    </xf>
    <xf numFmtId="0" fontId="56" fillId="10" borderId="11" xfId="0" applyFont="1" applyFill="1" applyBorder="1" applyAlignment="1">
      <alignment horizontal="left" vertical="top"/>
    </xf>
    <xf numFmtId="49" fontId="56" fillId="10" borderId="11" xfId="0" applyNumberFormat="1" applyFont="1" applyFill="1" applyBorder="1" applyAlignment="1"/>
    <xf numFmtId="0" fontId="56" fillId="12" borderId="11" xfId="0" applyFont="1" applyFill="1" applyBorder="1" applyAlignment="1"/>
    <xf numFmtId="0" fontId="57" fillId="12" borderId="11" xfId="0" applyFont="1" applyFill="1" applyBorder="1" applyAlignment="1"/>
    <xf numFmtId="0" fontId="57" fillId="12" borderId="11" xfId="0" applyFont="1" applyFill="1" applyBorder="1" applyAlignment="1">
      <alignment horizontal="right"/>
    </xf>
    <xf numFmtId="0" fontId="57" fillId="12" borderId="0" xfId="0" applyFont="1" applyFill="1" applyBorder="1" applyAlignment="1">
      <alignment horizontal="right"/>
    </xf>
    <xf numFmtId="49" fontId="7" fillId="12" borderId="0" xfId="0" applyNumberFormat="1" applyFont="1" applyFill="1" applyBorder="1" applyAlignment="1"/>
    <xf numFmtId="0" fontId="0" fillId="11" borderId="11" xfId="0" applyFont="1" applyFill="1" applyBorder="1">
      <alignment vertical="top"/>
    </xf>
    <xf numFmtId="179" fontId="0" fillId="11" borderId="11" xfId="6" applyFont="1" applyFill="1" applyBorder="1">
      <alignment horizontal="right" vertical="top"/>
    </xf>
    <xf numFmtId="0" fontId="20" fillId="6" borderId="0" xfId="0" applyNumberFormat="1" applyFont="1" applyFill="1" applyBorder="1" applyAlignment="1"/>
    <xf numFmtId="0" fontId="69" fillId="14" borderId="13" xfId="0" applyFont="1" applyFill="1" applyBorder="1" applyAlignment="1">
      <alignment vertical="top"/>
    </xf>
    <xf numFmtId="0" fontId="70" fillId="14" borderId="13" xfId="0" applyFont="1" applyFill="1" applyBorder="1" applyAlignment="1">
      <alignment vertical="top"/>
    </xf>
    <xf numFmtId="3" fontId="69" fillId="14" borderId="13" xfId="0" applyNumberFormat="1" applyFont="1" applyFill="1" applyBorder="1" applyAlignment="1">
      <alignment horizontal="right" vertical="top"/>
    </xf>
    <xf numFmtId="0" fontId="7" fillId="0" borderId="2" xfId="0" applyFont="1" applyFill="1" applyBorder="1" applyAlignment="1"/>
    <xf numFmtId="49" fontId="6" fillId="0" borderId="2" xfId="0" applyNumberFormat="1" applyFont="1" applyFill="1" applyBorder="1" applyAlignment="1">
      <alignment horizontal="left" indent="2"/>
    </xf>
    <xf numFmtId="49" fontId="7" fillId="3" borderId="2" xfId="0" applyNumberFormat="1" applyFont="1" applyFill="1" applyBorder="1">
      <alignment vertical="top"/>
    </xf>
    <xf numFmtId="0" fontId="0" fillId="0" borderId="0" xfId="0" applyFont="1" applyFill="1" applyAlignment="1">
      <alignment horizontal="left"/>
    </xf>
    <xf numFmtId="0" fontId="0" fillId="0" borderId="2" xfId="0" applyFont="1" applyBorder="1" applyAlignment="1">
      <alignment horizontal="left"/>
    </xf>
    <xf numFmtId="0" fontId="7" fillId="0" borderId="2" xfId="0" applyFont="1" applyFill="1" applyBorder="1">
      <alignment vertical="top"/>
    </xf>
    <xf numFmtId="49" fontId="0" fillId="0" borderId="2" xfId="0" applyNumberFormat="1" applyFont="1" applyFill="1" applyBorder="1" applyAlignment="1">
      <alignment horizontal="left" indent="1"/>
    </xf>
    <xf numFmtId="179" fontId="0" fillId="0" borderId="0" xfId="0" applyNumberFormat="1" applyFont="1" applyFill="1">
      <alignment vertical="top"/>
    </xf>
    <xf numFmtId="0" fontId="7" fillId="0" borderId="0" xfId="0" applyFont="1" applyBorder="1" applyAlignment="1">
      <alignment horizontal="center"/>
    </xf>
    <xf numFmtId="49" fontId="0" fillId="0" borderId="2" xfId="0" applyNumberFormat="1" applyFont="1" applyFill="1" applyBorder="1" applyAlignment="1">
      <alignment vertical="top"/>
    </xf>
    <xf numFmtId="0" fontId="7" fillId="15" borderId="11" xfId="0" applyFont="1" applyFill="1" applyBorder="1" applyAlignment="1"/>
    <xf numFmtId="0" fontId="0" fillId="15" borderId="11" xfId="0" applyFont="1" applyFill="1" applyBorder="1" applyAlignment="1">
      <alignment vertical="top"/>
    </xf>
    <xf numFmtId="0" fontId="56" fillId="15" borderId="11" xfId="0" applyFont="1" applyFill="1" applyBorder="1" applyAlignment="1">
      <alignment horizontal="right"/>
    </xf>
    <xf numFmtId="0" fontId="7" fillId="16" borderId="11" xfId="0" applyFont="1" applyFill="1" applyBorder="1" applyAlignment="1"/>
    <xf numFmtId="0" fontId="0" fillId="16" borderId="11" xfId="0" applyFont="1" applyFill="1" applyBorder="1" applyAlignment="1">
      <alignment vertical="top"/>
    </xf>
    <xf numFmtId="0" fontId="56" fillId="16" borderId="11" xfId="0" applyFont="1" applyFill="1" applyBorder="1" applyAlignment="1">
      <alignment horizontal="right"/>
    </xf>
    <xf numFmtId="0" fontId="7" fillId="10" borderId="11" xfId="0" applyFont="1" applyFill="1" applyBorder="1" applyAlignment="1">
      <alignment vertical="top"/>
    </xf>
    <xf numFmtId="0" fontId="0" fillId="10" borderId="11" xfId="0" applyFont="1" applyFill="1" applyBorder="1" applyAlignment="1">
      <alignment vertical="top"/>
    </xf>
    <xf numFmtId="179" fontId="0" fillId="16" borderId="11" xfId="6" applyFont="1" applyFill="1" applyBorder="1">
      <alignment horizontal="right" vertical="top"/>
    </xf>
    <xf numFmtId="0" fontId="0" fillId="16" borderId="11" xfId="0" applyFont="1" applyFill="1" applyBorder="1">
      <alignment vertical="top"/>
    </xf>
    <xf numFmtId="3" fontId="0" fillId="6" borderId="0" xfId="1" applyNumberFormat="1" applyFont="1" applyFill="1" applyBorder="1" applyAlignment="1">
      <alignment horizontal="right" wrapText="1"/>
    </xf>
    <xf numFmtId="3" fontId="0" fillId="6" borderId="3" xfId="6" applyNumberFormat="1" applyFont="1" applyFill="1" applyBorder="1" applyAlignment="1">
      <alignment horizontal="right" vertical="top"/>
    </xf>
    <xf numFmtId="49" fontId="0" fillId="0" borderId="0" xfId="0" applyNumberFormat="1" applyFont="1" applyFill="1" applyBorder="1" applyAlignment="1">
      <alignment horizontal="left" vertical="top" wrapText="1" indent="1"/>
    </xf>
    <xf numFmtId="3" fontId="7" fillId="0" borderId="10" xfId="0" applyNumberFormat="1" applyFont="1" applyBorder="1" applyAlignment="1">
      <alignment horizontal="right" vertical="top"/>
    </xf>
    <xf numFmtId="3" fontId="7" fillId="0" borderId="11" xfId="0" applyNumberFormat="1" applyFont="1" applyBorder="1" applyAlignment="1">
      <alignment horizontal="right" vertical="top"/>
    </xf>
    <xf numFmtId="3" fontId="0" fillId="0" borderId="0" xfId="0" applyNumberFormat="1" applyFont="1" applyBorder="1" applyAlignment="1">
      <alignment horizontal="right" vertical="top"/>
    </xf>
    <xf numFmtId="3" fontId="25" fillId="0" borderId="0" xfId="0" applyNumberFormat="1" applyFont="1" applyBorder="1" applyAlignment="1">
      <alignment horizontal="right" vertical="top"/>
    </xf>
    <xf numFmtId="3" fontId="25" fillId="0" borderId="0" xfId="0" applyNumberFormat="1" applyFont="1" applyFill="1" applyBorder="1" applyAlignment="1">
      <alignment horizontal="right" vertical="top"/>
    </xf>
    <xf numFmtId="0" fontId="56" fillId="13" borderId="11" xfId="0" applyFont="1" applyFill="1" applyBorder="1" applyAlignment="1"/>
    <xf numFmtId="0" fontId="56" fillId="15" borderId="11" xfId="0" applyFont="1" applyFill="1" applyBorder="1" applyAlignment="1"/>
    <xf numFmtId="0" fontId="56" fillId="11" borderId="11" xfId="0" applyFont="1" applyFill="1" applyBorder="1" applyAlignment="1"/>
    <xf numFmtId="0" fontId="56" fillId="16" borderId="11" xfId="0" applyFont="1" applyFill="1" applyBorder="1" applyAlignment="1"/>
    <xf numFmtId="3" fontId="69" fillId="14" borderId="13" xfId="0" applyNumberFormat="1" applyFont="1" applyFill="1" applyBorder="1" applyAlignment="1">
      <alignment vertical="top"/>
    </xf>
    <xf numFmtId="39" fontId="20" fillId="0" borderId="0" xfId="1" applyNumberFormat="1" applyFont="1" applyFill="1" applyBorder="1" applyAlignment="1">
      <alignment vertical="top"/>
    </xf>
    <xf numFmtId="3" fontId="0" fillId="0" borderId="0" xfId="0" applyNumberFormat="1" applyFill="1" applyBorder="1" applyAlignment="1">
      <alignment horizontal="right" vertical="top"/>
    </xf>
    <xf numFmtId="3" fontId="62" fillId="0" borderId="0" xfId="0" applyNumberFormat="1" applyFont="1" applyFill="1" applyBorder="1" applyAlignment="1">
      <alignment horizontal="right"/>
    </xf>
    <xf numFmtId="178" fontId="0" fillId="0" borderId="0" xfId="0" applyNumberFormat="1" applyFill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181" fontId="62" fillId="0" borderId="0" xfId="1" applyNumberFormat="1" applyFont="1" applyFill="1" applyBorder="1" applyAlignment="1">
      <alignment horizontal="right" vertical="top"/>
    </xf>
    <xf numFmtId="3" fontId="6" fillId="0" borderId="5" xfId="0" applyNumberFormat="1" applyFont="1" applyFill="1" applyBorder="1" applyAlignment="1">
      <alignment horizontal="right" vertical="top"/>
    </xf>
    <xf numFmtId="3" fontId="0" fillId="0" borderId="5" xfId="0" applyNumberFormat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 vertical="top"/>
    </xf>
    <xf numFmtId="3" fontId="62" fillId="0" borderId="0" xfId="0" applyNumberFormat="1" applyFont="1" applyFill="1" applyBorder="1" applyAlignment="1">
      <alignment horizontal="right" vertical="top"/>
    </xf>
    <xf numFmtId="3" fontId="0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right" vertical="top"/>
    </xf>
    <xf numFmtId="181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181" fontId="7" fillId="0" borderId="0" xfId="1" applyNumberFormat="1" applyFont="1" applyFill="1" applyBorder="1" applyAlignment="1">
      <alignment vertical="top"/>
    </xf>
    <xf numFmtId="181" fontId="6" fillId="0" borderId="0" xfId="1" applyNumberFormat="1" applyFont="1" applyFill="1" applyBorder="1" applyAlignment="1">
      <alignment vertical="top"/>
    </xf>
    <xf numFmtId="3" fontId="0" fillId="0" borderId="0" xfId="1" applyNumberFormat="1" applyFont="1" applyFill="1" applyBorder="1" applyAlignment="1">
      <alignment horizontal="right" vertical="top"/>
    </xf>
    <xf numFmtId="0" fontId="7" fillId="0" borderId="0" xfId="0" applyNumberFormat="1" applyFont="1" applyFill="1" applyBorder="1" applyAlignment="1">
      <alignment horizontal="right"/>
    </xf>
    <xf numFmtId="181" fontId="6" fillId="0" borderId="5" xfId="1" applyNumberFormat="1" applyFont="1" applyFill="1" applyBorder="1" applyAlignment="1">
      <alignment horizontal="right" vertical="top"/>
    </xf>
    <xf numFmtId="181" fontId="0" fillId="0" borderId="5" xfId="1" applyNumberFormat="1" applyFont="1" applyFill="1" applyBorder="1" applyAlignment="1">
      <alignment horizontal="right" vertical="top"/>
    </xf>
    <xf numFmtId="49" fontId="7" fillId="0" borderId="2" xfId="0" applyNumberFormat="1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62" fillId="0" borderId="0" xfId="0" applyFont="1" applyBorder="1" applyAlignment="1">
      <alignment vertical="top"/>
    </xf>
    <xf numFmtId="3" fontId="7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170" fontId="0" fillId="0" borderId="5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top"/>
    </xf>
    <xf numFmtId="9" fontId="0" fillId="0" borderId="0" xfId="0" applyNumberFormat="1" applyFont="1" applyFill="1" applyBorder="1" applyAlignment="1">
      <alignment horizontal="right" vertical="top"/>
    </xf>
    <xf numFmtId="49" fontId="0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horizontal="right"/>
    </xf>
    <xf numFmtId="178" fontId="0" fillId="0" borderId="0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horizontal="right" vertical="top"/>
    </xf>
    <xf numFmtId="11" fontId="0" fillId="0" borderId="0" xfId="0" applyNumberFormat="1" applyBorder="1" applyAlignment="1">
      <alignment horizontal="right" vertical="top"/>
    </xf>
    <xf numFmtId="0" fontId="0" fillId="0" borderId="0" xfId="0" applyFill="1" applyBorder="1" applyAlignment="1">
      <alignment horizontal="right"/>
    </xf>
    <xf numFmtId="3" fontId="0" fillId="0" borderId="0" xfId="0" applyNumberFormat="1" applyAlignment="1">
      <alignment horizontal="right"/>
    </xf>
    <xf numFmtId="9" fontId="0" fillId="0" borderId="0" xfId="0" applyNumberFormat="1" applyFill="1" applyBorder="1" applyAlignment="1">
      <alignment horizontal="right" vertical="top"/>
    </xf>
    <xf numFmtId="9" fontId="0" fillId="0" borderId="0" xfId="4" applyNumberFormat="1" applyFont="1" applyFill="1" applyAlignment="1">
      <alignment horizontal="right" vertical="top"/>
    </xf>
    <xf numFmtId="181" fontId="28" fillId="0" borderId="0" xfId="1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3" fontId="0" fillId="0" borderId="0" xfId="0" applyNumberFormat="1" applyFont="1" applyFill="1" applyBorder="1" applyAlignment="1">
      <alignment horizontal="right" vertical="top" wrapText="1"/>
    </xf>
    <xf numFmtId="181" fontId="0" fillId="0" borderId="0" xfId="1" applyNumberFormat="1" applyFont="1" applyFill="1" applyBorder="1" applyAlignment="1">
      <alignment horizontal="right" vertical="top"/>
    </xf>
    <xf numFmtId="0" fontId="0" fillId="0" borderId="0" xfId="0" applyNumberFormat="1" applyFill="1" applyBorder="1" applyAlignment="1">
      <alignment horizontal="right" vertical="top"/>
    </xf>
    <xf numFmtId="0" fontId="62" fillId="0" borderId="0" xfId="0" applyFont="1" applyFill="1" applyBorder="1" applyAlignment="1">
      <alignment vertical="top"/>
    </xf>
    <xf numFmtId="0" fontId="0" fillId="0" borderId="0" xfId="0" applyNumberFormat="1" applyFont="1" applyFill="1" applyBorder="1" applyAlignment="1">
      <alignment vertical="top"/>
    </xf>
    <xf numFmtId="49" fontId="0" fillId="0" borderId="0" xfId="0" applyNumberFormat="1" applyFont="1" applyFill="1" applyBorder="1" applyAlignment="1">
      <alignment vertical="top" wrapText="1"/>
    </xf>
    <xf numFmtId="49" fontId="30" fillId="0" borderId="2" xfId="0" applyNumberFormat="1" applyFont="1" applyFill="1" applyBorder="1" applyAlignment="1"/>
    <xf numFmtId="3" fontId="62" fillId="0" borderId="0" xfId="1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49" fontId="7" fillId="0" borderId="2" xfId="0" applyNumberFormat="1" applyFont="1" applyBorder="1" applyAlignment="1">
      <alignment horizontal="center" wrapText="1"/>
    </xf>
    <xf numFmtId="0" fontId="20" fillId="0" borderId="0" xfId="0" applyFont="1" applyFill="1" applyAlignment="1">
      <alignment horizontal="left" vertical="top"/>
    </xf>
    <xf numFmtId="3" fontId="0" fillId="0" borderId="0" xfId="0" applyNumberFormat="1" applyFill="1" applyBorder="1" applyAlignment="1">
      <alignment horizontal="right"/>
    </xf>
    <xf numFmtId="181" fontId="0" fillId="0" borderId="0" xfId="0" applyNumberFormat="1" applyFill="1" applyBorder="1" applyAlignment="1">
      <alignment horizontal="right" vertical="top"/>
    </xf>
    <xf numFmtId="181" fontId="0" fillId="0" borderId="0" xfId="0" applyNumberFormat="1" applyBorder="1" applyAlignment="1">
      <alignment horizontal="right" vertical="top"/>
    </xf>
    <xf numFmtId="181" fontId="0" fillId="0" borderId="0" xfId="1" quotePrefix="1" applyNumberFormat="1" applyFont="1" applyFill="1" applyBorder="1" applyAlignment="1">
      <alignment horizontal="right" vertical="top"/>
    </xf>
    <xf numFmtId="3" fontId="26" fillId="0" borderId="0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vertical="top" wrapText="1"/>
    </xf>
    <xf numFmtId="49" fontId="35" fillId="0" borderId="0" xfId="0" applyNumberFormat="1" applyFont="1" applyFill="1" applyBorder="1" applyAlignment="1">
      <alignment vertical="top"/>
    </xf>
    <xf numFmtId="183" fontId="0" fillId="0" borderId="0" xfId="1" applyNumberFormat="1" applyFont="1" applyFill="1" applyBorder="1" applyAlignment="1">
      <alignment horizontal="right" vertical="top"/>
    </xf>
    <xf numFmtId="183" fontId="0" fillId="0" borderId="0" xfId="0" applyNumberFormat="1" applyFill="1" applyBorder="1" applyAlignment="1">
      <alignment horizontal="right" vertical="top"/>
    </xf>
    <xf numFmtId="181" fontId="62" fillId="0" borderId="0" xfId="0" applyNumberFormat="1" applyFont="1" applyFill="1" applyBorder="1" applyAlignment="1">
      <alignment horizontal="right" vertical="top"/>
    </xf>
    <xf numFmtId="181" fontId="7" fillId="0" borderId="0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wrapText="1"/>
    </xf>
    <xf numFmtId="3" fontId="0" fillId="0" borderId="0" xfId="0" quotePrefix="1" applyNumberFormat="1" applyFont="1" applyBorder="1" applyAlignment="1">
      <alignment vertical="top" wrapText="1"/>
    </xf>
    <xf numFmtId="3" fontId="7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vertical="top"/>
    </xf>
    <xf numFmtId="0" fontId="41" fillId="9" borderId="18" xfId="0" applyFont="1" applyFill="1" applyBorder="1" applyAlignment="1">
      <alignment horizontal="center"/>
    </xf>
    <xf numFmtId="0" fontId="43" fillId="0" borderId="19" xfId="0" applyFont="1" applyBorder="1">
      <alignment vertical="top"/>
    </xf>
    <xf numFmtId="0" fontId="44" fillId="0" borderId="20" xfId="0" applyFont="1" applyFill="1" applyBorder="1" applyAlignment="1">
      <alignment horizontal="center"/>
    </xf>
    <xf numFmtId="3" fontId="41" fillId="10" borderId="24" xfId="0" applyNumberFormat="1" applyFont="1" applyFill="1" applyBorder="1" applyAlignment="1">
      <alignment horizontal="right" vertical="top"/>
    </xf>
    <xf numFmtId="0" fontId="42" fillId="0" borderId="12" xfId="0" applyFont="1" applyBorder="1">
      <alignment vertical="top"/>
    </xf>
    <xf numFmtId="0" fontId="46" fillId="0" borderId="12" xfId="0" applyFont="1" applyBorder="1">
      <alignment vertical="top"/>
    </xf>
    <xf numFmtId="0" fontId="43" fillId="0" borderId="12" xfId="0" applyFont="1" applyBorder="1">
      <alignment vertical="top"/>
    </xf>
    <xf numFmtId="3" fontId="41" fillId="8" borderId="24" xfId="0" applyNumberFormat="1" applyFont="1" applyFill="1" applyBorder="1" applyAlignment="1">
      <alignment horizontal="right" vertical="top"/>
    </xf>
    <xf numFmtId="0" fontId="42" fillId="0" borderId="12" xfId="0" applyFont="1" applyBorder="1" applyAlignment="1">
      <alignment vertical="top"/>
    </xf>
    <xf numFmtId="0" fontId="46" fillId="0" borderId="12" xfId="0" applyFont="1" applyBorder="1" applyAlignment="1">
      <alignment vertical="top"/>
    </xf>
    <xf numFmtId="3" fontId="45" fillId="0" borderId="12" xfId="0" applyNumberFormat="1" applyFont="1" applyBorder="1" applyAlignment="1">
      <alignment vertical="top"/>
    </xf>
    <xf numFmtId="3" fontId="46" fillId="0" borderId="12" xfId="0" applyNumberFormat="1" applyFont="1" applyBorder="1" applyAlignment="1">
      <alignment vertical="top"/>
    </xf>
    <xf numFmtId="0" fontId="55" fillId="6" borderId="20" xfId="0" applyFont="1" applyFill="1" applyBorder="1" applyAlignment="1">
      <alignment horizontal="center"/>
    </xf>
    <xf numFmtId="0" fontId="41" fillId="12" borderId="23" xfId="0" applyFont="1" applyFill="1" applyBorder="1" applyAlignment="1">
      <alignment vertical="top"/>
    </xf>
    <xf numFmtId="0" fontId="41" fillId="12" borderId="16" xfId="0" applyFont="1" applyFill="1" applyBorder="1" applyAlignment="1">
      <alignment vertical="top"/>
    </xf>
    <xf numFmtId="0" fontId="41" fillId="15" borderId="23" xfId="0" applyFont="1" applyFill="1" applyBorder="1" applyAlignment="1">
      <alignment vertical="top"/>
    </xf>
    <xf numFmtId="0" fontId="41" fillId="15" borderId="16" xfId="0" applyFont="1" applyFill="1" applyBorder="1" applyAlignment="1">
      <alignment vertical="top"/>
    </xf>
    <xf numFmtId="0" fontId="41" fillId="16" borderId="23" xfId="0" applyFont="1" applyFill="1" applyBorder="1" applyAlignment="1">
      <alignment vertical="top"/>
    </xf>
    <xf numFmtId="0" fontId="41" fillId="16" borderId="16" xfId="0" applyFont="1" applyFill="1" applyBorder="1" applyAlignment="1">
      <alignment vertical="top"/>
    </xf>
    <xf numFmtId="0" fontId="41" fillId="11" borderId="23" xfId="0" applyFont="1" applyFill="1" applyBorder="1" applyAlignment="1">
      <alignment vertical="top"/>
    </xf>
    <xf numFmtId="0" fontId="41" fillId="11" borderId="16" xfId="0" applyFont="1" applyFill="1" applyBorder="1" applyAlignment="1">
      <alignment vertical="top"/>
    </xf>
    <xf numFmtId="0" fontId="48" fillId="18" borderId="23" xfId="0" applyFont="1" applyFill="1" applyBorder="1" applyAlignment="1">
      <alignment vertical="top"/>
    </xf>
    <xf numFmtId="0" fontId="49" fillId="18" borderId="16" xfId="0" applyFont="1" applyFill="1" applyBorder="1" applyAlignment="1">
      <alignment vertical="top"/>
    </xf>
    <xf numFmtId="3" fontId="42" fillId="6" borderId="21" xfId="0" applyNumberFormat="1" applyFont="1" applyFill="1" applyBorder="1" applyAlignment="1">
      <alignment horizontal="right" vertical="top"/>
    </xf>
    <xf numFmtId="3" fontId="42" fillId="6" borderId="22" xfId="0" applyNumberFormat="1" applyFont="1" applyFill="1" applyBorder="1" applyAlignment="1">
      <alignment horizontal="right" vertical="top"/>
    </xf>
    <xf numFmtId="165" fontId="45" fillId="6" borderId="0" xfId="0" applyNumberFormat="1" applyFont="1" applyFill="1" applyBorder="1" applyAlignment="1">
      <alignment horizontal="right" vertical="top"/>
    </xf>
    <xf numFmtId="165" fontId="45" fillId="6" borderId="20" xfId="0" applyNumberFormat="1" applyFont="1" applyFill="1" applyBorder="1" applyAlignment="1">
      <alignment horizontal="right" vertical="top"/>
    </xf>
    <xf numFmtId="3" fontId="45" fillId="6" borderId="0" xfId="0" applyNumberFormat="1" applyFont="1" applyFill="1" applyBorder="1" applyAlignment="1">
      <alignment horizontal="right" vertical="top"/>
    </xf>
    <xf numFmtId="3" fontId="45" fillId="6" borderId="20" xfId="0" applyNumberFormat="1" applyFont="1" applyFill="1" applyBorder="1" applyAlignment="1">
      <alignment horizontal="right" vertical="top"/>
    </xf>
    <xf numFmtId="3" fontId="41" fillId="12" borderId="16" xfId="1" applyNumberFormat="1" applyFont="1" applyFill="1" applyBorder="1" applyAlignment="1">
      <alignment horizontal="right" vertical="top"/>
    </xf>
    <xf numFmtId="3" fontId="41" fillId="12" borderId="24" xfId="1" applyNumberFormat="1" applyFont="1" applyFill="1" applyBorder="1" applyAlignment="1">
      <alignment horizontal="right" vertical="top"/>
    </xf>
    <xf numFmtId="3" fontId="41" fillId="15" borderId="16" xfId="0" applyNumberFormat="1" applyFont="1" applyFill="1" applyBorder="1" applyAlignment="1">
      <alignment horizontal="right" vertical="top"/>
    </xf>
    <xf numFmtId="3" fontId="41" fillId="15" borderId="24" xfId="0" applyNumberFormat="1" applyFont="1" applyFill="1" applyBorder="1" applyAlignment="1">
      <alignment horizontal="right" vertical="top"/>
    </xf>
    <xf numFmtId="3" fontId="41" fillId="11" borderId="16" xfId="0" applyNumberFormat="1" applyFont="1" applyFill="1" applyBorder="1" applyAlignment="1">
      <alignment horizontal="right" vertical="top"/>
    </xf>
    <xf numFmtId="3" fontId="41" fillId="11" borderId="24" xfId="0" applyNumberFormat="1" applyFont="1" applyFill="1" applyBorder="1" applyAlignment="1">
      <alignment horizontal="right" vertical="top"/>
    </xf>
    <xf numFmtId="3" fontId="41" fillId="16" borderId="16" xfId="0" applyNumberFormat="1" applyFont="1" applyFill="1" applyBorder="1" applyAlignment="1">
      <alignment horizontal="right" vertical="top"/>
    </xf>
    <xf numFmtId="3" fontId="41" fillId="16" borderId="24" xfId="0" applyNumberFormat="1" applyFont="1" applyFill="1" applyBorder="1" applyAlignment="1">
      <alignment horizontal="right" vertical="top"/>
    </xf>
    <xf numFmtId="169" fontId="41" fillId="10" borderId="16" xfId="0" applyNumberFormat="1" applyFont="1" applyFill="1" applyBorder="1" applyAlignment="1">
      <alignment horizontal="right" vertical="top"/>
    </xf>
    <xf numFmtId="169" fontId="41" fillId="10" borderId="24" xfId="0" applyNumberFormat="1" applyFont="1" applyFill="1" applyBorder="1" applyAlignment="1">
      <alignment horizontal="right" vertical="top"/>
    </xf>
    <xf numFmtId="169" fontId="42" fillId="6" borderId="10" xfId="0" applyNumberFormat="1" applyFont="1" applyFill="1" applyBorder="1" applyAlignment="1">
      <alignment horizontal="right" vertical="top"/>
    </xf>
    <xf numFmtId="169" fontId="42" fillId="6" borderId="21" xfId="0" applyNumberFormat="1" applyFont="1" applyFill="1" applyBorder="1" applyAlignment="1">
      <alignment horizontal="right" vertical="top"/>
    </xf>
    <xf numFmtId="169" fontId="42" fillId="6" borderId="11" xfId="0" applyNumberFormat="1" applyFont="1" applyFill="1" applyBorder="1" applyAlignment="1">
      <alignment horizontal="right" vertical="top"/>
    </xf>
    <xf numFmtId="169" fontId="42" fillId="6" borderId="22" xfId="0" applyNumberFormat="1" applyFont="1" applyFill="1" applyBorder="1" applyAlignment="1">
      <alignment horizontal="right" vertical="top"/>
    </xf>
    <xf numFmtId="169" fontId="45" fillId="6" borderId="0" xfId="0" applyNumberFormat="1" applyFont="1" applyFill="1" applyBorder="1" applyAlignment="1">
      <alignment horizontal="right" vertical="top"/>
    </xf>
    <xf numFmtId="169" fontId="45" fillId="6" borderId="20" xfId="0" applyNumberFormat="1" applyFont="1" applyFill="1" applyBorder="1" applyAlignment="1">
      <alignment horizontal="right" vertical="top"/>
    </xf>
    <xf numFmtId="169" fontId="41" fillId="8" borderId="16" xfId="0" applyNumberFormat="1" applyFont="1" applyFill="1" applyBorder="1" applyAlignment="1">
      <alignment horizontal="right" vertical="top"/>
    </xf>
    <xf numFmtId="169" fontId="41" fillId="8" borderId="24" xfId="0" applyNumberFormat="1" applyFont="1" applyFill="1" applyBorder="1" applyAlignment="1">
      <alignment horizontal="right" vertical="top"/>
    </xf>
    <xf numFmtId="169" fontId="41" fillId="12" borderId="16" xfId="1" applyNumberFormat="1" applyFont="1" applyFill="1" applyBorder="1" applyAlignment="1">
      <alignment horizontal="right" vertical="top"/>
    </xf>
    <xf numFmtId="169" fontId="41" fillId="12" borderId="24" xfId="1" applyNumberFormat="1" applyFont="1" applyFill="1" applyBorder="1" applyAlignment="1">
      <alignment horizontal="right" vertical="top"/>
    </xf>
    <xf numFmtId="169" fontId="41" fillId="15" borderId="16" xfId="0" applyNumberFormat="1" applyFont="1" applyFill="1" applyBorder="1" applyAlignment="1">
      <alignment horizontal="right" vertical="top"/>
    </xf>
    <xf numFmtId="169" fontId="41" fillId="15" borderId="24" xfId="0" applyNumberFormat="1" applyFont="1" applyFill="1" applyBorder="1" applyAlignment="1">
      <alignment horizontal="right" vertical="top"/>
    </xf>
    <xf numFmtId="169" fontId="41" fillId="11" borderId="16" xfId="0" applyNumberFormat="1" applyFont="1" applyFill="1" applyBorder="1" applyAlignment="1">
      <alignment horizontal="right" vertical="top"/>
    </xf>
    <xf numFmtId="169" fontId="41" fillId="11" borderId="24" xfId="0" applyNumberFormat="1" applyFont="1" applyFill="1" applyBorder="1" applyAlignment="1">
      <alignment horizontal="right" vertical="top"/>
    </xf>
    <xf numFmtId="169" fontId="41" fillId="16" borderId="16" xfId="0" applyNumberFormat="1" applyFont="1" applyFill="1" applyBorder="1" applyAlignment="1">
      <alignment horizontal="right" vertical="top"/>
    </xf>
    <xf numFmtId="169" fontId="41" fillId="16" borderId="24" xfId="0" applyNumberFormat="1" applyFont="1" applyFill="1" applyBorder="1" applyAlignment="1">
      <alignment horizontal="right" vertical="top"/>
    </xf>
    <xf numFmtId="37" fontId="0" fillId="6" borderId="8" xfId="1" applyNumberFormat="1" applyFont="1" applyFill="1" applyBorder="1" applyAlignment="1"/>
    <xf numFmtId="37" fontId="0" fillId="6" borderId="0" xfId="1" applyNumberFormat="1" applyFont="1" applyFill="1" applyBorder="1" applyAlignment="1"/>
    <xf numFmtId="37" fontId="7" fillId="6" borderId="9" xfId="1" applyNumberFormat="1" applyFont="1" applyFill="1" applyBorder="1" applyAlignment="1"/>
    <xf numFmtId="37" fontId="0" fillId="0" borderId="8" xfId="1" applyNumberFormat="1" applyFont="1" applyFill="1" applyBorder="1" applyAlignment="1"/>
    <xf numFmtId="37" fontId="0" fillId="0" borderId="10" xfId="1" applyNumberFormat="1" applyFont="1" applyFill="1" applyBorder="1" applyAlignment="1"/>
    <xf numFmtId="37" fontId="0" fillId="6" borderId="10" xfId="1" applyNumberFormat="1" applyFont="1" applyFill="1" applyBorder="1" applyAlignment="1"/>
    <xf numFmtId="37" fontId="0" fillId="6" borderId="0" xfId="1" applyNumberFormat="1" applyFont="1" applyFill="1" applyBorder="1" applyAlignment="1">
      <alignment horizontal="right"/>
    </xf>
    <xf numFmtId="37" fontId="0" fillId="6" borderId="0" xfId="1" applyNumberFormat="1" applyFont="1" applyFill="1" applyBorder="1" applyAlignment="1">
      <alignment horizontal="right" vertical="top"/>
    </xf>
    <xf numFmtId="37" fontId="0" fillId="6" borderId="10" xfId="1" applyNumberFormat="1" applyFont="1" applyFill="1" applyBorder="1" applyAlignment="1">
      <alignment horizontal="right" vertical="top"/>
    </xf>
    <xf numFmtId="181" fontId="7" fillId="6" borderId="3" xfId="1" applyNumberFormat="1" applyFont="1" applyFill="1" applyBorder="1" applyAlignment="1"/>
    <xf numFmtId="37" fontId="0" fillId="6" borderId="9" xfId="1" applyNumberFormat="1" applyFont="1" applyFill="1" applyBorder="1" applyAlignment="1"/>
    <xf numFmtId="37" fontId="0" fillId="6" borderId="9" xfId="1" applyNumberFormat="1" applyFont="1" applyFill="1" applyBorder="1" applyAlignment="1">
      <alignment horizontal="right"/>
    </xf>
    <xf numFmtId="3" fontId="0" fillId="6" borderId="0" xfId="1" applyNumberFormat="1" applyFont="1" applyFill="1" applyBorder="1" applyAlignment="1"/>
    <xf numFmtId="37" fontId="0" fillId="6" borderId="0" xfId="1" applyNumberFormat="1" applyFont="1" applyFill="1" applyBorder="1" applyAlignment="1">
      <alignment vertical="top"/>
    </xf>
    <xf numFmtId="37" fontId="0" fillId="6" borderId="10" xfId="1" applyNumberFormat="1" applyFont="1" applyFill="1" applyBorder="1" applyAlignment="1">
      <alignment vertical="top"/>
    </xf>
    <xf numFmtId="37" fontId="0" fillId="6" borderId="9" xfId="1" applyNumberFormat="1" applyFont="1" applyFill="1" applyBorder="1" applyAlignment="1">
      <alignment vertical="top"/>
    </xf>
    <xf numFmtId="3" fontId="0" fillId="0" borderId="0" xfId="1" applyNumberFormat="1" applyFont="1" applyFill="1" applyBorder="1" applyAlignment="1"/>
    <xf numFmtId="3" fontId="0" fillId="6" borderId="9" xfId="1" applyNumberFormat="1" applyFont="1" applyFill="1" applyBorder="1" applyAlignment="1">
      <alignment vertical="top"/>
    </xf>
    <xf numFmtId="37" fontId="7" fillId="6" borderId="3" xfId="1" applyNumberFormat="1" applyFont="1" applyFill="1" applyBorder="1" applyAlignment="1"/>
    <xf numFmtId="37" fontId="7" fillId="6" borderId="9" xfId="1" applyNumberFormat="1" applyFont="1" applyFill="1" applyBorder="1" applyAlignment="1">
      <alignment vertical="top"/>
    </xf>
    <xf numFmtId="3" fontId="2" fillId="0" borderId="0" xfId="0" applyNumberFormat="1" applyFont="1">
      <alignment vertical="top"/>
    </xf>
    <xf numFmtId="3" fontId="20" fillId="0" borderId="0" xfId="0" applyNumberFormat="1" applyFont="1">
      <alignment vertical="top"/>
    </xf>
    <xf numFmtId="3" fontId="41" fillId="10" borderId="16" xfId="0" applyNumberFormat="1" applyFont="1" applyFill="1" applyBorder="1" applyAlignment="1">
      <alignment vertical="top"/>
    </xf>
    <xf numFmtId="3" fontId="41" fillId="10" borderId="24" xfId="0" applyNumberFormat="1" applyFont="1" applyFill="1" applyBorder="1" applyAlignment="1">
      <alignment vertical="top"/>
    </xf>
    <xf numFmtId="3" fontId="42" fillId="0" borderId="10" xfId="0" applyNumberFormat="1" applyFont="1" applyBorder="1" applyAlignment="1">
      <alignment vertical="top"/>
    </xf>
    <xf numFmtId="3" fontId="42" fillId="0" borderId="21" xfId="0" applyNumberFormat="1" applyFont="1" applyBorder="1" applyAlignment="1">
      <alignment vertical="top"/>
    </xf>
    <xf numFmtId="3" fontId="46" fillId="0" borderId="0" xfId="0" applyNumberFormat="1" applyFont="1" applyBorder="1" applyAlignment="1">
      <alignment vertical="top"/>
    </xf>
    <xf numFmtId="3" fontId="46" fillId="0" borderId="20" xfId="0" applyNumberFormat="1" applyFont="1" applyBorder="1" applyAlignment="1">
      <alignment vertical="top"/>
    </xf>
    <xf numFmtId="3" fontId="42" fillId="0" borderId="11" xfId="0" applyNumberFormat="1" applyFont="1" applyBorder="1" applyAlignment="1">
      <alignment vertical="top"/>
    </xf>
    <xf numFmtId="3" fontId="42" fillId="0" borderId="22" xfId="0" applyNumberFormat="1" applyFont="1" applyBorder="1" applyAlignment="1">
      <alignment vertical="top"/>
    </xf>
    <xf numFmtId="3" fontId="46" fillId="0" borderId="0" xfId="1" applyNumberFormat="1" applyFont="1" applyBorder="1" applyAlignment="1">
      <alignment vertical="top"/>
    </xf>
    <xf numFmtId="3" fontId="46" fillId="0" borderId="20" xfId="1" applyNumberFormat="1" applyFont="1" applyBorder="1" applyAlignment="1">
      <alignment vertical="top"/>
    </xf>
    <xf numFmtId="3" fontId="41" fillId="8" borderId="16" xfId="0" applyNumberFormat="1" applyFont="1" applyFill="1" applyBorder="1" applyAlignment="1">
      <alignment vertical="top"/>
    </xf>
    <xf numFmtId="3" fontId="41" fillId="8" borderId="24" xfId="0" applyNumberFormat="1" applyFont="1" applyFill="1" applyBorder="1" applyAlignment="1">
      <alignment vertical="top"/>
    </xf>
    <xf numFmtId="3" fontId="41" fillId="12" borderId="16" xfId="1" applyNumberFormat="1" applyFont="1" applyFill="1" applyBorder="1" applyAlignment="1">
      <alignment vertical="top"/>
    </xf>
    <xf numFmtId="3" fontId="41" fillId="12" borderId="24" xfId="1" applyNumberFormat="1" applyFont="1" applyFill="1" applyBorder="1" applyAlignment="1">
      <alignment vertical="top"/>
    </xf>
    <xf numFmtId="3" fontId="46" fillId="0" borderId="0" xfId="0" applyNumberFormat="1" applyFont="1" applyFill="1" applyBorder="1" applyAlignment="1">
      <alignment vertical="top"/>
    </xf>
    <xf numFmtId="3" fontId="41" fillId="15" borderId="16" xfId="1" applyNumberFormat="1" applyFont="1" applyFill="1" applyBorder="1" applyAlignment="1">
      <alignment vertical="top"/>
    </xf>
    <xf numFmtId="3" fontId="41" fillId="15" borderId="24" xfId="1" applyNumberFormat="1" applyFont="1" applyFill="1" applyBorder="1" applyAlignment="1">
      <alignment vertical="top"/>
    </xf>
    <xf numFmtId="3" fontId="41" fillId="11" borderId="16" xfId="1" applyNumberFormat="1" applyFont="1" applyFill="1" applyBorder="1" applyAlignment="1">
      <alignment vertical="top"/>
    </xf>
    <xf numFmtId="3" fontId="41" fillId="11" borderId="24" xfId="1" applyNumberFormat="1" applyFont="1" applyFill="1" applyBorder="1" applyAlignment="1">
      <alignment vertical="top"/>
    </xf>
    <xf numFmtId="3" fontId="41" fillId="16" borderId="16" xfId="1" applyNumberFormat="1" applyFont="1" applyFill="1" applyBorder="1" applyAlignment="1">
      <alignment vertical="top"/>
    </xf>
    <xf numFmtId="3" fontId="41" fillId="16" borderId="24" xfId="1" applyNumberFormat="1" applyFont="1" applyFill="1" applyBorder="1" applyAlignment="1">
      <alignment vertical="top"/>
    </xf>
    <xf numFmtId="3" fontId="48" fillId="18" borderId="16" xfId="0" applyNumberFormat="1" applyFont="1" applyFill="1" applyBorder="1" applyAlignment="1">
      <alignment vertical="top"/>
    </xf>
    <xf numFmtId="3" fontId="48" fillId="18" borderId="24" xfId="0" applyNumberFormat="1" applyFont="1" applyFill="1" applyBorder="1" applyAlignment="1">
      <alignment vertical="top"/>
    </xf>
    <xf numFmtId="9" fontId="20" fillId="0" borderId="0" xfId="0" applyNumberFormat="1" applyFont="1">
      <alignment vertical="top"/>
    </xf>
    <xf numFmtId="9" fontId="0" fillId="0" borderId="0" xfId="0" applyNumberFormat="1" applyFont="1">
      <alignment vertical="top"/>
    </xf>
    <xf numFmtId="9" fontId="0" fillId="0" borderId="0" xfId="0" applyNumberFormat="1" applyFont="1" applyAlignment="1">
      <alignment vertical="top"/>
    </xf>
    <xf numFmtId="9" fontId="0" fillId="0" borderId="0" xfId="0" applyNumberFormat="1" applyFont="1" applyBorder="1">
      <alignment vertical="top"/>
    </xf>
    <xf numFmtId="9" fontId="7" fillId="0" borderId="0" xfId="0" applyNumberFormat="1" applyFont="1">
      <alignment vertical="top"/>
    </xf>
    <xf numFmtId="181" fontId="7" fillId="0" borderId="0" xfId="1" applyNumberFormat="1" applyFont="1" applyFill="1" applyBorder="1" applyAlignment="1"/>
    <xf numFmtId="3" fontId="0" fillId="0" borderId="0" xfId="0" applyNumberFormat="1" applyFont="1" applyFill="1" applyAlignment="1">
      <alignment vertical="top"/>
    </xf>
    <xf numFmtId="0" fontId="0" fillId="0" borderId="2" xfId="0" applyFont="1" applyFill="1" applyBorder="1">
      <alignment vertical="top"/>
    </xf>
    <xf numFmtId="3" fontId="6" fillId="0" borderId="10" xfId="1" applyNumberFormat="1" applyFont="1" applyFill="1" applyBorder="1" applyAlignment="1">
      <alignment horizontal="right" vertical="top"/>
    </xf>
    <xf numFmtId="0" fontId="0" fillId="6" borderId="9" xfId="0" applyNumberFormat="1" applyFont="1" applyFill="1" applyBorder="1" applyAlignment="1">
      <alignment horizontal="left" indent="1"/>
    </xf>
    <xf numFmtId="3" fontId="0" fillId="0" borderId="0" xfId="1" applyNumberFormat="1" applyFont="1" applyFill="1" applyBorder="1" applyAlignment="1">
      <alignment horizontal="right"/>
    </xf>
    <xf numFmtId="3" fontId="7" fillId="0" borderId="9" xfId="1" applyNumberFormat="1" applyFont="1" applyFill="1" applyBorder="1" applyAlignment="1">
      <alignment horizontal="right" vertical="top"/>
    </xf>
    <xf numFmtId="178" fontId="0" fillId="0" borderId="0" xfId="0" applyNumberFormat="1" applyFont="1" applyAlignment="1">
      <alignment vertical="top"/>
    </xf>
    <xf numFmtId="185" fontId="0" fillId="0" borderId="0" xfId="0" applyNumberFormat="1" applyFont="1">
      <alignment vertical="top"/>
    </xf>
    <xf numFmtId="3" fontId="0" fillId="0" borderId="0" xfId="0" applyNumberFormat="1" applyAlignment="1">
      <alignment horizontal="center" vertical="top"/>
    </xf>
    <xf numFmtId="0" fontId="42" fillId="0" borderId="0" xfId="0" applyFont="1" applyFill="1" applyBorder="1">
      <alignment vertical="top"/>
    </xf>
    <xf numFmtId="3" fontId="42" fillId="0" borderId="0" xfId="0" applyNumberFormat="1" applyFont="1" applyFill="1" applyBorder="1" applyAlignment="1">
      <alignment vertical="top"/>
    </xf>
    <xf numFmtId="0" fontId="50" fillId="0" borderId="0" xfId="0" applyFont="1" applyFill="1" applyBorder="1">
      <alignment vertical="top"/>
    </xf>
    <xf numFmtId="3" fontId="50" fillId="0" borderId="0" xfId="0" applyNumberFormat="1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3" fontId="41" fillId="0" borderId="0" xfId="0" applyNumberFormat="1" applyFont="1" applyFill="1" applyBorder="1" applyAlignment="1">
      <alignment vertical="top"/>
    </xf>
    <xf numFmtId="0" fontId="48" fillId="0" borderId="0" xfId="0" applyFont="1" applyFill="1" applyBorder="1" applyAlignment="1">
      <alignment vertical="top"/>
    </xf>
    <xf numFmtId="0" fontId="49" fillId="0" borderId="0" xfId="0" applyFont="1" applyFill="1" applyBorder="1" applyAlignment="1">
      <alignment vertical="top"/>
    </xf>
    <xf numFmtId="3" fontId="48" fillId="0" borderId="0" xfId="0" applyNumberFormat="1" applyFont="1" applyFill="1" applyBorder="1" applyAlignment="1">
      <alignment vertical="top"/>
    </xf>
    <xf numFmtId="0" fontId="45" fillId="0" borderId="0" xfId="0" applyFont="1" applyFill="1" applyBorder="1" applyAlignment="1"/>
    <xf numFmtId="0" fontId="45" fillId="0" borderId="0" xfId="0" applyFont="1" applyFill="1" applyBorder="1" applyAlignment="1">
      <alignment vertical="top"/>
    </xf>
    <xf numFmtId="3" fontId="45" fillId="0" borderId="0" xfId="0" applyNumberFormat="1" applyFont="1" applyFill="1" applyBorder="1" applyAlignment="1">
      <alignment horizontal="right" vertical="top"/>
    </xf>
    <xf numFmtId="0" fontId="48" fillId="17" borderId="26" xfId="0" applyFont="1" applyFill="1" applyBorder="1" applyAlignment="1">
      <alignment vertical="top"/>
    </xf>
    <xf numFmtId="0" fontId="53" fillId="17" borderId="27" xfId="0" applyFont="1" applyFill="1" applyBorder="1" applyAlignment="1">
      <alignment vertical="top"/>
    </xf>
    <xf numFmtId="3" fontId="52" fillId="17" borderId="27" xfId="0" applyNumberFormat="1" applyFont="1" applyFill="1" applyBorder="1" applyAlignment="1">
      <alignment horizontal="right" vertical="top"/>
    </xf>
    <xf numFmtId="3" fontId="52" fillId="17" borderId="28" xfId="0" applyNumberFormat="1" applyFont="1" applyFill="1" applyBorder="1" applyAlignment="1">
      <alignment horizontal="right" vertical="top"/>
    </xf>
    <xf numFmtId="3" fontId="45" fillId="0" borderId="0" xfId="0" applyNumberFormat="1" applyFont="1" applyFill="1" applyBorder="1" applyAlignment="1">
      <alignment vertical="top"/>
    </xf>
    <xf numFmtId="3" fontId="41" fillId="0" borderId="0" xfId="0" applyNumberFormat="1" applyFont="1" applyFill="1" applyBorder="1" applyAlignment="1">
      <alignment horizontal="right" vertical="top"/>
    </xf>
    <xf numFmtId="3" fontId="48" fillId="0" borderId="0" xfId="0" applyNumberFormat="1" applyFont="1" applyFill="1" applyBorder="1" applyAlignment="1">
      <alignment horizontal="right" vertical="top"/>
    </xf>
    <xf numFmtId="169" fontId="52" fillId="17" borderId="27" xfId="0" applyNumberFormat="1" applyFont="1" applyFill="1" applyBorder="1" applyAlignment="1">
      <alignment horizontal="right" vertical="top"/>
    </xf>
    <xf numFmtId="169" fontId="52" fillId="17" borderId="28" xfId="0" applyNumberFormat="1" applyFont="1" applyFill="1" applyBorder="1" applyAlignment="1">
      <alignment horizontal="right" vertical="top"/>
    </xf>
    <xf numFmtId="169" fontId="41" fillId="0" borderId="0" xfId="0" applyNumberFormat="1" applyFont="1" applyFill="1" applyBorder="1" applyAlignment="1">
      <alignment horizontal="right" vertical="top"/>
    </xf>
    <xf numFmtId="169" fontId="48" fillId="0" borderId="0" xfId="0" applyNumberFormat="1" applyFont="1" applyFill="1" applyBorder="1" applyAlignment="1">
      <alignment horizontal="right" vertical="top"/>
    </xf>
    <xf numFmtId="3" fontId="0" fillId="0" borderId="0" xfId="1" applyNumberFormat="1" applyFont="1" applyFill="1" applyBorder="1" applyAlignment="1">
      <alignment horizontal="right" wrapText="1"/>
    </xf>
    <xf numFmtId="0" fontId="7" fillId="0" borderId="3" xfId="0" applyNumberFormat="1" applyFont="1" applyFill="1" applyBorder="1" applyAlignment="1">
      <alignment horizontal="left"/>
    </xf>
    <xf numFmtId="3" fontId="0" fillId="0" borderId="3" xfId="6" applyNumberFormat="1" applyFont="1" applyFill="1" applyBorder="1" applyAlignment="1">
      <alignment horizontal="right" vertical="top"/>
    </xf>
    <xf numFmtId="165" fontId="46" fillId="0" borderId="0" xfId="0" applyNumberFormat="1" applyFont="1" applyBorder="1" applyAlignment="1">
      <alignment horizontal="right" vertical="top"/>
    </xf>
    <xf numFmtId="165" fontId="46" fillId="0" borderId="20" xfId="0" applyNumberFormat="1" applyFont="1" applyBorder="1" applyAlignment="1">
      <alignment horizontal="right" vertical="top"/>
    </xf>
    <xf numFmtId="165" fontId="41" fillId="10" borderId="16" xfId="0" applyNumberFormat="1" applyFont="1" applyFill="1" applyBorder="1" applyAlignment="1">
      <alignment horizontal="right" vertical="top"/>
    </xf>
    <xf numFmtId="165" fontId="41" fillId="10" borderId="24" xfId="0" applyNumberFormat="1" applyFont="1" applyFill="1" applyBorder="1" applyAlignment="1">
      <alignment horizontal="right" vertical="top"/>
    </xf>
    <xf numFmtId="165" fontId="42" fillId="0" borderId="10" xfId="0" applyNumberFormat="1" applyFont="1" applyBorder="1" applyAlignment="1">
      <alignment horizontal="right" vertical="top"/>
    </xf>
    <xf numFmtId="165" fontId="42" fillId="0" borderId="21" xfId="0" applyNumberFormat="1" applyFont="1" applyBorder="1" applyAlignment="1">
      <alignment horizontal="right" vertical="top"/>
    </xf>
    <xf numFmtId="165" fontId="42" fillId="0" borderId="11" xfId="0" applyNumberFormat="1" applyFont="1" applyBorder="1" applyAlignment="1">
      <alignment horizontal="right" vertical="top"/>
    </xf>
    <xf numFmtId="165" fontId="42" fillId="0" borderId="22" xfId="0" applyNumberFormat="1" applyFont="1" applyBorder="1" applyAlignment="1">
      <alignment horizontal="right" vertical="top"/>
    </xf>
    <xf numFmtId="165" fontId="46" fillId="0" borderId="0" xfId="1" applyNumberFormat="1" applyFont="1" applyBorder="1" applyAlignment="1">
      <alignment horizontal="right" vertical="top"/>
    </xf>
    <xf numFmtId="165" fontId="46" fillId="0" borderId="20" xfId="1" applyNumberFormat="1" applyFont="1" applyBorder="1" applyAlignment="1">
      <alignment horizontal="right" vertical="top"/>
    </xf>
    <xf numFmtId="165" fontId="41" fillId="8" borderId="16" xfId="0" applyNumberFormat="1" applyFont="1" applyFill="1" applyBorder="1" applyAlignment="1">
      <alignment horizontal="right" vertical="top"/>
    </xf>
    <xf numFmtId="165" fontId="41" fillId="8" borderId="24" xfId="0" applyNumberFormat="1" applyFont="1" applyFill="1" applyBorder="1" applyAlignment="1">
      <alignment horizontal="right" vertical="top"/>
    </xf>
    <xf numFmtId="165" fontId="41" fillId="12" borderId="16" xfId="1" applyNumberFormat="1" applyFont="1" applyFill="1" applyBorder="1" applyAlignment="1">
      <alignment horizontal="right" vertical="top"/>
    </xf>
    <xf numFmtId="165" fontId="41" fillId="12" borderId="24" xfId="1" applyNumberFormat="1" applyFont="1" applyFill="1" applyBorder="1" applyAlignment="1">
      <alignment horizontal="right" vertical="top"/>
    </xf>
    <xf numFmtId="165" fontId="46" fillId="0" borderId="0" xfId="0" applyNumberFormat="1" applyFont="1" applyFill="1" applyBorder="1" applyAlignment="1">
      <alignment horizontal="right" vertical="top"/>
    </xf>
    <xf numFmtId="165" fontId="41" fillId="15" borderId="16" xfId="1" applyNumberFormat="1" applyFont="1" applyFill="1" applyBorder="1" applyAlignment="1">
      <alignment horizontal="right" vertical="top"/>
    </xf>
    <xf numFmtId="165" fontId="41" fillId="15" borderId="24" xfId="1" applyNumberFormat="1" applyFont="1" applyFill="1" applyBorder="1" applyAlignment="1">
      <alignment horizontal="right" vertical="top"/>
    </xf>
    <xf numFmtId="165" fontId="41" fillId="11" borderId="16" xfId="1" applyNumberFormat="1" applyFont="1" applyFill="1" applyBorder="1" applyAlignment="1">
      <alignment horizontal="right" vertical="top"/>
    </xf>
    <xf numFmtId="165" fontId="41" fillId="11" borderId="24" xfId="1" applyNumberFormat="1" applyFont="1" applyFill="1" applyBorder="1" applyAlignment="1">
      <alignment horizontal="right" vertical="top"/>
    </xf>
    <xf numFmtId="165" fontId="41" fillId="16" borderId="16" xfId="1" applyNumberFormat="1" applyFont="1" applyFill="1" applyBorder="1" applyAlignment="1">
      <alignment horizontal="right" vertical="top"/>
    </xf>
    <xf numFmtId="165" fontId="41" fillId="16" borderId="24" xfId="1" applyNumberFormat="1" applyFont="1" applyFill="1" applyBorder="1" applyAlignment="1">
      <alignment horizontal="right" vertical="top"/>
    </xf>
    <xf numFmtId="165" fontId="48" fillId="18" borderId="16" xfId="0" applyNumberFormat="1" applyFont="1" applyFill="1" applyBorder="1" applyAlignment="1">
      <alignment horizontal="right" vertical="top"/>
    </xf>
    <xf numFmtId="165" fontId="48" fillId="18" borderId="24" xfId="0" applyNumberFormat="1" applyFont="1" applyFill="1" applyBorder="1" applyAlignment="1">
      <alignment horizontal="right" vertical="top"/>
    </xf>
    <xf numFmtId="165" fontId="42" fillId="6" borderId="21" xfId="0" applyNumberFormat="1" applyFont="1" applyFill="1" applyBorder="1" applyAlignment="1">
      <alignment horizontal="right" vertical="top"/>
    </xf>
    <xf numFmtId="165" fontId="42" fillId="6" borderId="22" xfId="0" applyNumberFormat="1" applyFont="1" applyFill="1" applyBorder="1" applyAlignment="1">
      <alignment horizontal="right" vertical="top"/>
    </xf>
    <xf numFmtId="165" fontId="41" fillId="15" borderId="24" xfId="0" applyNumberFormat="1" applyFont="1" applyFill="1" applyBorder="1" applyAlignment="1">
      <alignment horizontal="right" vertical="top"/>
    </xf>
    <xf numFmtId="165" fontId="41" fillId="11" borderId="24" xfId="0" applyNumberFormat="1" applyFont="1" applyFill="1" applyBorder="1" applyAlignment="1">
      <alignment horizontal="right" vertical="top"/>
    </xf>
    <xf numFmtId="165" fontId="41" fillId="16" borderId="24" xfId="0" applyNumberFormat="1" applyFont="1" applyFill="1" applyBorder="1" applyAlignment="1">
      <alignment horizontal="right" vertical="top"/>
    </xf>
    <xf numFmtId="165" fontId="52" fillId="17" borderId="28" xfId="0" applyNumberFormat="1" applyFont="1" applyFill="1" applyBorder="1" applyAlignment="1">
      <alignment horizontal="right" vertical="top"/>
    </xf>
    <xf numFmtId="43" fontId="0" fillId="0" borderId="0" xfId="1" applyFont="1" applyAlignment="1">
      <alignment vertical="top"/>
    </xf>
    <xf numFmtId="9" fontId="0" fillId="0" borderId="0" xfId="4" applyFont="1" applyAlignment="1">
      <alignment vertical="top"/>
    </xf>
    <xf numFmtId="43" fontId="0" fillId="0" borderId="0" xfId="1" applyFont="1" applyBorder="1" applyAlignment="1">
      <alignment horizontal="left" vertical="top"/>
    </xf>
    <xf numFmtId="0" fontId="74" fillId="19" borderId="29" xfId="0" applyFont="1" applyFill="1" applyBorder="1" applyAlignment="1">
      <alignment vertical="center"/>
    </xf>
    <xf numFmtId="0" fontId="74" fillId="19" borderId="29" xfId="0" applyFont="1" applyFill="1" applyBorder="1" applyAlignment="1">
      <alignment horizontal="center" vertical="center" wrapText="1"/>
    </xf>
    <xf numFmtId="0" fontId="74" fillId="19" borderId="29" xfId="0" applyFont="1" applyFill="1" applyBorder="1" applyAlignment="1">
      <alignment horizontal="right" vertical="center"/>
    </xf>
    <xf numFmtId="0" fontId="74" fillId="7" borderId="29" xfId="0" applyFont="1" applyFill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right" vertical="top"/>
    </xf>
    <xf numFmtId="3" fontId="42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41" fillId="9" borderId="18" xfId="0" applyFont="1" applyFill="1" applyBorder="1" applyAlignment="1">
      <alignment horizontal="right"/>
    </xf>
    <xf numFmtId="0" fontId="55" fillId="6" borderId="20" xfId="0" applyFont="1" applyFill="1" applyBorder="1" applyAlignment="1">
      <alignment horizontal="right"/>
    </xf>
    <xf numFmtId="0" fontId="76" fillId="0" borderId="0" xfId="0" applyFont="1">
      <alignment vertical="top"/>
    </xf>
    <xf numFmtId="0" fontId="76" fillId="0" borderId="0" xfId="0" applyFont="1" applyAlignment="1">
      <alignment horizontal="right" vertical="top"/>
    </xf>
    <xf numFmtId="0" fontId="77" fillId="0" borderId="0" xfId="0" applyFont="1">
      <alignment vertical="top"/>
    </xf>
    <xf numFmtId="0" fontId="17" fillId="0" borderId="0" xfId="0" applyFont="1">
      <alignment vertical="top"/>
    </xf>
    <xf numFmtId="0" fontId="74" fillId="20" borderId="0" xfId="0" applyFont="1" applyFill="1" applyBorder="1" applyAlignment="1">
      <alignment vertical="center" wrapText="1"/>
    </xf>
    <xf numFmtId="0" fontId="17" fillId="0" borderId="0" xfId="0" applyFont="1" applyBorder="1">
      <alignment vertical="top"/>
    </xf>
    <xf numFmtId="0" fontId="73" fillId="0" borderId="0" xfId="0" applyFont="1" applyFill="1" applyBorder="1" applyAlignment="1">
      <alignment horizontal="right" vertical="center"/>
    </xf>
    <xf numFmtId="0" fontId="78" fillId="0" borderId="0" xfId="0" applyFont="1" applyBorder="1">
      <alignment vertical="top"/>
    </xf>
    <xf numFmtId="3" fontId="0" fillId="0" borderId="0" xfId="0" applyNumberFormat="1" applyBorder="1">
      <alignment vertical="top"/>
    </xf>
    <xf numFmtId="0" fontId="73" fillId="0" borderId="0" xfId="0" applyFont="1" applyFill="1" applyBorder="1" applyAlignment="1">
      <alignment vertical="center"/>
    </xf>
    <xf numFmtId="0" fontId="17" fillId="6" borderId="0" xfId="0" applyFont="1" applyFill="1" applyBorder="1">
      <alignment vertical="top"/>
    </xf>
    <xf numFmtId="0" fontId="74" fillId="20" borderId="0" xfId="0" applyFont="1" applyFill="1" applyBorder="1" applyAlignment="1">
      <alignment vertical="center"/>
    </xf>
    <xf numFmtId="0" fontId="74" fillId="20" borderId="0" xfId="0" applyFont="1" applyFill="1" applyBorder="1" applyAlignment="1">
      <alignment horizontal="right" vertical="center"/>
    </xf>
    <xf numFmtId="0" fontId="74" fillId="20" borderId="0" xfId="0" applyFont="1" applyFill="1" applyBorder="1" applyAlignment="1">
      <alignment horizontal="center" vertical="center" wrapText="1"/>
    </xf>
    <xf numFmtId="182" fontId="73" fillId="0" borderId="0" xfId="1" applyNumberFormat="1" applyFont="1" applyFill="1" applyBorder="1" applyAlignment="1">
      <alignment horizontal="center" vertical="center" wrapText="1"/>
    </xf>
    <xf numFmtId="43" fontId="73" fillId="0" borderId="0" xfId="1" applyNumberFormat="1" applyFont="1" applyFill="1" applyBorder="1" applyAlignment="1">
      <alignment horizontal="center" vertical="center" wrapText="1"/>
    </xf>
    <xf numFmtId="181" fontId="73" fillId="0" borderId="0" xfId="1" applyNumberFormat="1" applyFont="1" applyFill="1" applyBorder="1" applyAlignment="1">
      <alignment horizontal="center" vertical="center" wrapText="1"/>
    </xf>
    <xf numFmtId="43" fontId="0" fillId="0" borderId="0" xfId="0" applyNumberFormat="1" applyBorder="1">
      <alignment vertical="top"/>
    </xf>
    <xf numFmtId="0" fontId="74" fillId="0" borderId="0" xfId="0" applyFont="1" applyFill="1" applyBorder="1" applyAlignment="1">
      <alignment vertical="center"/>
    </xf>
    <xf numFmtId="0" fontId="17" fillId="0" borderId="0" xfId="0" applyFont="1" applyFill="1" applyBorder="1">
      <alignment vertical="top"/>
    </xf>
    <xf numFmtId="182" fontId="74" fillId="0" borderId="0" xfId="1" applyNumberFormat="1" applyFont="1" applyFill="1" applyBorder="1" applyAlignment="1">
      <alignment horizontal="center" vertical="center" wrapText="1"/>
    </xf>
    <xf numFmtId="2" fontId="73" fillId="0" borderId="0" xfId="1" applyNumberFormat="1" applyFont="1" applyFill="1" applyBorder="1" applyAlignment="1">
      <alignment horizontal="right" vertical="center" wrapText="1"/>
    </xf>
    <xf numFmtId="183" fontId="73" fillId="0" borderId="0" xfId="1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right" vertical="center"/>
    </xf>
    <xf numFmtId="9" fontId="0" fillId="0" borderId="0" xfId="4" applyFont="1" applyBorder="1" applyAlignment="1">
      <alignment horizontal="right" vertical="top"/>
    </xf>
    <xf numFmtId="9" fontId="73" fillId="0" borderId="0" xfId="4" applyFont="1" applyFill="1" applyBorder="1" applyAlignment="1">
      <alignment horizontal="right" vertical="center" wrapText="1"/>
    </xf>
    <xf numFmtId="43" fontId="73" fillId="0" borderId="0" xfId="1" applyFont="1" applyFill="1" applyBorder="1" applyAlignment="1">
      <alignment horizontal="right" vertical="center" wrapText="1"/>
    </xf>
    <xf numFmtId="181" fontId="73" fillId="0" borderId="0" xfId="1" applyNumberFormat="1" applyFont="1" applyFill="1" applyBorder="1" applyAlignment="1">
      <alignment horizontal="right" vertical="center" wrapText="1"/>
    </xf>
    <xf numFmtId="9" fontId="0" fillId="0" borderId="0" xfId="4" applyFont="1" applyAlignment="1">
      <alignment horizontal="center" vertical="top"/>
    </xf>
    <xf numFmtId="182" fontId="20" fillId="0" borderId="0" xfId="1" applyNumberFormat="1" applyFont="1" applyAlignment="1">
      <alignment vertical="top"/>
    </xf>
    <xf numFmtId="10" fontId="46" fillId="0" borderId="0" xfId="4" applyNumberFormat="1" applyFont="1" applyFill="1" applyBorder="1" applyAlignment="1">
      <alignment vertical="top"/>
    </xf>
    <xf numFmtId="0" fontId="0" fillId="7" borderId="0" xfId="0" applyFill="1">
      <alignment vertical="top"/>
    </xf>
    <xf numFmtId="43" fontId="73" fillId="0" borderId="0" xfId="1" applyNumberFormat="1" applyFont="1" applyFill="1" applyBorder="1" applyAlignment="1">
      <alignment horizontal="center" vertical="center" wrapText="1"/>
    </xf>
    <xf numFmtId="43" fontId="20" fillId="0" borderId="0" xfId="1" applyFont="1" applyAlignment="1">
      <alignment vertical="top"/>
    </xf>
    <xf numFmtId="0" fontId="73" fillId="0" borderId="0" xfId="0" applyFont="1" applyFill="1" applyBorder="1" applyAlignment="1">
      <alignment vertical="center"/>
    </xf>
    <xf numFmtId="182" fontId="73" fillId="0" borderId="0" xfId="1" applyNumberFormat="1" applyFont="1" applyFill="1" applyBorder="1" applyAlignment="1">
      <alignment horizontal="center" vertical="center" wrapText="1"/>
    </xf>
    <xf numFmtId="43" fontId="73" fillId="0" borderId="0" xfId="1" applyNumberFormat="1" applyFont="1" applyFill="1" applyBorder="1" applyAlignment="1">
      <alignment horizontal="center" vertical="center" wrapText="1"/>
    </xf>
    <xf numFmtId="181" fontId="73" fillId="0" borderId="0" xfId="1" applyNumberFormat="1" applyFont="1" applyFill="1" applyBorder="1" applyAlignment="1">
      <alignment horizontal="center" vertical="center" wrapText="1"/>
    </xf>
    <xf numFmtId="183" fontId="17" fillId="0" borderId="0" xfId="0" applyNumberFormat="1" applyFont="1" applyBorder="1">
      <alignment vertical="top"/>
    </xf>
    <xf numFmtId="9" fontId="0" fillId="0" borderId="0" xfId="4" applyFont="1" applyBorder="1" applyAlignment="1">
      <alignment vertical="top"/>
    </xf>
    <xf numFmtId="9" fontId="17" fillId="0" borderId="0" xfId="4" applyFont="1" applyBorder="1" applyAlignment="1">
      <alignment vertical="top"/>
    </xf>
    <xf numFmtId="43" fontId="17" fillId="0" borderId="0" xfId="0" applyNumberFormat="1" applyFont="1" applyBorder="1" applyAlignment="1">
      <alignment horizontal="center" vertical="top" wrapText="1"/>
    </xf>
    <xf numFmtId="0" fontId="74" fillId="0" borderId="0" xfId="0" applyFont="1" applyFill="1" applyBorder="1" applyAlignment="1">
      <alignment horizontal="center" vertical="center" wrapText="1"/>
    </xf>
    <xf numFmtId="181" fontId="74" fillId="0" borderId="0" xfId="1" applyNumberFormat="1" applyFont="1" applyFill="1" applyBorder="1" applyAlignment="1">
      <alignment horizontal="center" vertical="center" wrapText="1"/>
    </xf>
    <xf numFmtId="3" fontId="22" fillId="0" borderId="0" xfId="0" quotePrefix="1" applyNumberFormat="1" applyFont="1" applyBorder="1" applyAlignment="1" applyProtection="1">
      <alignment horizontal="right"/>
    </xf>
    <xf numFmtId="182" fontId="73" fillId="0" borderId="0" xfId="1" applyNumberFormat="1" applyFont="1" applyFill="1" applyBorder="1" applyAlignment="1">
      <alignment horizontal="center" vertical="center" wrapText="1"/>
    </xf>
    <xf numFmtId="181" fontId="73" fillId="0" borderId="0" xfId="1" applyNumberFormat="1" applyFont="1" applyFill="1" applyBorder="1" applyAlignment="1">
      <alignment horizontal="center" vertical="center" wrapText="1"/>
    </xf>
    <xf numFmtId="182" fontId="73" fillId="0" borderId="0" xfId="1" applyNumberFormat="1" applyFont="1" applyFill="1" applyBorder="1" applyAlignment="1">
      <alignment horizontal="center" vertical="center" wrapText="1"/>
    </xf>
    <xf numFmtId="182" fontId="73" fillId="0" borderId="0" xfId="1" applyNumberFormat="1" applyFont="1" applyFill="1" applyBorder="1" applyAlignment="1">
      <alignment horizontal="center" vertical="center" wrapText="1"/>
    </xf>
    <xf numFmtId="43" fontId="73" fillId="0" borderId="0" xfId="1" applyNumberFormat="1" applyFont="1" applyFill="1" applyBorder="1" applyAlignment="1">
      <alignment horizontal="center" vertical="center" wrapText="1"/>
    </xf>
    <xf numFmtId="181" fontId="73" fillId="0" borderId="0" xfId="1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Border="1" applyAlignment="1">
      <alignment horizontal="left" indent="2"/>
    </xf>
    <xf numFmtId="0" fontId="0" fillId="0" borderId="2" xfId="0" applyNumberFormat="1" applyFont="1" applyBorder="1" applyAlignment="1">
      <alignment horizontal="left" vertical="top" indent="2"/>
    </xf>
    <xf numFmtId="0" fontId="6" fillId="0" borderId="2" xfId="0" applyNumberFormat="1" applyFont="1" applyBorder="1" applyAlignment="1">
      <alignment horizontal="left" vertical="top" indent="2"/>
    </xf>
    <xf numFmtId="3" fontId="0" fillId="0" borderId="0" xfId="0" applyNumberFormat="1" applyBorder="1" applyAlignment="1"/>
    <xf numFmtId="0" fontId="0" fillId="0" borderId="2" xfId="0" applyBorder="1" applyAlignment="1">
      <alignment horizontal="left" vertical="top" indent="2"/>
    </xf>
    <xf numFmtId="0" fontId="0" fillId="0" borderId="2" xfId="0" applyBorder="1" applyAlignment="1">
      <alignment horizontal="left" vertical="top" indent="1"/>
    </xf>
    <xf numFmtId="181" fontId="0" fillId="0" borderId="0" xfId="1" applyNumberFormat="1" applyFont="1" applyFill="1" applyBorder="1" applyAlignment="1"/>
    <xf numFmtId="49" fontId="0" fillId="0" borderId="0" xfId="1" applyNumberFormat="1" applyFont="1" applyFill="1" applyBorder="1" applyAlignment="1">
      <alignment horizontal="right"/>
    </xf>
    <xf numFmtId="181" fontId="0" fillId="0" borderId="0" xfId="1" applyNumberFormat="1" applyFont="1" applyBorder="1" applyAlignment="1"/>
    <xf numFmtId="181" fontId="26" fillId="0" borderId="0" xfId="1" applyNumberFormat="1" applyFont="1" applyFill="1" applyBorder="1" applyAlignment="1">
      <alignment vertical="top"/>
    </xf>
    <xf numFmtId="181" fontId="0" fillId="0" borderId="0" xfId="1" quotePrefix="1" applyNumberFormat="1" applyFont="1" applyFill="1" applyBorder="1" applyAlignment="1"/>
    <xf numFmtId="0" fontId="30" fillId="0" borderId="2" xfId="0" applyFont="1" applyFill="1" applyBorder="1" applyAlignment="1"/>
    <xf numFmtId="0" fontId="30" fillId="0" borderId="2" xfId="0" applyFont="1" applyBorder="1" applyAlignment="1"/>
    <xf numFmtId="49" fontId="30" fillId="0" borderId="2" xfId="0" applyNumberFormat="1" applyFont="1" applyFill="1" applyBorder="1" applyAlignment="1">
      <alignment horizontal="center"/>
    </xf>
    <xf numFmtId="49" fontId="30" fillId="0" borderId="2" xfId="0" applyNumberFormat="1" applyFont="1" applyFill="1" applyBorder="1" applyAlignment="1">
      <alignment wrapText="1"/>
    </xf>
    <xf numFmtId="4" fontId="6" fillId="0" borderId="0" xfId="1" applyNumberFormat="1" applyFont="1" applyFill="1" applyBorder="1" applyAlignment="1">
      <alignment horizontal="right"/>
    </xf>
    <xf numFmtId="0" fontId="72" fillId="0" borderId="0" xfId="0" applyFont="1">
      <alignment vertical="top"/>
    </xf>
    <xf numFmtId="0" fontId="79" fillId="0" borderId="0" xfId="0" applyFont="1" applyFill="1">
      <alignment vertical="top"/>
    </xf>
    <xf numFmtId="179" fontId="72" fillId="0" borderId="0" xfId="6" applyFont="1" applyBorder="1" applyAlignment="1">
      <alignment horizontal="left" vertical="top"/>
    </xf>
    <xf numFmtId="0" fontId="72" fillId="0" borderId="0" xfId="0" applyFont="1" applyAlignment="1">
      <alignment horizontal="left" vertical="top"/>
    </xf>
    <xf numFmtId="179" fontId="72" fillId="0" borderId="0" xfId="6" applyFont="1" applyFill="1" applyBorder="1" applyAlignment="1">
      <alignment horizontal="left" vertical="top"/>
    </xf>
    <xf numFmtId="0" fontId="72" fillId="0" borderId="0" xfId="0" applyFont="1" applyFill="1" applyAlignment="1">
      <alignment horizontal="left" vertical="top"/>
    </xf>
    <xf numFmtId="0" fontId="79" fillId="10" borderId="11" xfId="0" applyFont="1" applyFill="1" applyBorder="1" applyAlignment="1">
      <alignment horizontal="left"/>
    </xf>
    <xf numFmtId="179" fontId="72" fillId="0" borderId="0" xfId="6" applyFont="1" applyBorder="1">
      <alignment horizontal="right" vertical="top"/>
    </xf>
    <xf numFmtId="179" fontId="72" fillId="0" borderId="0" xfId="6" applyFont="1" applyFill="1" applyBorder="1">
      <alignment horizontal="right" vertical="top"/>
    </xf>
    <xf numFmtId="0" fontId="72" fillId="0" borderId="0" xfId="0" applyFont="1" applyFill="1">
      <alignment vertical="top"/>
    </xf>
    <xf numFmtId="0" fontId="72" fillId="13" borderId="11" xfId="0" applyFont="1" applyFill="1" applyBorder="1" applyAlignment="1">
      <alignment vertical="top"/>
    </xf>
    <xf numFmtId="0" fontId="79" fillId="12" borderId="11" xfId="0" applyFont="1" applyFill="1" applyBorder="1" applyAlignment="1">
      <alignment horizontal="right"/>
    </xf>
    <xf numFmtId="0" fontId="72" fillId="11" borderId="11" xfId="0" applyFont="1" applyFill="1" applyBorder="1">
      <alignment vertical="top"/>
    </xf>
    <xf numFmtId="179" fontId="72" fillId="16" borderId="11" xfId="6" applyFont="1" applyFill="1" applyBorder="1" applyAlignment="1">
      <alignment horizontal="left" vertical="top"/>
    </xf>
    <xf numFmtId="169" fontId="0" fillId="0" borderId="0" xfId="0" applyNumberFormat="1" applyFont="1" applyFill="1" applyBorder="1">
      <alignment vertical="top"/>
    </xf>
    <xf numFmtId="182" fontId="73" fillId="0" borderId="0" xfId="1" applyNumberFormat="1" applyFont="1" applyFill="1" applyBorder="1" applyAlignment="1">
      <alignment horizontal="center" vertical="center" wrapText="1"/>
    </xf>
    <xf numFmtId="37" fontId="0" fillId="0" borderId="0" xfId="1" applyNumberFormat="1" applyFont="1" applyFill="1" applyBorder="1" applyAlignment="1">
      <alignment horizontal="right" vertical="top"/>
    </xf>
    <xf numFmtId="9" fontId="46" fillId="0" borderId="0" xfId="4" applyFont="1" applyFill="1" applyBorder="1" applyAlignment="1">
      <alignment vertical="top"/>
    </xf>
    <xf numFmtId="0" fontId="73" fillId="0" borderId="0" xfId="0" applyFont="1" applyFill="1" applyBorder="1" applyAlignment="1">
      <alignment vertical="center"/>
    </xf>
    <xf numFmtId="182" fontId="73" fillId="0" borderId="0" xfId="1" applyNumberFormat="1" applyFont="1" applyFill="1" applyBorder="1" applyAlignment="1">
      <alignment horizontal="center" vertical="center" wrapText="1"/>
    </xf>
    <xf numFmtId="43" fontId="73" fillId="0" borderId="0" xfId="1" applyNumberFormat="1" applyFont="1" applyFill="1" applyBorder="1" applyAlignment="1">
      <alignment horizontal="center" vertical="center" wrapText="1"/>
    </xf>
    <xf numFmtId="182" fontId="73" fillId="0" borderId="0" xfId="1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vertical="center"/>
    </xf>
    <xf numFmtId="182" fontId="73" fillId="0" borderId="0" xfId="1" applyNumberFormat="1" applyFont="1" applyFill="1" applyBorder="1" applyAlignment="1">
      <alignment horizontal="center" vertical="center" wrapText="1"/>
    </xf>
    <xf numFmtId="43" fontId="73" fillId="0" borderId="0" xfId="1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vertical="center"/>
    </xf>
    <xf numFmtId="182" fontId="73" fillId="0" borderId="0" xfId="1" applyNumberFormat="1" applyFont="1" applyFill="1" applyBorder="1" applyAlignment="1">
      <alignment horizontal="center" vertical="center" wrapText="1"/>
    </xf>
    <xf numFmtId="43" fontId="73" fillId="0" borderId="0" xfId="1" applyNumberFormat="1" applyFont="1" applyFill="1" applyBorder="1" applyAlignment="1">
      <alignment horizontal="center" vertical="center" wrapText="1"/>
    </xf>
    <xf numFmtId="4" fontId="74" fillId="0" borderId="0" xfId="1" applyNumberFormat="1" applyFont="1" applyFill="1" applyBorder="1" applyAlignment="1">
      <alignment horizontal="right" vertical="center" wrapText="1"/>
    </xf>
    <xf numFmtId="4" fontId="73" fillId="0" borderId="0" xfId="1" applyNumberFormat="1" applyFont="1" applyFill="1" applyBorder="1" applyAlignment="1">
      <alignment horizontal="right" vertical="center" wrapText="1"/>
    </xf>
    <xf numFmtId="3" fontId="73" fillId="0" borderId="0" xfId="1" applyNumberFormat="1" applyFont="1" applyFill="1" applyBorder="1" applyAlignment="1">
      <alignment horizontal="right" vertical="center" wrapText="1"/>
    </xf>
    <xf numFmtId="186" fontId="73" fillId="0" borderId="0" xfId="12" applyNumberFormat="1" applyFont="1" applyFill="1" applyBorder="1" applyAlignment="1">
      <alignment horizontal="center" vertical="center" wrapText="1"/>
    </xf>
    <xf numFmtId="182" fontId="73" fillId="0" borderId="0" xfId="1" applyNumberFormat="1" applyFont="1" applyFill="1" applyBorder="1" applyAlignment="1">
      <alignment horizontal="left" vertical="center"/>
    </xf>
    <xf numFmtId="182" fontId="73" fillId="0" borderId="0" xfId="1" applyNumberFormat="1" applyFont="1" applyFill="1" applyBorder="1" applyAlignment="1">
      <alignment horizontal="center" vertical="center" wrapText="1"/>
    </xf>
    <xf numFmtId="181" fontId="73" fillId="0" borderId="0" xfId="1" applyNumberFormat="1" applyFont="1" applyFill="1" applyBorder="1" applyAlignment="1">
      <alignment horizontal="center" vertical="center" wrapText="1"/>
    </xf>
    <xf numFmtId="181" fontId="73" fillId="0" borderId="0" xfId="1" applyNumberFormat="1" applyFont="1" applyFill="1" applyBorder="1" applyAlignment="1">
      <alignment horizontal="center" vertical="center" wrapText="1"/>
    </xf>
    <xf numFmtId="43" fontId="73" fillId="0" borderId="0" xfId="1" applyNumberFormat="1" applyFont="1" applyFill="1" applyBorder="1" applyAlignment="1">
      <alignment horizontal="center" vertical="center" wrapText="1"/>
    </xf>
    <xf numFmtId="182" fontId="73" fillId="0" borderId="0" xfId="1" applyNumberFormat="1" applyFont="1" applyFill="1" applyBorder="1" applyAlignment="1">
      <alignment horizontal="center" vertical="center" wrapText="1"/>
    </xf>
    <xf numFmtId="182" fontId="73" fillId="0" borderId="0" xfId="1" applyNumberFormat="1" applyFont="1" applyFill="1" applyBorder="1" applyAlignment="1">
      <alignment horizontal="center" vertical="center" wrapText="1"/>
    </xf>
    <xf numFmtId="0" fontId="74" fillId="0" borderId="29" xfId="0" applyFont="1" applyFill="1" applyBorder="1" applyAlignment="1">
      <alignment horizontal="center" vertical="center" wrapText="1"/>
    </xf>
    <xf numFmtId="0" fontId="7" fillId="0" borderId="0" xfId="0" applyFont="1" applyBorder="1">
      <alignment vertical="top"/>
    </xf>
    <xf numFmtId="43" fontId="0" fillId="0" borderId="0" xfId="1" applyNumberFormat="1" applyFont="1" applyBorder="1" applyAlignment="1">
      <alignment vertical="top"/>
    </xf>
    <xf numFmtId="170" fontId="0" fillId="0" borderId="0" xfId="0" applyNumberFormat="1" applyBorder="1">
      <alignment vertical="top"/>
    </xf>
    <xf numFmtId="178" fontId="73" fillId="0" borderId="0" xfId="4" applyNumberFormat="1" applyFont="1" applyFill="1" applyBorder="1" applyAlignment="1">
      <alignment horizontal="right" vertical="center" wrapText="1"/>
    </xf>
    <xf numFmtId="178" fontId="17" fillId="0" borderId="0" xfId="4" applyNumberFormat="1" applyFont="1" applyBorder="1" applyAlignment="1">
      <alignment vertical="top"/>
    </xf>
    <xf numFmtId="188" fontId="73" fillId="0" borderId="0" xfId="1" applyNumberFormat="1" applyFont="1" applyFill="1" applyBorder="1" applyAlignment="1">
      <alignment horizontal="center" vertical="center" wrapText="1"/>
    </xf>
    <xf numFmtId="187" fontId="73" fillId="0" borderId="0" xfId="1" applyNumberFormat="1" applyFont="1" applyFill="1" applyBorder="1" applyAlignment="1">
      <alignment horizontal="center" vertical="center" wrapText="1"/>
    </xf>
    <xf numFmtId="182" fontId="0" fillId="0" borderId="0" xfId="0" applyNumberFormat="1" applyBorder="1">
      <alignment vertical="top"/>
    </xf>
    <xf numFmtId="181" fontId="0" fillId="0" borderId="0" xfId="0" applyNumberFormat="1" applyBorder="1">
      <alignment vertical="top"/>
    </xf>
    <xf numFmtId="0" fontId="78" fillId="0" borderId="0" xfId="0" applyFont="1" applyFill="1" applyBorder="1">
      <alignment vertical="top"/>
    </xf>
    <xf numFmtId="0" fontId="0" fillId="0" borderId="0" xfId="0" applyFont="1" applyAlignment="1">
      <alignment vertical="top" wrapText="1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30" fillId="0" borderId="4" xfId="0" applyNumberFormat="1" applyFont="1" applyFill="1" applyBorder="1" applyAlignment="1">
      <alignment vertical="top"/>
    </xf>
    <xf numFmtId="0" fontId="30" fillId="0" borderId="4" xfId="0" applyFont="1" applyFill="1" applyBorder="1" applyAlignment="1">
      <alignment vertical="top"/>
    </xf>
    <xf numFmtId="0" fontId="0" fillId="0" borderId="4" xfId="0" applyFont="1" applyFill="1" applyBorder="1" applyAlignment="1">
      <alignment horizontal="left" vertical="top"/>
    </xf>
    <xf numFmtId="49" fontId="0" fillId="21" borderId="0" xfId="0" applyNumberFormat="1" applyFont="1" applyFill="1" applyBorder="1" applyAlignment="1">
      <alignment horizontal="left" vertical="top"/>
    </xf>
    <xf numFmtId="49" fontId="80" fillId="0" borderId="2" xfId="0" applyNumberFormat="1" applyFont="1" applyBorder="1" applyAlignment="1"/>
    <xf numFmtId="0" fontId="80" fillId="0" borderId="0" xfId="0" applyFont="1" applyAlignment="1">
      <alignment horizontal="center" vertical="top"/>
    </xf>
    <xf numFmtId="49" fontId="80" fillId="0" borderId="2" xfId="0" applyNumberFormat="1" applyFont="1" applyBorder="1" applyAlignment="1">
      <alignment horizontal="center"/>
    </xf>
    <xf numFmtId="49" fontId="80" fillId="0" borderId="0" xfId="0" applyNumberFormat="1" applyFont="1" applyFill="1" applyBorder="1" applyAlignment="1">
      <alignment horizontal="center" vertical="top"/>
    </xf>
    <xf numFmtId="0" fontId="80" fillId="0" borderId="2" xfId="0" applyFont="1" applyFill="1" applyBorder="1" applyAlignment="1">
      <alignment horizontal="center" vertical="top"/>
    </xf>
    <xf numFmtId="181" fontId="80" fillId="0" borderId="0" xfId="1" applyNumberFormat="1" applyFont="1" applyFill="1" applyBorder="1" applyAlignment="1">
      <alignment horizontal="center" vertical="top"/>
    </xf>
    <xf numFmtId="0" fontId="80" fillId="0" borderId="0" xfId="0" applyFont="1" applyFill="1" applyBorder="1" applyAlignment="1">
      <alignment horizontal="center" vertical="top"/>
    </xf>
    <xf numFmtId="0" fontId="80" fillId="0" borderId="0" xfId="0" applyFont="1" applyFill="1" applyAlignment="1"/>
    <xf numFmtId="181" fontId="50" fillId="0" borderId="0" xfId="1" applyNumberFormat="1" applyFont="1" applyFill="1" applyBorder="1" applyAlignment="1">
      <alignment horizontal="right" vertical="top"/>
    </xf>
    <xf numFmtId="0" fontId="50" fillId="0" borderId="0" xfId="0" applyFont="1" applyFill="1" applyBorder="1" applyAlignment="1">
      <alignment horizontal="left" vertical="top"/>
    </xf>
    <xf numFmtId="0" fontId="50" fillId="0" borderId="2" xfId="0" applyFont="1" applyFill="1" applyBorder="1" applyAlignment="1">
      <alignment horizontal="left" vertical="top"/>
    </xf>
    <xf numFmtId="49" fontId="50" fillId="0" borderId="0" xfId="0" applyNumberFormat="1" applyFont="1" applyFill="1" applyBorder="1" applyAlignment="1">
      <alignment horizontal="left" vertical="top"/>
    </xf>
    <xf numFmtId="0" fontId="80" fillId="0" borderId="2" xfId="0" applyFont="1" applyFill="1" applyBorder="1" applyAlignment="1">
      <alignment horizontal="left" vertical="top"/>
    </xf>
    <xf numFmtId="49" fontId="50" fillId="0" borderId="2" xfId="0" applyNumberFormat="1" applyFont="1" applyFill="1" applyBorder="1" applyAlignment="1">
      <alignment horizontal="left" vertical="top"/>
    </xf>
    <xf numFmtId="0" fontId="50" fillId="0" borderId="0" xfId="0" quotePrefix="1" applyFont="1" applyFill="1" applyBorder="1" applyAlignment="1">
      <alignment horizontal="left" vertical="top"/>
    </xf>
    <xf numFmtId="0" fontId="80" fillId="0" borderId="0" xfId="0" applyFont="1" applyFill="1" applyAlignment="1">
      <alignment horizontal="left" vertical="top"/>
    </xf>
    <xf numFmtId="0" fontId="50" fillId="0" borderId="4" xfId="0" applyFont="1" applyFill="1" applyBorder="1" applyAlignment="1">
      <alignment horizontal="left" vertical="top"/>
    </xf>
    <xf numFmtId="49" fontId="50" fillId="21" borderId="2" xfId="0" applyNumberFormat="1" applyFont="1" applyFill="1" applyBorder="1" applyAlignment="1">
      <alignment horizontal="left" vertical="top"/>
    </xf>
    <xf numFmtId="0" fontId="50" fillId="0" borderId="2" xfId="0" applyFont="1" applyBorder="1" applyAlignment="1">
      <alignment horizontal="left" vertical="top"/>
    </xf>
    <xf numFmtId="0" fontId="80" fillId="11" borderId="2" xfId="0" applyNumberFormat="1" applyFont="1" applyFill="1" applyBorder="1" applyAlignment="1">
      <alignment horizontal="left" vertical="top"/>
    </xf>
    <xf numFmtId="49" fontId="80" fillId="25" borderId="2" xfId="0" applyNumberFormat="1" applyFont="1" applyFill="1" applyBorder="1" applyAlignment="1">
      <alignment horizontal="left" vertical="top"/>
    </xf>
    <xf numFmtId="181" fontId="80" fillId="0" borderId="0" xfId="1" applyNumberFormat="1" applyFont="1" applyFill="1" applyBorder="1" applyAlignment="1">
      <alignment horizontal="right" vertical="top"/>
    </xf>
    <xf numFmtId="49" fontId="80" fillId="0" borderId="0" xfId="0" applyNumberFormat="1" applyFont="1" applyFill="1" applyBorder="1" applyAlignment="1">
      <alignment horizontal="left" vertical="top"/>
    </xf>
    <xf numFmtId="49" fontId="80" fillId="0" borderId="2" xfId="0" applyNumberFormat="1" applyFont="1" applyFill="1" applyBorder="1" applyAlignment="1">
      <alignment horizontal="left" vertical="top"/>
    </xf>
    <xf numFmtId="49" fontId="80" fillId="0" borderId="0" xfId="0" applyNumberFormat="1" applyFont="1" applyFill="1" applyBorder="1" applyAlignment="1">
      <alignment horizontal="left"/>
    </xf>
    <xf numFmtId="0" fontId="80" fillId="0" borderId="0" xfId="0" applyFont="1" applyFill="1" applyAlignment="1">
      <alignment horizontal="right"/>
    </xf>
    <xf numFmtId="3" fontId="50" fillId="0" borderId="0" xfId="0" applyNumberFormat="1" applyFont="1" applyFill="1" applyBorder="1" applyAlignment="1">
      <alignment horizontal="right" vertical="top"/>
    </xf>
    <xf numFmtId="0" fontId="50" fillId="0" borderId="2" xfId="0" applyFont="1" applyFill="1" applyBorder="1" applyAlignment="1"/>
    <xf numFmtId="3" fontId="80" fillId="0" borderId="0" xfId="1" applyNumberFormat="1" applyFont="1" applyFill="1" applyBorder="1" applyAlignment="1">
      <alignment horizontal="right" vertical="top"/>
    </xf>
    <xf numFmtId="0" fontId="80" fillId="0" borderId="0" xfId="0" applyFont="1" applyFill="1" applyBorder="1" applyAlignment="1">
      <alignment horizontal="left" vertical="top"/>
    </xf>
    <xf numFmtId="0" fontId="81" fillId="0" borderId="0" xfId="0" applyFont="1" applyFill="1" applyBorder="1" applyAlignment="1">
      <alignment horizontal="left" vertical="top"/>
    </xf>
    <xf numFmtId="3" fontId="80" fillId="0" borderId="0" xfId="0" applyNumberFormat="1" applyFont="1" applyFill="1" applyBorder="1" applyAlignment="1">
      <alignment horizontal="right" vertical="top"/>
    </xf>
    <xf numFmtId="0" fontId="50" fillId="0" borderId="0" xfId="0" applyNumberFormat="1" applyFont="1" applyFill="1" applyBorder="1" applyAlignment="1">
      <alignment horizontal="left" vertical="top"/>
    </xf>
    <xf numFmtId="3" fontId="50" fillId="0" borderId="0" xfId="1" applyNumberFormat="1" applyFont="1" applyFill="1" applyBorder="1" applyAlignment="1">
      <alignment horizontal="right" vertical="top"/>
    </xf>
    <xf numFmtId="0" fontId="50" fillId="0" borderId="0" xfId="0" applyFont="1" applyFill="1" applyAlignment="1"/>
    <xf numFmtId="2" fontId="50" fillId="0" borderId="0" xfId="1" applyNumberFormat="1" applyFont="1" applyFill="1" applyBorder="1" applyAlignment="1">
      <alignment horizontal="right" vertical="top"/>
    </xf>
    <xf numFmtId="2" fontId="50" fillId="23" borderId="0" xfId="1" applyNumberFormat="1" applyFont="1" applyFill="1" applyBorder="1" applyAlignment="1">
      <alignment horizontal="right" vertical="top"/>
    </xf>
    <xf numFmtId="49" fontId="80" fillId="11" borderId="2" xfId="0" applyNumberFormat="1" applyFont="1" applyFill="1" applyBorder="1" applyAlignment="1">
      <alignment horizontal="left" vertical="top"/>
    </xf>
    <xf numFmtId="0" fontId="50" fillId="21" borderId="2" xfId="0" applyFont="1" applyFill="1" applyBorder="1" applyAlignment="1">
      <alignment horizontal="left" vertical="top"/>
    </xf>
    <xf numFmtId="2" fontId="50" fillId="0" borderId="0" xfId="0" applyNumberFormat="1" applyFont="1" applyFill="1" applyAlignment="1"/>
    <xf numFmtId="2" fontId="50" fillId="23" borderId="0" xfId="0" applyNumberFormat="1" applyFont="1" applyFill="1" applyAlignment="1"/>
    <xf numFmtId="0" fontId="50" fillId="0" borderId="0" xfId="1" applyNumberFormat="1" applyFont="1" applyFill="1" applyBorder="1" applyAlignment="1">
      <alignment horizontal="right" vertical="top"/>
    </xf>
    <xf numFmtId="3" fontId="50" fillId="0" borderId="0" xfId="0" applyNumberFormat="1" applyFont="1" applyFill="1" applyAlignment="1"/>
    <xf numFmtId="3" fontId="80" fillId="0" borderId="0" xfId="0" applyNumberFormat="1" applyFont="1" applyFill="1" applyAlignment="1"/>
    <xf numFmtId="0" fontId="50" fillId="0" borderId="0" xfId="0" applyFont="1" applyAlignment="1">
      <alignment horizontal="right" vertical="top"/>
    </xf>
    <xf numFmtId="0" fontId="50" fillId="0" borderId="0" xfId="0" applyFont="1" applyAlignment="1">
      <alignment horizontal="left" vertical="top"/>
    </xf>
    <xf numFmtId="0" fontId="50" fillId="0" borderId="0" xfId="0" applyFont="1">
      <alignment vertical="top"/>
    </xf>
    <xf numFmtId="0" fontId="50" fillId="0" borderId="0" xfId="0" applyFont="1" applyFill="1" applyAlignment="1">
      <alignment horizontal="right" vertical="top"/>
    </xf>
    <xf numFmtId="0" fontId="50" fillId="0" borderId="0" xfId="0" applyFont="1" applyFill="1" applyAlignment="1">
      <alignment horizontal="left" vertical="top"/>
    </xf>
    <xf numFmtId="3" fontId="50" fillId="0" borderId="0" xfId="0" applyNumberFormat="1" applyFont="1" applyFill="1" applyAlignment="1">
      <alignment horizontal="right" vertical="top"/>
    </xf>
    <xf numFmtId="0" fontId="80" fillId="0" borderId="2" xfId="0" applyFont="1" applyBorder="1" applyAlignment="1">
      <alignment horizontal="left" vertical="top"/>
    </xf>
    <xf numFmtId="0" fontId="85" fillId="0" borderId="0" xfId="0" applyFont="1" applyAlignment="1">
      <alignment horizontal="left" vertical="top"/>
    </xf>
    <xf numFmtId="0" fontId="80" fillId="16" borderId="2" xfId="0" applyNumberFormat="1" applyFont="1" applyFill="1" applyBorder="1" applyAlignment="1">
      <alignment horizontal="left" vertical="top"/>
    </xf>
    <xf numFmtId="0" fontId="86" fillId="0" borderId="2" xfId="0" applyFont="1" applyBorder="1" applyAlignment="1">
      <alignment horizontal="left" vertical="top"/>
    </xf>
    <xf numFmtId="172" fontId="50" fillId="0" borderId="0" xfId="0" applyNumberFormat="1" applyFont="1" applyAlignment="1">
      <alignment horizontal="right" vertical="top"/>
    </xf>
    <xf numFmtId="170" fontId="50" fillId="0" borderId="0" xfId="0" applyNumberFormat="1" applyFont="1" applyAlignment="1">
      <alignment horizontal="right" vertical="top"/>
    </xf>
    <xf numFmtId="3" fontId="80" fillId="26" borderId="0" xfId="0" applyNumberFormat="1" applyFont="1" applyFill="1" applyAlignment="1">
      <alignment horizontal="right" vertical="top"/>
    </xf>
    <xf numFmtId="0" fontId="50" fillId="26" borderId="2" xfId="0" applyFont="1" applyFill="1" applyBorder="1" applyAlignment="1">
      <alignment horizontal="left" vertical="top"/>
    </xf>
    <xf numFmtId="0" fontId="50" fillId="26" borderId="0" xfId="0" applyFont="1" applyFill="1" applyAlignment="1">
      <alignment horizontal="left" vertical="top"/>
    </xf>
    <xf numFmtId="43" fontId="50" fillId="0" borderId="0" xfId="0" applyNumberFormat="1" applyFont="1" applyAlignment="1">
      <alignment horizontal="right" vertical="top"/>
    </xf>
    <xf numFmtId="0" fontId="88" fillId="28" borderId="2" xfId="0" applyNumberFormat="1" applyFont="1" applyFill="1" applyBorder="1" applyAlignment="1">
      <alignment horizontal="left" vertical="top"/>
    </xf>
    <xf numFmtId="0" fontId="50" fillId="28" borderId="0" xfId="0" applyNumberFormat="1" applyFont="1" applyFill="1" applyBorder="1" applyAlignment="1">
      <alignment horizontal="right" vertical="top"/>
    </xf>
    <xf numFmtId="0" fontId="50" fillId="28" borderId="0" xfId="0" applyNumberFormat="1" applyFont="1" applyFill="1" applyBorder="1" applyAlignment="1">
      <alignment horizontal="left" vertical="top"/>
    </xf>
    <xf numFmtId="0" fontId="50" fillId="28" borderId="2" xfId="0" applyNumberFormat="1" applyFont="1" applyFill="1" applyBorder="1" applyAlignment="1">
      <alignment horizontal="left" vertical="top"/>
    </xf>
    <xf numFmtId="0" fontId="69" fillId="28" borderId="2" xfId="0" applyNumberFormat="1" applyFont="1" applyFill="1" applyBorder="1" applyAlignment="1">
      <alignment horizontal="left"/>
    </xf>
    <xf numFmtId="0" fontId="69" fillId="28" borderId="0" xfId="0" applyNumberFormat="1" applyFont="1" applyFill="1" applyBorder="1" applyAlignment="1">
      <alignment horizontal="left"/>
    </xf>
    <xf numFmtId="0" fontId="69" fillId="28" borderId="0" xfId="0" applyNumberFormat="1" applyFont="1" applyFill="1" applyBorder="1" applyAlignment="1">
      <alignment horizontal="center"/>
    </xf>
    <xf numFmtId="0" fontId="89" fillId="28" borderId="2" xfId="0" applyNumberFormat="1" applyFont="1" applyFill="1" applyBorder="1" applyAlignment="1">
      <alignment horizontal="left"/>
    </xf>
    <xf numFmtId="181" fontId="69" fillId="28" borderId="0" xfId="1" applyNumberFormat="1" applyFont="1" applyFill="1" applyBorder="1" applyAlignment="1">
      <alignment horizontal="left"/>
    </xf>
    <xf numFmtId="181" fontId="0" fillId="23" borderId="0" xfId="1" applyNumberFormat="1" applyFont="1" applyFill="1" applyAlignment="1">
      <alignment vertical="top"/>
    </xf>
    <xf numFmtId="181" fontId="0" fillId="23" borderId="0" xfId="1" applyNumberFormat="1" applyFont="1" applyFill="1" applyBorder="1" applyAlignment="1"/>
    <xf numFmtId="9" fontId="0" fillId="23" borderId="0" xfId="4" applyFont="1" applyFill="1" applyBorder="1" applyAlignment="1"/>
    <xf numFmtId="3" fontId="0" fillId="23" borderId="0" xfId="0" applyNumberFormat="1" applyFill="1" applyBorder="1" applyAlignment="1"/>
    <xf numFmtId="49" fontId="7" fillId="25" borderId="2" xfId="0" applyNumberFormat="1" applyFont="1" applyFill="1" applyBorder="1" applyAlignment="1">
      <alignment horizontal="left"/>
    </xf>
    <xf numFmtId="0" fontId="89" fillId="28" borderId="2" xfId="0" applyNumberFormat="1" applyFont="1" applyFill="1" applyBorder="1" applyAlignment="1"/>
    <xf numFmtId="0" fontId="7" fillId="11" borderId="2" xfId="0" applyNumberFormat="1" applyFont="1" applyFill="1" applyBorder="1" applyAlignment="1">
      <alignment horizontal="left"/>
    </xf>
    <xf numFmtId="0" fontId="7" fillId="16" borderId="2" xfId="0" applyNumberFormat="1" applyFont="1" applyFill="1" applyBorder="1" applyAlignment="1">
      <alignment horizontal="left"/>
    </xf>
    <xf numFmtId="49" fontId="80" fillId="9" borderId="2" xfId="0" applyNumberFormat="1" applyFont="1" applyFill="1" applyBorder="1" applyAlignment="1">
      <alignment horizontal="left" vertical="top"/>
    </xf>
    <xf numFmtId="49" fontId="7" fillId="20" borderId="2" xfId="0" applyNumberFormat="1" applyFont="1" applyFill="1" applyBorder="1" applyAlignment="1">
      <alignment horizontal="left"/>
    </xf>
    <xf numFmtId="49" fontId="7" fillId="9" borderId="2" xfId="0" applyNumberFormat="1" applyFont="1" applyFill="1" applyBorder="1" applyAlignment="1">
      <alignment horizontal="left"/>
    </xf>
    <xf numFmtId="0" fontId="89" fillId="28" borderId="0" xfId="0" applyNumberFormat="1" applyFont="1" applyFill="1" applyBorder="1" applyAlignment="1"/>
    <xf numFmtId="3" fontId="0" fillId="23" borderId="0" xfId="0" applyNumberFormat="1" applyFont="1" applyFill="1" applyAlignment="1">
      <alignment vertical="top"/>
    </xf>
    <xf numFmtId="49" fontId="0" fillId="21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right" indent="1"/>
    </xf>
    <xf numFmtId="0" fontId="0" fillId="0" borderId="4" xfId="0" applyFont="1" applyFill="1" applyBorder="1" applyAlignment="1"/>
    <xf numFmtId="0" fontId="89" fillId="28" borderId="5" xfId="0" applyNumberFormat="1" applyFont="1" applyFill="1" applyBorder="1" applyAlignment="1"/>
    <xf numFmtId="0" fontId="19" fillId="16" borderId="2" xfId="0" applyNumberFormat="1" applyFont="1" applyFill="1" applyBorder="1" applyAlignment="1">
      <alignment horizontal="left"/>
    </xf>
    <xf numFmtId="181" fontId="0" fillId="23" borderId="0" xfId="1" applyNumberFormat="1" applyFont="1" applyFill="1" applyBorder="1" applyAlignment="1">
      <alignment vertical="top"/>
    </xf>
    <xf numFmtId="181" fontId="7" fillId="23" borderId="0" xfId="1" applyNumberFormat="1" applyFont="1" applyFill="1" applyBorder="1" applyAlignment="1">
      <alignment horizontal="right" vertical="top"/>
    </xf>
    <xf numFmtId="0" fontId="69" fillId="28" borderId="5" xfId="0" applyNumberFormat="1" applyFont="1" applyFill="1" applyBorder="1" applyAlignment="1">
      <alignment horizontal="left"/>
    </xf>
    <xf numFmtId="0" fontId="19" fillId="0" borderId="2" xfId="0" applyNumberFormat="1" applyFont="1" applyFill="1" applyBorder="1" applyAlignment="1">
      <alignment horizontal="left" vertical="top"/>
    </xf>
    <xf numFmtId="49" fontId="7" fillId="26" borderId="2" xfId="0" applyNumberFormat="1" applyFont="1" applyFill="1" applyBorder="1" applyAlignment="1">
      <alignment vertical="top" wrapText="1"/>
    </xf>
    <xf numFmtId="3" fontId="7" fillId="26" borderId="0" xfId="0" applyNumberFormat="1" applyFont="1" applyFill="1" applyBorder="1" applyAlignment="1">
      <alignment horizontal="right"/>
    </xf>
    <xf numFmtId="0" fontId="7" fillId="26" borderId="0" xfId="0" applyFont="1" applyFill="1" applyBorder="1" applyAlignment="1">
      <alignment vertical="top"/>
    </xf>
    <xf numFmtId="0" fontId="0" fillId="26" borderId="0" xfId="0" applyFont="1" applyFill="1" applyAlignment="1">
      <alignment horizontal="center" vertical="top"/>
    </xf>
    <xf numFmtId="0" fontId="30" fillId="26" borderId="2" xfId="0" applyFont="1" applyFill="1" applyBorder="1">
      <alignment vertical="top"/>
    </xf>
    <xf numFmtId="0" fontId="7" fillId="26" borderId="0" xfId="0" applyFont="1" applyFill="1" applyBorder="1">
      <alignment vertical="top"/>
    </xf>
    <xf numFmtId="181" fontId="7" fillId="26" borderId="0" xfId="1" applyNumberFormat="1" applyFont="1" applyFill="1" applyBorder="1" applyAlignment="1"/>
    <xf numFmtId="0" fontId="7" fillId="26" borderId="0" xfId="0" applyFont="1" applyFill="1" applyBorder="1" applyAlignment="1"/>
    <xf numFmtId="49" fontId="7" fillId="26" borderId="0" xfId="0" applyNumberFormat="1" applyFont="1" applyFill="1" applyBorder="1" applyAlignment="1"/>
    <xf numFmtId="49" fontId="19" fillId="26" borderId="2" xfId="0" applyNumberFormat="1" applyFont="1" applyFill="1" applyBorder="1" applyAlignment="1"/>
    <xf numFmtId="3" fontId="80" fillId="27" borderId="0" xfId="0" applyNumberFormat="1" applyFont="1" applyFill="1" applyBorder="1" applyAlignment="1">
      <alignment horizontal="right" vertical="top"/>
    </xf>
    <xf numFmtId="181" fontId="7" fillId="27" borderId="0" xfId="1" applyNumberFormat="1" applyFont="1" applyFill="1" applyBorder="1" applyAlignment="1">
      <alignment vertical="top"/>
    </xf>
    <xf numFmtId="181" fontId="7" fillId="27" borderId="0" xfId="1" applyNumberFormat="1" applyFont="1" applyFill="1" applyBorder="1" applyAlignment="1">
      <alignment horizontal="left" vertical="top"/>
    </xf>
    <xf numFmtId="181" fontId="7" fillId="27" borderId="0" xfId="1" applyNumberFormat="1" applyFont="1" applyFill="1" applyBorder="1" applyAlignment="1">
      <alignment horizontal="center" vertical="top"/>
    </xf>
    <xf numFmtId="181" fontId="19" fillId="27" borderId="2" xfId="1" applyNumberFormat="1" applyFont="1" applyFill="1" applyBorder="1" applyAlignment="1">
      <alignment vertical="top"/>
    </xf>
    <xf numFmtId="181" fontId="7" fillId="0" borderId="0" xfId="1" applyNumberFormat="1" applyFont="1" applyAlignment="1">
      <alignment vertical="top"/>
    </xf>
    <xf numFmtId="4" fontId="0" fillId="26" borderId="0" xfId="0" applyNumberFormat="1" applyFill="1" applyAlignment="1">
      <alignment vertical="top"/>
    </xf>
    <xf numFmtId="0" fontId="0" fillId="26" borderId="0" xfId="0" applyFill="1" applyAlignment="1">
      <alignment vertical="top"/>
    </xf>
    <xf numFmtId="49" fontId="0" fillId="26" borderId="0" xfId="0" applyNumberFormat="1" applyFill="1" applyBorder="1" applyAlignment="1">
      <alignment vertical="top"/>
    </xf>
    <xf numFmtId="49" fontId="30" fillId="26" borderId="2" xfId="0" applyNumberFormat="1" applyFont="1" applyFill="1" applyBorder="1" applyAlignment="1">
      <alignment vertical="top"/>
    </xf>
    <xf numFmtId="49" fontId="0" fillId="26" borderId="0" xfId="0" applyNumberFormat="1" applyFont="1" applyFill="1" applyBorder="1" applyAlignment="1">
      <alignment horizontal="left" vertical="top"/>
    </xf>
    <xf numFmtId="49" fontId="30" fillId="26" borderId="2" xfId="0" applyNumberFormat="1" applyFont="1" applyFill="1" applyBorder="1" applyAlignment="1">
      <alignment horizontal="left" vertical="top"/>
    </xf>
    <xf numFmtId="3" fontId="7" fillId="26" borderId="0" xfId="0" applyNumberFormat="1" applyFont="1" applyFill="1" applyBorder="1" applyAlignment="1">
      <alignment horizontal="right" vertical="top"/>
    </xf>
    <xf numFmtId="0" fontId="7" fillId="26" borderId="0" xfId="0" applyFont="1" applyFill="1" applyBorder="1" applyAlignment="1">
      <alignment horizontal="left" vertical="top"/>
    </xf>
    <xf numFmtId="181" fontId="7" fillId="28" borderId="0" xfId="1" applyNumberFormat="1" applyFont="1" applyFill="1" applyBorder="1" applyAlignment="1">
      <alignment horizontal="center"/>
    </xf>
    <xf numFmtId="0" fontId="7" fillId="28" borderId="0" xfId="0" applyFont="1" applyFill="1" applyBorder="1" applyAlignment="1">
      <alignment horizontal="center"/>
    </xf>
    <xf numFmtId="49" fontId="69" fillId="28" borderId="2" xfId="0" applyNumberFormat="1" applyFont="1" applyFill="1" applyBorder="1" applyAlignment="1"/>
    <xf numFmtId="0" fontId="69" fillId="28" borderId="0" xfId="0" applyFont="1" applyFill="1" applyBorder="1" applyAlignment="1">
      <alignment horizontal="center"/>
    </xf>
    <xf numFmtId="49" fontId="69" fillId="28" borderId="0" xfId="0" applyNumberFormat="1" applyFont="1" applyFill="1" applyBorder="1" applyAlignment="1">
      <alignment horizontal="center"/>
    </xf>
    <xf numFmtId="49" fontId="69" fillId="28" borderId="2" xfId="0" applyNumberFormat="1" applyFont="1" applyFill="1" applyBorder="1" applyAlignment="1">
      <alignment horizontal="center"/>
    </xf>
    <xf numFmtId="3" fontId="7" fillId="24" borderId="0" xfId="0" applyNumberFormat="1" applyFont="1" applyFill="1" applyBorder="1" applyAlignment="1">
      <alignment horizontal="right" vertical="top"/>
    </xf>
    <xf numFmtId="3" fontId="0" fillId="22" borderId="0" xfId="0" applyNumberFormat="1" applyFont="1" applyFill="1" applyBorder="1" applyAlignment="1">
      <alignment horizontal="right" vertical="top"/>
    </xf>
    <xf numFmtId="3" fontId="7" fillId="23" borderId="0" xfId="0" applyNumberFormat="1" applyFont="1" applyFill="1" applyBorder="1" applyAlignment="1">
      <alignment horizontal="right" vertical="top"/>
    </xf>
    <xf numFmtId="181" fontId="69" fillId="28" borderId="0" xfId="0" applyNumberFormat="1" applyFont="1" applyFill="1" applyBorder="1" applyAlignment="1">
      <alignment horizontal="right"/>
    </xf>
    <xf numFmtId="0" fontId="69" fillId="28" borderId="0" xfId="0" applyNumberFormat="1" applyFont="1" applyFill="1" applyBorder="1" applyAlignment="1"/>
    <xf numFmtId="0" fontId="69" fillId="28" borderId="2" xfId="0" applyNumberFormat="1" applyFont="1" applyFill="1" applyBorder="1" applyAlignment="1">
      <alignment wrapText="1"/>
    </xf>
    <xf numFmtId="0" fontId="7" fillId="16" borderId="0" xfId="0" applyNumberFormat="1" applyFont="1" applyFill="1" applyBorder="1" applyAlignment="1">
      <alignment horizontal="right"/>
    </xf>
    <xf numFmtId="181" fontId="7" fillId="16" borderId="0" xfId="0" applyNumberFormat="1" applyFont="1" applyFill="1" applyBorder="1" applyAlignment="1">
      <alignment horizontal="right" vertical="top"/>
    </xf>
    <xf numFmtId="0" fontId="7" fillId="16" borderId="0" xfId="0" applyNumberFormat="1" applyFont="1" applyFill="1" applyBorder="1" applyAlignment="1">
      <alignment vertical="top"/>
    </xf>
    <xf numFmtId="0" fontId="7" fillId="16" borderId="2" xfId="0" applyNumberFormat="1" applyFont="1" applyFill="1" applyBorder="1" applyAlignment="1">
      <alignment vertical="top" wrapText="1"/>
    </xf>
    <xf numFmtId="181" fontId="0" fillId="16" borderId="0" xfId="0" applyNumberFormat="1" applyFill="1" applyBorder="1" applyAlignment="1">
      <alignment horizontal="right" vertical="top"/>
    </xf>
    <xf numFmtId="0" fontId="0" fillId="16" borderId="0" xfId="0" applyFill="1" applyBorder="1" applyAlignment="1">
      <alignment vertical="top"/>
    </xf>
    <xf numFmtId="49" fontId="0" fillId="16" borderId="0" xfId="0" applyNumberFormat="1" applyFill="1" applyBorder="1" applyAlignment="1">
      <alignment vertical="top"/>
    </xf>
    <xf numFmtId="49" fontId="0" fillId="16" borderId="2" xfId="0" applyNumberFormat="1" applyFont="1" applyFill="1" applyBorder="1" applyAlignment="1">
      <alignment vertical="top" wrapText="1"/>
    </xf>
    <xf numFmtId="181" fontId="0" fillId="23" borderId="0" xfId="1" applyNumberFormat="1" applyFont="1" applyFill="1" applyBorder="1" applyAlignment="1">
      <alignment horizontal="right" vertical="top"/>
    </xf>
    <xf numFmtId="3" fontId="0" fillId="23" borderId="0" xfId="0" applyNumberFormat="1" applyFont="1" applyFill="1" applyBorder="1" applyAlignment="1">
      <alignment horizontal="right" vertical="top" wrapText="1"/>
    </xf>
    <xf numFmtId="181" fontId="0" fillId="23" borderId="0" xfId="0" applyNumberFormat="1" applyFill="1" applyBorder="1" applyAlignment="1">
      <alignment horizontal="right" vertical="top"/>
    </xf>
    <xf numFmtId="49" fontId="6" fillId="21" borderId="0" xfId="0" applyNumberFormat="1" applyFont="1" applyFill="1" applyBorder="1" applyAlignment="1">
      <alignment vertical="top"/>
    </xf>
    <xf numFmtId="49" fontId="0" fillId="21" borderId="0" xfId="0" applyNumberFormat="1" applyFill="1" applyBorder="1" applyAlignment="1">
      <alignment vertical="top"/>
    </xf>
    <xf numFmtId="165" fontId="6" fillId="21" borderId="0" xfId="0" applyNumberFormat="1" applyFont="1" applyFill="1" applyBorder="1" applyAlignment="1">
      <alignment vertical="top"/>
    </xf>
    <xf numFmtId="49" fontId="0" fillId="21" borderId="2" xfId="0" applyNumberFormat="1" applyFont="1" applyFill="1" applyBorder="1" applyAlignment="1">
      <alignment vertical="top" wrapText="1"/>
    </xf>
    <xf numFmtId="165" fontId="0" fillId="21" borderId="2" xfId="0" applyNumberFormat="1" applyFont="1" applyFill="1" applyBorder="1" applyAlignment="1">
      <alignment vertical="top" wrapText="1"/>
    </xf>
    <xf numFmtId="0" fontId="0" fillId="21" borderId="2" xfId="0" applyFont="1" applyFill="1" applyBorder="1" applyAlignment="1">
      <alignment vertical="top" wrapText="1"/>
    </xf>
    <xf numFmtId="49" fontId="0" fillId="21" borderId="2" xfId="0" applyNumberFormat="1" applyFont="1" applyFill="1" applyBorder="1" applyAlignment="1">
      <alignment vertical="top"/>
    </xf>
    <xf numFmtId="181" fontId="25" fillId="0" borderId="0" xfId="1" applyNumberFormat="1" applyFont="1" applyFill="1" applyBorder="1" applyAlignment="1">
      <alignment horizontal="right" vertical="top"/>
    </xf>
    <xf numFmtId="3" fontId="6" fillId="23" borderId="0" xfId="0" applyNumberFormat="1" applyFont="1" applyFill="1" applyBorder="1" applyAlignment="1">
      <alignment horizontal="right" vertical="top" wrapText="1"/>
    </xf>
    <xf numFmtId="3" fontId="0" fillId="23" borderId="0" xfId="0" applyNumberFormat="1" applyFill="1" applyBorder="1" applyAlignment="1">
      <alignment horizontal="right" vertical="top"/>
    </xf>
    <xf numFmtId="49" fontId="7" fillId="24" borderId="2" xfId="0" applyNumberFormat="1" applyFont="1" applyFill="1" applyBorder="1" applyAlignment="1">
      <alignment horizontal="left"/>
    </xf>
    <xf numFmtId="0" fontId="0" fillId="24" borderId="2" xfId="0" applyFill="1" applyBorder="1">
      <alignment vertical="top"/>
    </xf>
    <xf numFmtId="0" fontId="0" fillId="24" borderId="2" xfId="0" applyFont="1" applyFill="1" applyBorder="1" applyAlignment="1">
      <alignment vertical="top" wrapText="1"/>
    </xf>
    <xf numFmtId="0" fontId="0" fillId="24" borderId="0" xfId="0" applyFill="1" applyBorder="1" applyAlignment="1">
      <alignment vertical="top"/>
    </xf>
    <xf numFmtId="0" fontId="70" fillId="28" borderId="0" xfId="0" applyFont="1" applyFill="1" applyBorder="1" applyAlignment="1">
      <alignment vertical="top"/>
    </xf>
    <xf numFmtId="49" fontId="70" fillId="28" borderId="0" xfId="0" applyNumberFormat="1" applyFont="1" applyFill="1" applyBorder="1" applyAlignment="1">
      <alignment vertical="top"/>
    </xf>
    <xf numFmtId="49" fontId="70" fillId="28" borderId="0" xfId="0" applyNumberFormat="1" applyFont="1" applyFill="1" applyBorder="1" applyAlignment="1">
      <alignment vertical="top" wrapText="1"/>
    </xf>
    <xf numFmtId="0" fontId="0" fillId="16" borderId="0" xfId="0" applyFill="1" applyBorder="1" applyAlignment="1"/>
    <xf numFmtId="49" fontId="0" fillId="16" borderId="0" xfId="0" applyNumberFormat="1" applyFill="1" applyBorder="1" applyAlignment="1"/>
    <xf numFmtId="0" fontId="69" fillId="16" borderId="2" xfId="0" applyNumberFormat="1" applyFont="1" applyFill="1" applyBorder="1" applyAlignment="1">
      <alignment horizontal="left"/>
    </xf>
    <xf numFmtId="0" fontId="70" fillId="16" borderId="0" xfId="0" applyFont="1" applyFill="1" applyBorder="1" applyAlignment="1">
      <alignment vertical="top"/>
    </xf>
    <xf numFmtId="49" fontId="70" fillId="16" borderId="0" xfId="0" applyNumberFormat="1" applyFont="1" applyFill="1" applyBorder="1" applyAlignment="1">
      <alignment vertical="top"/>
    </xf>
    <xf numFmtId="49" fontId="70" fillId="16" borderId="2" xfId="0" applyNumberFormat="1" applyFont="1" applyFill="1" applyBorder="1" applyAlignment="1">
      <alignment vertical="top" wrapText="1"/>
    </xf>
    <xf numFmtId="181" fontId="70" fillId="16" borderId="0" xfId="1" applyNumberFormat="1" applyFont="1" applyFill="1" applyBorder="1" applyAlignment="1">
      <alignment horizontal="right" vertical="top"/>
    </xf>
    <xf numFmtId="49" fontId="69" fillId="28" borderId="2" xfId="0" applyNumberFormat="1" applyFont="1" applyFill="1" applyBorder="1" applyAlignment="1">
      <alignment horizontal="left"/>
    </xf>
    <xf numFmtId="49" fontId="69" fillId="28" borderId="2" xfId="0" applyNumberFormat="1" applyFont="1" applyFill="1" applyBorder="1" applyAlignment="1">
      <alignment horizontal="center" wrapText="1"/>
    </xf>
    <xf numFmtId="181" fontId="69" fillId="28" borderId="0" xfId="1" applyNumberFormat="1" applyFont="1" applyFill="1" applyBorder="1" applyAlignment="1">
      <alignment horizontal="center" vertical="top"/>
    </xf>
    <xf numFmtId="49" fontId="0" fillId="0" borderId="2" xfId="0" applyNumberFormat="1" applyFont="1" applyBorder="1" applyAlignment="1">
      <alignment vertical="top" wrapText="1"/>
    </xf>
    <xf numFmtId="49" fontId="7" fillId="0" borderId="2" xfId="0" applyNumberFormat="1" applyFont="1" applyFill="1" applyBorder="1" applyAlignment="1">
      <alignment wrapText="1"/>
    </xf>
    <xf numFmtId="49" fontId="0" fillId="0" borderId="2" xfId="0" applyNumberFormat="1" applyFont="1" applyFill="1" applyBorder="1" applyAlignment="1">
      <alignment wrapText="1"/>
    </xf>
    <xf numFmtId="49" fontId="0" fillId="16" borderId="2" xfId="0" applyNumberFormat="1" applyFont="1" applyFill="1" applyBorder="1" applyAlignment="1">
      <alignment wrapText="1"/>
    </xf>
    <xf numFmtId="181" fontId="6" fillId="23" borderId="0" xfId="0" applyNumberFormat="1" applyFont="1" applyFill="1" applyBorder="1" applyAlignment="1">
      <alignment horizontal="right" vertical="top"/>
    </xf>
    <xf numFmtId="3" fontId="62" fillId="23" borderId="0" xfId="0" applyNumberFormat="1" applyFont="1" applyFill="1" applyBorder="1" applyAlignment="1">
      <alignment horizontal="right" vertical="top"/>
    </xf>
    <xf numFmtId="0" fontId="0" fillId="23" borderId="0" xfId="0" applyFill="1" applyBorder="1" applyAlignment="1">
      <alignment horizontal="right" vertical="top"/>
    </xf>
    <xf numFmtId="181" fontId="35" fillId="23" borderId="0" xfId="0" applyNumberFormat="1" applyFont="1" applyFill="1" applyBorder="1" applyAlignment="1">
      <alignment horizontal="right" vertical="top"/>
    </xf>
    <xf numFmtId="178" fontId="0" fillId="23" borderId="0" xfId="4" applyNumberFormat="1" applyFont="1" applyFill="1" applyBorder="1" applyAlignment="1">
      <alignment horizontal="right" vertical="top"/>
    </xf>
    <xf numFmtId="43" fontId="62" fillId="23" borderId="0" xfId="1" applyNumberFormat="1" applyFont="1" applyFill="1" applyBorder="1" applyAlignment="1">
      <alignment horizontal="right" vertical="top"/>
    </xf>
    <xf numFmtId="0" fontId="0" fillId="21" borderId="0" xfId="0" applyFill="1" applyAlignment="1">
      <alignment vertical="top"/>
    </xf>
    <xf numFmtId="0" fontId="0" fillId="16" borderId="0" xfId="0" applyFill="1">
      <alignment vertical="top"/>
    </xf>
    <xf numFmtId="3" fontId="70" fillId="28" borderId="0" xfId="0" applyNumberFormat="1" applyFont="1" applyFill="1" applyBorder="1" applyAlignment="1">
      <alignment horizontal="right"/>
    </xf>
    <xf numFmtId="0" fontId="70" fillId="28" borderId="0" xfId="0" applyFont="1" applyFill="1" applyBorder="1" applyAlignment="1">
      <alignment horizontal="left"/>
    </xf>
    <xf numFmtId="0" fontId="70" fillId="28" borderId="2" xfId="0" applyFont="1" applyFill="1" applyBorder="1" applyAlignment="1">
      <alignment horizontal="left"/>
    </xf>
    <xf numFmtId="49" fontId="70" fillId="28" borderId="0" xfId="0" applyNumberFormat="1" applyFont="1" applyFill="1" applyBorder="1" applyAlignment="1">
      <alignment horizontal="left" vertical="top"/>
    </xf>
    <xf numFmtId="49" fontId="70" fillId="28" borderId="2" xfId="0" applyNumberFormat="1" applyFont="1" applyFill="1" applyBorder="1" applyAlignment="1">
      <alignment horizontal="left" vertical="top"/>
    </xf>
    <xf numFmtId="49" fontId="7" fillId="24" borderId="2" xfId="0" applyNumberFormat="1" applyFont="1" applyFill="1" applyBorder="1" applyAlignment="1">
      <alignment horizontal="left" vertical="top" wrapText="1"/>
    </xf>
    <xf numFmtId="0" fontId="7" fillId="24" borderId="0" xfId="0" applyFont="1" applyFill="1" applyBorder="1" applyAlignment="1">
      <alignment vertical="top"/>
    </xf>
    <xf numFmtId="0" fontId="7" fillId="24" borderId="2" xfId="0" applyFont="1" applyFill="1" applyBorder="1" applyAlignment="1">
      <alignment vertical="top"/>
    </xf>
    <xf numFmtId="49" fontId="0" fillId="24" borderId="0" xfId="0" applyNumberFormat="1" applyFont="1" applyFill="1" applyBorder="1" applyAlignment="1">
      <alignment vertical="top"/>
    </xf>
    <xf numFmtId="49" fontId="0" fillId="24" borderId="2" xfId="0" applyNumberFormat="1" applyFont="1" applyFill="1" applyBorder="1" applyAlignment="1">
      <alignment vertical="top"/>
    </xf>
    <xf numFmtId="0" fontId="0" fillId="11" borderId="2" xfId="0" applyNumberFormat="1" applyFont="1" applyFill="1" applyBorder="1" applyAlignment="1">
      <alignment horizontal="left"/>
    </xf>
    <xf numFmtId="49" fontId="70" fillId="28" borderId="2" xfId="0" applyNumberFormat="1" applyFont="1" applyFill="1" applyBorder="1" applyAlignment="1">
      <alignment vertical="top"/>
    </xf>
    <xf numFmtId="9" fontId="0" fillId="0" borderId="0" xfId="4" applyFont="1" applyFill="1" applyBorder="1" applyAlignment="1">
      <alignment horizontal="right" vertical="top"/>
    </xf>
    <xf numFmtId="0" fontId="7" fillId="0" borderId="2" xfId="0" applyNumberFormat="1" applyFont="1" applyFill="1" applyBorder="1" applyAlignment="1"/>
    <xf numFmtId="0" fontId="71" fillId="26" borderId="2" xfId="0" applyFont="1" applyFill="1" applyBorder="1" applyAlignment="1">
      <alignment vertical="top"/>
    </xf>
    <xf numFmtId="49" fontId="0" fillId="26" borderId="2" xfId="0" applyNumberFormat="1" applyFont="1" applyFill="1" applyBorder="1" applyAlignment="1">
      <alignment horizontal="left" vertical="top"/>
    </xf>
    <xf numFmtId="3" fontId="0" fillId="22" borderId="0" xfId="1" applyNumberFormat="1" applyFont="1" applyFill="1" applyBorder="1" applyAlignment="1">
      <alignment horizontal="right" vertical="top"/>
    </xf>
    <xf numFmtId="3" fontId="0" fillId="22" borderId="0" xfId="0" applyNumberFormat="1" applyFill="1" applyBorder="1" applyAlignment="1">
      <alignment horizontal="right"/>
    </xf>
    <xf numFmtId="10" fontId="20" fillId="0" borderId="0" xfId="0" applyNumberFormat="1" applyFont="1">
      <alignment vertical="top"/>
    </xf>
    <xf numFmtId="49" fontId="7" fillId="28" borderId="2" xfId="0" applyNumberFormat="1" applyFont="1" applyFill="1" applyBorder="1" applyAlignment="1">
      <alignment horizontal="left"/>
    </xf>
    <xf numFmtId="49" fontId="69" fillId="29" borderId="2" xfId="0" applyNumberFormat="1" applyFont="1" applyFill="1" applyBorder="1" applyAlignment="1"/>
    <xf numFmtId="3" fontId="69" fillId="29" borderId="0" xfId="0" applyNumberFormat="1" applyFont="1" applyFill="1" applyBorder="1" applyAlignment="1">
      <alignment horizontal="right"/>
    </xf>
    <xf numFmtId="0" fontId="70" fillId="29" borderId="0" xfId="0" applyFont="1" applyFill="1" applyBorder="1" applyAlignment="1">
      <alignment horizontal="left"/>
    </xf>
    <xf numFmtId="0" fontId="70" fillId="29" borderId="2" xfId="0" applyFont="1" applyFill="1" applyBorder="1" applyAlignment="1">
      <alignment horizontal="left"/>
    </xf>
    <xf numFmtId="3" fontId="69" fillId="29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6" fillId="0" borderId="5" xfId="0" applyNumberFormat="1" applyFont="1" applyBorder="1" applyAlignment="1">
      <alignment horizontal="right" vertical="top" indent="1"/>
    </xf>
    <xf numFmtId="3" fontId="6" fillId="0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/>
    <xf numFmtId="0" fontId="70" fillId="29" borderId="0" xfId="0" applyFont="1" applyFill="1" applyBorder="1" applyAlignment="1">
      <alignment horizontal="right"/>
    </xf>
    <xf numFmtId="49" fontId="70" fillId="29" borderId="0" xfId="0" applyNumberFormat="1" applyFont="1" applyFill="1" applyBorder="1" applyAlignment="1">
      <alignment horizontal="left"/>
    </xf>
    <xf numFmtId="49" fontId="70" fillId="29" borderId="2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19" fillId="0" borderId="2" xfId="1" applyNumberFormat="1" applyFont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4" fontId="6" fillId="0" borderId="0" xfId="0" applyNumberFormat="1" applyFont="1" applyFill="1" applyAlignment="1"/>
    <xf numFmtId="164" fontId="6" fillId="0" borderId="0" xfId="0" applyNumberFormat="1" applyFont="1" applyFill="1" applyAlignment="1"/>
    <xf numFmtId="3" fontId="6" fillId="0" borderId="0" xfId="0" applyNumberFormat="1" applyFont="1" applyFill="1">
      <alignment vertical="top"/>
    </xf>
    <xf numFmtId="0" fontId="90" fillId="0" borderId="0" xfId="0" applyFont="1">
      <alignment vertical="top"/>
    </xf>
    <xf numFmtId="0" fontId="7" fillId="0" borderId="10" xfId="0" applyFont="1" applyBorder="1">
      <alignment vertical="top"/>
    </xf>
    <xf numFmtId="0" fontId="7" fillId="0" borderId="30" xfId="0" applyFont="1" applyBorder="1">
      <alignment vertical="top"/>
    </xf>
    <xf numFmtId="0" fontId="7" fillId="0" borderId="31" xfId="0" applyFont="1" applyBorder="1">
      <alignment vertical="top"/>
    </xf>
    <xf numFmtId="49" fontId="19" fillId="0" borderId="4" xfId="1" applyNumberFormat="1" applyFont="1" applyBorder="1" applyAlignment="1">
      <alignment horizontal="center"/>
    </xf>
    <xf numFmtId="0" fontId="89" fillId="28" borderId="4" xfId="0" applyNumberFormat="1" applyFont="1" applyFill="1" applyBorder="1" applyAlignment="1"/>
    <xf numFmtId="0" fontId="19" fillId="0" borderId="4" xfId="0" applyNumberFormat="1" applyFont="1" applyFill="1" applyBorder="1" applyAlignment="1"/>
    <xf numFmtId="0" fontId="63" fillId="0" borderId="4" xfId="10" applyNumberForma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/>
    </xf>
    <xf numFmtId="0" fontId="0" fillId="16" borderId="0" xfId="0" applyFont="1" applyFill="1" applyBorder="1" applyAlignment="1"/>
    <xf numFmtId="0" fontId="0" fillId="16" borderId="2" xfId="0" applyFont="1" applyFill="1" applyBorder="1" applyAlignment="1"/>
    <xf numFmtId="0" fontId="7" fillId="16" borderId="4" xfId="0" applyNumberFormat="1" applyFont="1" applyFill="1" applyBorder="1" applyAlignment="1">
      <alignment horizontal="left"/>
    </xf>
    <xf numFmtId="0" fontId="30" fillId="0" borderId="4" xfId="0" applyFont="1" applyBorder="1" applyAlignment="1">
      <alignment vertical="top"/>
    </xf>
    <xf numFmtId="49" fontId="0" fillId="0" borderId="2" xfId="0" applyNumberFormat="1" applyFont="1" applyFill="1" applyBorder="1">
      <alignment vertical="top"/>
    </xf>
    <xf numFmtId="0" fontId="0" fillId="26" borderId="2" xfId="0" applyFont="1" applyFill="1" applyBorder="1" applyAlignment="1"/>
    <xf numFmtId="49" fontId="30" fillId="26" borderId="4" xfId="0" applyNumberFormat="1" applyFont="1" applyFill="1" applyBorder="1" applyAlignment="1">
      <alignment vertical="top"/>
    </xf>
    <xf numFmtId="49" fontId="19" fillId="0" borderId="4" xfId="0" applyNumberFormat="1" applyFont="1" applyFill="1" applyBorder="1" applyAlignment="1">
      <alignment vertical="top"/>
    </xf>
    <xf numFmtId="49" fontId="19" fillId="0" borderId="4" xfId="0" applyNumberFormat="1" applyFont="1" applyFill="1" applyBorder="1" applyAlignment="1"/>
    <xf numFmtId="3" fontId="30" fillId="0" borderId="4" xfId="0" applyNumberFormat="1" applyFont="1" applyFill="1" applyBorder="1" applyAlignment="1">
      <alignment vertical="top"/>
    </xf>
    <xf numFmtId="0" fontId="0" fillId="0" borderId="2" xfId="0" applyNumberFormat="1" applyFont="1" applyFill="1" applyBorder="1" applyAlignment="1">
      <alignment horizontal="left"/>
    </xf>
    <xf numFmtId="0" fontId="95" fillId="0" borderId="0" xfId="0" applyFont="1" applyBorder="1" applyAlignment="1">
      <alignment vertical="center"/>
    </xf>
    <xf numFmtId="0" fontId="95" fillId="0" borderId="0" xfId="0" applyFont="1" applyFill="1" applyBorder="1" applyAlignment="1">
      <alignment vertical="center"/>
    </xf>
    <xf numFmtId="0" fontId="93" fillId="34" borderId="0" xfId="0" applyFont="1" applyFill="1" applyBorder="1" applyAlignment="1">
      <alignment vertical="center"/>
    </xf>
    <xf numFmtId="0" fontId="95" fillId="34" borderId="0" xfId="0" applyFont="1" applyFill="1" applyBorder="1" applyAlignment="1">
      <alignment vertical="top"/>
    </xf>
    <xf numFmtId="0" fontId="92" fillId="31" borderId="0" xfId="0" applyNumberFormat="1" applyFont="1" applyFill="1" applyBorder="1" applyAlignment="1" applyProtection="1">
      <alignment vertical="center"/>
    </xf>
    <xf numFmtId="0" fontId="94" fillId="30" borderId="0" xfId="0" applyNumberFormat="1" applyFont="1" applyFill="1" applyBorder="1" applyAlignment="1" applyProtection="1">
      <alignment vertical="top"/>
    </xf>
    <xf numFmtId="0" fontId="93" fillId="24" borderId="0" xfId="0" applyFont="1" applyFill="1" applyBorder="1" applyAlignment="1">
      <alignment vertical="center"/>
    </xf>
    <xf numFmtId="0" fontId="94" fillId="24" borderId="0" xfId="0" applyNumberFormat="1" applyFont="1" applyFill="1" applyBorder="1" applyAlignment="1" applyProtection="1">
      <alignment vertical="top"/>
    </xf>
    <xf numFmtId="0" fontId="94" fillId="23" borderId="0" xfId="0" applyNumberFormat="1" applyFont="1" applyFill="1" applyBorder="1" applyAlignment="1" applyProtection="1">
      <alignment vertical="top"/>
    </xf>
    <xf numFmtId="0" fontId="94" fillId="31" borderId="0" xfId="0" applyNumberFormat="1" applyFont="1" applyFill="1" applyBorder="1" applyAlignment="1" applyProtection="1">
      <alignment vertical="top"/>
    </xf>
    <xf numFmtId="0" fontId="95" fillId="30" borderId="0" xfId="0" applyFont="1" applyFill="1" applyBorder="1" applyAlignment="1">
      <alignment vertical="top"/>
    </xf>
    <xf numFmtId="0" fontId="93" fillId="32" borderId="0" xfId="0" applyFont="1" applyFill="1" applyBorder="1" applyAlignment="1">
      <alignment vertical="center"/>
    </xf>
    <xf numFmtId="0" fontId="95" fillId="32" borderId="0" xfId="0" applyFont="1" applyFill="1" applyBorder="1" applyAlignment="1">
      <alignment vertical="top"/>
    </xf>
    <xf numFmtId="0" fontId="95" fillId="33" borderId="0" xfId="0" applyFont="1" applyFill="1" applyBorder="1" applyAlignment="1">
      <alignment vertical="top"/>
    </xf>
    <xf numFmtId="0" fontId="95" fillId="21" borderId="0" xfId="0" applyFont="1" applyFill="1" applyBorder="1" applyAlignment="1">
      <alignment vertical="top"/>
    </xf>
    <xf numFmtId="0" fontId="93" fillId="35" borderId="0" xfId="0" applyFont="1" applyFill="1" applyBorder="1" applyAlignment="1">
      <alignment vertical="center"/>
    </xf>
    <xf numFmtId="0" fontId="95" fillId="35" borderId="0" xfId="0" applyFont="1" applyFill="1" applyBorder="1" applyAlignment="1">
      <alignment vertical="top"/>
    </xf>
    <xf numFmtId="0" fontId="95" fillId="36" borderId="0" xfId="0" applyFont="1" applyFill="1" applyBorder="1" applyAlignment="1">
      <alignment vertical="top"/>
    </xf>
    <xf numFmtId="0" fontId="95" fillId="37" borderId="0" xfId="0" applyFont="1" applyFill="1" applyBorder="1" applyAlignment="1">
      <alignment vertical="top"/>
    </xf>
    <xf numFmtId="3" fontId="0" fillId="16" borderId="0" xfId="0" applyNumberFormat="1" applyFont="1" applyFill="1" applyAlignment="1">
      <alignment vertical="top"/>
    </xf>
    <xf numFmtId="0" fontId="0" fillId="16" borderId="0" xfId="0" applyFont="1" applyFill="1" applyBorder="1" applyAlignment="1">
      <alignment vertical="top"/>
    </xf>
    <xf numFmtId="49" fontId="0" fillId="16" borderId="0" xfId="0" applyNumberFormat="1" applyFont="1" applyFill="1" applyBorder="1" applyAlignment="1">
      <alignment vertical="top"/>
    </xf>
    <xf numFmtId="49" fontId="30" fillId="16" borderId="2" xfId="0" applyNumberFormat="1" applyFont="1" applyFill="1" applyBorder="1" applyAlignment="1">
      <alignment vertical="top"/>
    </xf>
    <xf numFmtId="49" fontId="7" fillId="16" borderId="2" xfId="0" applyNumberFormat="1" applyFont="1" applyFill="1" applyBorder="1">
      <alignment vertical="top"/>
    </xf>
    <xf numFmtId="0" fontId="87" fillId="0" borderId="2" xfId="10" applyFont="1" applyFill="1" applyBorder="1" applyAlignment="1">
      <alignment horizontal="left" vertical="top"/>
    </xf>
    <xf numFmtId="0" fontId="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/>
    <xf numFmtId="0" fontId="0" fillId="16" borderId="0" xfId="0" applyNumberFormat="1" applyFont="1" applyFill="1" applyBorder="1" applyAlignment="1">
      <alignment horizontal="left"/>
    </xf>
    <xf numFmtId="0" fontId="0" fillId="16" borderId="2" xfId="0" applyNumberFormat="1" applyFont="1" applyFill="1" applyBorder="1" applyAlignment="1">
      <alignment horizontal="left"/>
    </xf>
    <xf numFmtId="164" fontId="0" fillId="0" borderId="0" xfId="0" applyNumberFormat="1" applyFont="1" applyFill="1" applyAlignment="1">
      <alignment vertical="top"/>
    </xf>
    <xf numFmtId="43" fontId="0" fillId="0" borderId="0" xfId="1" applyFont="1" applyFill="1" applyBorder="1" applyAlignment="1">
      <alignment vertical="top"/>
    </xf>
    <xf numFmtId="43" fontId="0" fillId="23" borderId="0" xfId="1" applyFont="1" applyFill="1" applyBorder="1" applyAlignment="1">
      <alignment vertical="top"/>
    </xf>
    <xf numFmtId="43" fontId="0" fillId="0" borderId="0" xfId="1" applyFont="1" applyFill="1" applyAlignment="1">
      <alignment horizontal="right"/>
    </xf>
    <xf numFmtId="43" fontId="7" fillId="0" borderId="0" xfId="1" applyFont="1" applyBorder="1" applyAlignment="1">
      <alignment horizontal="center"/>
    </xf>
    <xf numFmtId="43" fontId="69" fillId="28" borderId="0" xfId="1" applyFont="1" applyFill="1" applyBorder="1" applyAlignment="1">
      <alignment horizontal="center"/>
    </xf>
    <xf numFmtId="43" fontId="7" fillId="0" borderId="0" xfId="1" applyFont="1" applyFill="1" applyBorder="1" applyAlignment="1"/>
    <xf numFmtId="43" fontId="7" fillId="0" borderId="0" xfId="1" applyFont="1" applyFill="1" applyBorder="1" applyAlignment="1">
      <alignment horizontal="left"/>
    </xf>
    <xf numFmtId="0" fontId="1" fillId="0" borderId="2" xfId="0" applyFont="1" applyBorder="1" applyAlignment="1">
      <alignment horizontal="left" indent="1"/>
    </xf>
    <xf numFmtId="0" fontId="5" fillId="26" borderId="2" xfId="0" applyFont="1" applyFill="1" applyBorder="1" applyAlignment="1">
      <alignment horizontal="left"/>
    </xf>
    <xf numFmtId="0" fontId="0" fillId="26" borderId="0" xfId="0" applyFill="1">
      <alignment vertical="top"/>
    </xf>
    <xf numFmtId="0" fontId="0" fillId="26" borderId="2" xfId="0" applyFill="1" applyBorder="1">
      <alignment vertical="top"/>
    </xf>
    <xf numFmtId="49" fontId="7" fillId="0" borderId="2" xfId="0" applyNumberFormat="1" applyFont="1" applyFill="1" applyBorder="1" applyAlignment="1">
      <alignment horizontal="left" vertical="top" wrapText="1" indent="3"/>
    </xf>
    <xf numFmtId="0" fontId="7" fillId="11" borderId="2" xfId="0" applyFont="1" applyFill="1" applyBorder="1">
      <alignment vertical="top"/>
    </xf>
    <xf numFmtId="43" fontId="7" fillId="0" borderId="0" xfId="1" applyFont="1" applyBorder="1" applyAlignment="1">
      <alignment horizontal="left" vertical="top"/>
    </xf>
    <xf numFmtId="0" fontId="0" fillId="0" borderId="4" xfId="0" applyNumberFormat="1" applyFont="1" applyFill="1" applyBorder="1" applyAlignment="1">
      <alignment horizontal="left" vertical="top"/>
    </xf>
    <xf numFmtId="0" fontId="0" fillId="23" borderId="0" xfId="0" applyFont="1" applyFill="1" applyAlignment="1"/>
    <xf numFmtId="0" fontId="7" fillId="11" borderId="0" xfId="0" applyFont="1" applyFill="1" applyAlignment="1"/>
    <xf numFmtId="0" fontId="7" fillId="11" borderId="2" xfId="0" applyFont="1" applyFill="1" applyBorder="1" applyAlignment="1"/>
    <xf numFmtId="0" fontId="63" fillId="0" borderId="2" xfId="10" applyFill="1" applyBorder="1" applyAlignment="1"/>
    <xf numFmtId="0" fontId="6" fillId="0" borderId="2" xfId="0" applyFont="1" applyFill="1" applyBorder="1" applyAlignment="1"/>
    <xf numFmtId="0" fontId="7" fillId="26" borderId="0" xfId="0" applyFont="1" applyFill="1" applyAlignment="1"/>
    <xf numFmtId="0" fontId="7" fillId="26" borderId="2" xfId="0" applyFont="1" applyFill="1" applyBorder="1" applyAlignment="1"/>
    <xf numFmtId="3" fontId="0" fillId="0" borderId="5" xfId="0" applyNumberFormat="1" applyFill="1" applyBorder="1" applyAlignment="1">
      <alignment horizontal="right" vertical="top" indent="1"/>
    </xf>
    <xf numFmtId="3" fontId="6" fillId="0" borderId="5" xfId="0" applyNumberFormat="1" applyFont="1" applyFill="1" applyBorder="1" applyAlignment="1">
      <alignment horizontal="right" vertical="top" indent="1"/>
    </xf>
    <xf numFmtId="170" fontId="0" fillId="0" borderId="2" xfId="0" applyNumberFormat="1" applyFont="1" applyFill="1" applyBorder="1" applyAlignment="1"/>
    <xf numFmtId="10" fontId="0" fillId="23" borderId="0" xfId="0" applyNumberFormat="1" applyFill="1" applyAlignment="1">
      <alignment vertical="top"/>
    </xf>
    <xf numFmtId="1" fontId="0" fillId="0" borderId="0" xfId="0" applyNumberFormat="1" applyFont="1" applyFill="1" applyAlignment="1"/>
    <xf numFmtId="0" fontId="0" fillId="0" borderId="2" xfId="0" applyFont="1" applyFill="1" applyBorder="1" applyAlignment="1">
      <alignment horizontal="right"/>
    </xf>
    <xf numFmtId="0" fontId="63" fillId="0" borderId="0" xfId="10" applyFill="1" applyBorder="1" applyAlignment="1"/>
    <xf numFmtId="0" fontId="0" fillId="0" borderId="4" xfId="0" applyNumberFormat="1" applyFont="1" applyFill="1" applyBorder="1" applyAlignment="1">
      <alignment horizontal="left"/>
    </xf>
    <xf numFmtId="0" fontId="0" fillId="16" borderId="4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/>
    <xf numFmtId="1" fontId="0" fillId="30" borderId="0" xfId="0" applyNumberFormat="1" applyFont="1" applyFill="1" applyBorder="1" applyAlignment="1"/>
    <xf numFmtId="1" fontId="7" fillId="30" borderId="0" xfId="0" applyNumberFormat="1" applyFont="1" applyFill="1" applyBorder="1" applyAlignment="1"/>
    <xf numFmtId="0" fontId="66" fillId="0" borderId="0" xfId="0" applyFont="1" applyFill="1" applyBorder="1" applyAlignment="1">
      <alignment vertical="top"/>
    </xf>
    <xf numFmtId="2" fontId="0" fillId="0" borderId="0" xfId="1" applyNumberFormat="1" applyFont="1" applyBorder="1" applyAlignment="1">
      <alignment horizontal="left" vertical="top"/>
    </xf>
    <xf numFmtId="0" fontId="7" fillId="24" borderId="0" xfId="0" applyFont="1" applyFill="1" applyBorder="1" applyAlignment="1"/>
    <xf numFmtId="9" fontId="0" fillId="0" borderId="0" xfId="4" applyFont="1" applyFill="1" applyAlignment="1">
      <alignment vertical="top"/>
    </xf>
    <xf numFmtId="0" fontId="19" fillId="16" borderId="0" xfId="0" applyNumberFormat="1" applyFont="1" applyFill="1" applyBorder="1" applyAlignment="1">
      <alignment horizontal="left"/>
    </xf>
    <xf numFmtId="0" fontId="95" fillId="0" borderId="0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94" fillId="24" borderId="0" xfId="0" applyNumberFormat="1" applyFont="1" applyFill="1" applyBorder="1" applyAlignment="1" applyProtection="1">
      <alignment vertical="top" wrapText="1"/>
    </xf>
    <xf numFmtId="0" fontId="94" fillId="31" borderId="0" xfId="0" applyNumberFormat="1" applyFont="1" applyFill="1" applyBorder="1" applyAlignment="1" applyProtection="1">
      <alignment vertical="top" wrapText="1"/>
    </xf>
    <xf numFmtId="0" fontId="95" fillId="32" borderId="0" xfId="0" applyFont="1" applyFill="1" applyBorder="1" applyAlignment="1">
      <alignment vertical="top" wrapText="1"/>
    </xf>
    <xf numFmtId="0" fontId="95" fillId="34" borderId="0" xfId="0" applyFont="1" applyFill="1" applyBorder="1" applyAlignment="1">
      <alignment vertical="top" wrapText="1"/>
    </xf>
    <xf numFmtId="0" fontId="95" fillId="35" borderId="0" xfId="0" applyFont="1" applyFill="1" applyBorder="1" applyAlignment="1">
      <alignment vertical="top" wrapText="1"/>
    </xf>
    <xf numFmtId="0" fontId="92" fillId="20" borderId="0" xfId="0" applyFont="1" applyFill="1" applyAlignment="1">
      <alignment horizontal="center" vertical="top"/>
    </xf>
    <xf numFmtId="0" fontId="92" fillId="0" borderId="0" xfId="0" applyFont="1" applyFill="1" applyAlignment="1">
      <alignment horizontal="center" vertical="top"/>
    </xf>
    <xf numFmtId="0" fontId="94" fillId="0" borderId="0" xfId="0" applyNumberFormat="1" applyFont="1" applyFill="1" applyBorder="1" applyAlignment="1" applyProtection="1">
      <alignment vertical="top" wrapText="1"/>
    </xf>
    <xf numFmtId="0" fontId="95" fillId="0" borderId="0" xfId="0" applyFont="1" applyFill="1" applyBorder="1" applyAlignment="1">
      <alignment vertical="top" wrapText="1"/>
    </xf>
    <xf numFmtId="0" fontId="98" fillId="41" borderId="0" xfId="0" applyFont="1" applyFill="1" applyBorder="1" applyAlignment="1">
      <alignment vertical="center"/>
    </xf>
    <xf numFmtId="0" fontId="99" fillId="42" borderId="0" xfId="0" applyFont="1" applyFill="1" applyBorder="1" applyAlignment="1">
      <alignment vertical="center"/>
    </xf>
    <xf numFmtId="0" fontId="97" fillId="37" borderId="0" xfId="0" applyFont="1" applyFill="1" applyBorder="1" applyAlignment="1">
      <alignment vertical="center"/>
    </xf>
    <xf numFmtId="0" fontId="7" fillId="34" borderId="0" xfId="0" applyFont="1" applyFill="1" applyAlignment="1">
      <alignment vertical="top"/>
    </xf>
    <xf numFmtId="0" fontId="50" fillId="35" borderId="0" xfId="0" applyFont="1" applyFill="1">
      <alignment vertical="top"/>
    </xf>
    <xf numFmtId="0" fontId="80" fillId="0" borderId="0" xfId="0" applyFont="1">
      <alignment vertical="top"/>
    </xf>
    <xf numFmtId="182" fontId="50" fillId="0" borderId="0" xfId="1" applyNumberFormat="1" applyFont="1" applyAlignment="1">
      <alignment vertical="top"/>
    </xf>
    <xf numFmtId="181" fontId="50" fillId="35" borderId="0" xfId="1" applyNumberFormat="1" applyFont="1" applyFill="1" applyAlignment="1">
      <alignment horizontal="right" vertical="top"/>
    </xf>
    <xf numFmtId="0" fontId="50" fillId="40" borderId="0" xfId="0" applyFont="1" applyFill="1">
      <alignment vertical="top"/>
    </xf>
    <xf numFmtId="0" fontId="50" fillId="38" borderId="0" xfId="0" applyFont="1" applyFill="1">
      <alignment vertical="top"/>
    </xf>
    <xf numFmtId="0" fontId="80" fillId="38" borderId="0" xfId="0" applyFont="1" applyFill="1">
      <alignment vertical="top"/>
    </xf>
    <xf numFmtId="0" fontId="50" fillId="21" borderId="0" xfId="0" applyFont="1" applyFill="1">
      <alignment vertical="top"/>
    </xf>
    <xf numFmtId="0" fontId="80" fillId="6" borderId="11" xfId="0" applyFont="1" applyFill="1" applyBorder="1">
      <alignment vertical="top"/>
    </xf>
    <xf numFmtId="1" fontId="80" fillId="6" borderId="11" xfId="1" applyNumberFormat="1" applyFont="1" applyFill="1" applyBorder="1" applyAlignment="1">
      <alignment horizontal="center" vertical="top"/>
    </xf>
    <xf numFmtId="0" fontId="45" fillId="21" borderId="0" xfId="0" applyFont="1" applyFill="1">
      <alignment vertical="top"/>
    </xf>
    <xf numFmtId="181" fontId="80" fillId="0" borderId="35" xfId="1" applyNumberFormat="1" applyFont="1" applyBorder="1" applyAlignment="1"/>
    <xf numFmtId="182" fontId="80" fillId="0" borderId="35" xfId="1" applyNumberFormat="1" applyFont="1" applyBorder="1" applyAlignment="1"/>
    <xf numFmtId="181" fontId="50" fillId="0" borderId="0" xfId="1" applyNumberFormat="1" applyFont="1" applyAlignment="1">
      <alignment vertical="top"/>
    </xf>
    <xf numFmtId="0" fontId="50" fillId="0" borderId="36" xfId="0" applyFont="1" applyFill="1" applyBorder="1" applyAlignment="1"/>
    <xf numFmtId="181" fontId="50" fillId="0" borderId="36" xfId="1" applyNumberFormat="1" applyFont="1" applyBorder="1" applyAlignment="1"/>
    <xf numFmtId="182" fontId="50" fillId="0" borderId="36" xfId="1" applyNumberFormat="1" applyFont="1" applyBorder="1" applyAlignment="1"/>
    <xf numFmtId="181" fontId="80" fillId="0" borderId="36" xfId="1" applyNumberFormat="1" applyFont="1" applyBorder="1" applyAlignment="1"/>
    <xf numFmtId="182" fontId="80" fillId="0" borderId="36" xfId="1" applyNumberFormat="1" applyFont="1" applyBorder="1" applyAlignment="1"/>
    <xf numFmtId="3" fontId="50" fillId="0" borderId="0" xfId="0" applyNumberFormat="1" applyFont="1">
      <alignment vertical="top"/>
    </xf>
    <xf numFmtId="0" fontId="50" fillId="0" borderId="0" xfId="0" applyFont="1" applyAlignment="1">
      <alignment vertical="top"/>
    </xf>
    <xf numFmtId="0" fontId="50" fillId="0" borderId="37" xfId="0" applyFont="1" applyBorder="1" applyAlignment="1"/>
    <xf numFmtId="181" fontId="50" fillId="0" borderId="37" xfId="1" applyNumberFormat="1" applyFont="1" applyBorder="1" applyAlignment="1"/>
    <xf numFmtId="182" fontId="50" fillId="0" borderId="37" xfId="1" applyNumberFormat="1" applyFont="1" applyBorder="1" applyAlignment="1"/>
    <xf numFmtId="0" fontId="50" fillId="0" borderId="35" xfId="0" applyFont="1" applyBorder="1" applyAlignment="1"/>
    <xf numFmtId="0" fontId="50" fillId="0" borderId="36" xfId="0" applyFont="1" applyBorder="1" applyAlignment="1"/>
    <xf numFmtId="181" fontId="50" fillId="0" borderId="34" xfId="1" applyNumberFormat="1" applyFont="1" applyBorder="1" applyAlignment="1"/>
    <xf numFmtId="182" fontId="50" fillId="0" borderId="34" xfId="1" applyNumberFormat="1" applyFont="1" applyBorder="1" applyAlignment="1"/>
    <xf numFmtId="181" fontId="50" fillId="0" borderId="35" xfId="1" applyNumberFormat="1" applyFont="1" applyBorder="1" applyAlignment="1"/>
    <xf numFmtId="182" fontId="50" fillId="0" borderId="35" xfId="1" applyNumberFormat="1" applyFont="1" applyBorder="1" applyAlignment="1"/>
    <xf numFmtId="181" fontId="101" fillId="14" borderId="40" xfId="1" applyNumberFormat="1" applyFont="1" applyFill="1" applyBorder="1" applyAlignment="1"/>
    <xf numFmtId="182" fontId="101" fillId="14" borderId="40" xfId="1" applyNumberFormat="1" applyFont="1" applyFill="1" applyBorder="1" applyAlignment="1"/>
    <xf numFmtId="0" fontId="100" fillId="0" borderId="34" xfId="0" applyFont="1" applyFill="1" applyBorder="1" applyAlignment="1"/>
    <xf numFmtId="0" fontId="50" fillId="24" borderId="32" xfId="0" applyNumberFormat="1" applyFont="1" applyFill="1" applyBorder="1" applyAlignment="1" applyProtection="1"/>
    <xf numFmtId="181" fontId="80" fillId="24" borderId="32" xfId="1" applyNumberFormat="1" applyFont="1" applyFill="1" applyBorder="1" applyAlignment="1" applyProtection="1"/>
    <xf numFmtId="182" fontId="80" fillId="24" borderId="32" xfId="1" applyNumberFormat="1" applyFont="1" applyFill="1" applyBorder="1" applyAlignment="1" applyProtection="1"/>
    <xf numFmtId="0" fontId="50" fillId="0" borderId="35" xfId="0" applyNumberFormat="1" applyFont="1" applyFill="1" applyBorder="1" applyAlignment="1" applyProtection="1"/>
    <xf numFmtId="0" fontId="103" fillId="0" borderId="36" xfId="0" applyFont="1" applyFill="1" applyBorder="1" applyAlignment="1"/>
    <xf numFmtId="0" fontId="50" fillId="0" borderId="36" xfId="0" applyNumberFormat="1" applyFont="1" applyFill="1" applyBorder="1" applyAlignment="1" applyProtection="1"/>
    <xf numFmtId="0" fontId="103" fillId="0" borderId="37" xfId="0" applyFont="1" applyFill="1" applyBorder="1" applyAlignment="1"/>
    <xf numFmtId="0" fontId="50" fillId="31" borderId="33" xfId="0" applyNumberFormat="1" applyFont="1" applyFill="1" applyBorder="1" applyAlignment="1" applyProtection="1"/>
    <xf numFmtId="181" fontId="104" fillId="31" borderId="40" xfId="1" applyNumberFormat="1" applyFont="1" applyFill="1" applyBorder="1" applyAlignment="1" applyProtection="1"/>
    <xf numFmtId="182" fontId="104" fillId="31" borderId="40" xfId="1" applyNumberFormat="1" applyFont="1" applyFill="1" applyBorder="1" applyAlignment="1" applyProtection="1"/>
    <xf numFmtId="0" fontId="103" fillId="32" borderId="33" xfId="0" applyFont="1" applyFill="1" applyBorder="1" applyAlignment="1"/>
    <xf numFmtId="181" fontId="104" fillId="32" borderId="40" xfId="1" applyNumberFormat="1" applyFont="1" applyFill="1" applyBorder="1" applyAlignment="1"/>
    <xf numFmtId="182" fontId="104" fillId="32" borderId="40" xfId="1" applyNumberFormat="1" applyFont="1" applyFill="1" applyBorder="1" applyAlignment="1"/>
    <xf numFmtId="0" fontId="103" fillId="0" borderId="34" xfId="0" applyFont="1" applyFill="1" applyBorder="1" applyAlignment="1"/>
    <xf numFmtId="0" fontId="103" fillId="39" borderId="33" xfId="0" applyFont="1" applyFill="1" applyBorder="1" applyAlignment="1"/>
    <xf numFmtId="181" fontId="104" fillId="39" borderId="40" xfId="1" applyNumberFormat="1" applyFont="1" applyFill="1" applyBorder="1" applyAlignment="1"/>
    <xf numFmtId="182" fontId="104" fillId="39" borderId="40" xfId="1" applyNumberFormat="1" applyFont="1" applyFill="1" applyBorder="1" applyAlignment="1"/>
    <xf numFmtId="0" fontId="103" fillId="0" borderId="35" xfId="0" applyFont="1" applyFill="1" applyBorder="1" applyAlignment="1"/>
    <xf numFmtId="0" fontId="103" fillId="35" borderId="33" xfId="0" applyFont="1" applyFill="1" applyBorder="1" applyAlignment="1"/>
    <xf numFmtId="181" fontId="102" fillId="35" borderId="40" xfId="1" applyNumberFormat="1" applyFont="1" applyFill="1" applyBorder="1" applyAlignment="1"/>
    <xf numFmtId="182" fontId="102" fillId="35" borderId="40" xfId="1" applyNumberFormat="1" applyFont="1" applyFill="1" applyBorder="1" applyAlignment="1"/>
    <xf numFmtId="0" fontId="103" fillId="37" borderId="33" xfId="0" applyFont="1" applyFill="1" applyBorder="1" applyAlignment="1"/>
    <xf numFmtId="181" fontId="104" fillId="37" borderId="40" xfId="1" applyNumberFormat="1" applyFont="1" applyFill="1" applyBorder="1" applyAlignment="1"/>
    <xf numFmtId="182" fontId="104" fillId="37" borderId="40" xfId="1" applyNumberFormat="1" applyFont="1" applyFill="1" applyBorder="1" applyAlignment="1"/>
    <xf numFmtId="0" fontId="101" fillId="14" borderId="33" xfId="0" applyFont="1" applyFill="1" applyBorder="1" applyAlignment="1"/>
    <xf numFmtId="0" fontId="51" fillId="0" borderId="38" xfId="0" applyFont="1" applyFill="1" applyBorder="1" applyAlignment="1">
      <alignment vertical="center"/>
    </xf>
    <xf numFmtId="3" fontId="50" fillId="7" borderId="0" xfId="0" applyNumberFormat="1" applyFont="1" applyFill="1">
      <alignment vertical="top"/>
    </xf>
    <xf numFmtId="0" fontId="51" fillId="0" borderId="34" xfId="0" applyFont="1" applyFill="1" applyBorder="1" applyAlignment="1"/>
    <xf numFmtId="0" fontId="100" fillId="0" borderId="38" xfId="0" applyFont="1" applyFill="1" applyBorder="1" applyAlignment="1">
      <alignment vertical="center"/>
    </xf>
    <xf numFmtId="0" fontId="51" fillId="0" borderId="38" xfId="0" applyFont="1" applyFill="1" applyBorder="1" applyAlignment="1">
      <alignment vertical="top"/>
    </xf>
    <xf numFmtId="0" fontId="51" fillId="0" borderId="38" xfId="0" applyFont="1" applyBorder="1" applyAlignment="1">
      <alignment vertical="top"/>
    </xf>
    <xf numFmtId="181" fontId="51" fillId="0" borderId="34" xfId="1" applyNumberFormat="1" applyFont="1" applyFill="1" applyBorder="1" applyAlignment="1"/>
    <xf numFmtId="181" fontId="51" fillId="0" borderId="38" xfId="1" applyNumberFormat="1" applyFont="1" applyFill="1" applyBorder="1" applyAlignment="1">
      <alignment vertical="center"/>
    </xf>
    <xf numFmtId="181" fontId="51" fillId="0" borderId="38" xfId="1" applyNumberFormat="1" applyFont="1" applyFill="1" applyBorder="1" applyAlignment="1">
      <alignment vertical="top"/>
    </xf>
    <xf numFmtId="182" fontId="51" fillId="0" borderId="34" xfId="1" applyNumberFormat="1" applyFont="1" applyFill="1" applyBorder="1" applyAlignment="1"/>
    <xf numFmtId="182" fontId="51" fillId="0" borderId="38" xfId="1" applyNumberFormat="1" applyFont="1" applyFill="1" applyBorder="1" applyAlignment="1">
      <alignment vertical="center"/>
    </xf>
    <xf numFmtId="182" fontId="51" fillId="0" borderId="38" xfId="1" applyNumberFormat="1" applyFont="1" applyFill="1" applyBorder="1" applyAlignment="1">
      <alignment vertical="top"/>
    </xf>
    <xf numFmtId="0" fontId="102" fillId="24" borderId="32" xfId="0" applyFont="1" applyFill="1" applyBorder="1" applyAlignment="1">
      <alignment horizontal="left" indent="1"/>
    </xf>
    <xf numFmtId="0" fontId="103" fillId="0" borderId="35" xfId="0" applyFont="1" applyBorder="1" applyAlignment="1">
      <alignment horizontal="left" indent="1"/>
    </xf>
    <xf numFmtId="0" fontId="103" fillId="0" borderId="36" xfId="0" applyFont="1" applyBorder="1" applyAlignment="1">
      <alignment horizontal="left" indent="1"/>
    </xf>
    <xf numFmtId="0" fontId="103" fillId="0" borderId="36" xfId="0" applyFont="1" applyFill="1" applyBorder="1" applyAlignment="1">
      <alignment horizontal="left" indent="1"/>
    </xf>
    <xf numFmtId="0" fontId="103" fillId="0" borderId="37" xfId="0" applyFont="1" applyFill="1" applyBorder="1" applyAlignment="1">
      <alignment horizontal="left" indent="1"/>
    </xf>
    <xf numFmtId="0" fontId="104" fillId="31" borderId="39" xfId="0" applyNumberFormat="1" applyFont="1" applyFill="1" applyBorder="1" applyAlignment="1" applyProtection="1">
      <alignment horizontal="left" indent="1"/>
    </xf>
    <xf numFmtId="0" fontId="50" fillId="0" borderId="35" xfId="0" applyFont="1" applyBorder="1" applyAlignment="1">
      <alignment horizontal="left" indent="1"/>
    </xf>
    <xf numFmtId="0" fontId="104" fillId="32" borderId="39" xfId="0" applyFont="1" applyFill="1" applyBorder="1" applyAlignment="1">
      <alignment horizontal="left" indent="1"/>
    </xf>
    <xf numFmtId="0" fontId="103" fillId="0" borderId="34" xfId="0" applyFont="1" applyFill="1" applyBorder="1" applyAlignment="1">
      <alignment horizontal="left" indent="1"/>
    </xf>
    <xf numFmtId="0" fontId="104" fillId="39" borderId="39" xfId="0" applyFont="1" applyFill="1" applyBorder="1" applyAlignment="1">
      <alignment horizontal="left" indent="1"/>
    </xf>
    <xf numFmtId="0" fontId="50" fillId="0" borderId="37" xfId="0" applyFont="1" applyBorder="1" applyAlignment="1">
      <alignment horizontal="left" indent="1"/>
    </xf>
    <xf numFmtId="0" fontId="102" fillId="35" borderId="39" xfId="0" applyFont="1" applyFill="1" applyBorder="1" applyAlignment="1">
      <alignment horizontal="left" indent="1"/>
    </xf>
    <xf numFmtId="0" fontId="103" fillId="0" borderId="37" xfId="0" applyFont="1" applyBorder="1" applyAlignment="1">
      <alignment horizontal="left" indent="1"/>
    </xf>
    <xf numFmtId="0" fontId="104" fillId="37" borderId="39" xfId="0" applyFont="1" applyFill="1" applyBorder="1" applyAlignment="1">
      <alignment horizontal="left" indent="1"/>
    </xf>
    <xf numFmtId="0" fontId="104" fillId="14" borderId="39" xfId="0" applyFont="1" applyFill="1" applyBorder="1" applyAlignment="1">
      <alignment horizontal="left" indent="1"/>
    </xf>
    <xf numFmtId="0" fontId="102" fillId="0" borderId="34" xfId="0" applyFont="1" applyFill="1" applyBorder="1" applyAlignment="1">
      <alignment horizontal="left" indent="1"/>
    </xf>
    <xf numFmtId="0" fontId="102" fillId="0" borderId="38" xfId="0" applyFont="1" applyFill="1" applyBorder="1" applyAlignment="1">
      <alignment horizontal="left" vertical="center" indent="1"/>
    </xf>
    <xf numFmtId="0" fontId="102" fillId="0" borderId="38" xfId="0" applyFont="1" applyFill="1" applyBorder="1" applyAlignment="1">
      <alignment horizontal="left" vertical="top" indent="1"/>
    </xf>
    <xf numFmtId="0" fontId="80" fillId="0" borderId="35" xfId="0" applyNumberFormat="1" applyFont="1" applyFill="1" applyBorder="1" applyAlignment="1" applyProtection="1"/>
    <xf numFmtId="0" fontId="80" fillId="0" borderId="36" xfId="0" applyNumberFormat="1" applyFont="1" applyFill="1" applyBorder="1" applyAlignment="1" applyProtection="1"/>
    <xf numFmtId="0" fontId="80" fillId="0" borderId="35" xfId="0" applyFont="1" applyBorder="1" applyAlignment="1"/>
    <xf numFmtId="0" fontId="80" fillId="0" borderId="36" xfId="0" applyFont="1" applyBorder="1" applyAlignment="1"/>
    <xf numFmtId="0" fontId="102" fillId="0" borderId="36" xfId="0" applyFont="1" applyFill="1" applyBorder="1" applyAlignment="1"/>
    <xf numFmtId="0" fontId="102" fillId="0" borderId="37" xfId="0" applyFont="1" applyFill="1" applyBorder="1" applyAlignment="1"/>
    <xf numFmtId="3" fontId="0" fillId="24" borderId="0" xfId="0" applyNumberFormat="1" applyFont="1" applyFill="1" applyBorder="1" applyAlignment="1">
      <alignment horizontal="right" vertical="top" wrapText="1"/>
    </xf>
    <xf numFmtId="0" fontId="6" fillId="24" borderId="0" xfId="0" applyFont="1" applyFill="1" applyBorder="1" applyAlignment="1"/>
    <xf numFmtId="49" fontId="0" fillId="24" borderId="0" xfId="0" applyNumberFormat="1" applyFill="1" applyBorder="1" applyAlignment="1">
      <alignment vertical="top"/>
    </xf>
    <xf numFmtId="49" fontId="0" fillId="24" borderId="2" xfId="0" applyNumberFormat="1" applyFont="1" applyFill="1" applyBorder="1" applyAlignment="1">
      <alignment vertical="top" wrapText="1"/>
    </xf>
    <xf numFmtId="0" fontId="7" fillId="20" borderId="0" xfId="0" applyFont="1" applyFill="1">
      <alignment vertical="top"/>
    </xf>
    <xf numFmtId="0" fontId="7" fillId="22" borderId="0" xfId="0" applyFont="1" applyFill="1" applyAlignment="1">
      <alignment horizontal="left" vertical="top" indent="1"/>
    </xf>
    <xf numFmtId="0" fontId="7" fillId="43" borderId="0" xfId="0" applyFont="1" applyFill="1" applyAlignment="1">
      <alignment horizontal="left" vertical="top" indent="1"/>
    </xf>
    <xf numFmtId="0" fontId="7" fillId="35" borderId="0" xfId="0" applyFont="1" applyFill="1" applyAlignment="1">
      <alignment horizontal="left" vertical="top" indent="1"/>
    </xf>
    <xf numFmtId="0" fontId="7" fillId="44" borderId="0" xfId="0" applyFont="1" applyFill="1" applyAlignment="1">
      <alignment horizontal="left" vertical="top" indent="1"/>
    </xf>
    <xf numFmtId="0" fontId="7" fillId="45" borderId="0" xfId="0" applyFont="1" applyFill="1" applyAlignment="1">
      <alignment horizontal="left" vertical="top" indent="1"/>
    </xf>
    <xf numFmtId="0" fontId="7" fillId="38" borderId="0" xfId="0" applyFont="1" applyFill="1" applyAlignment="1">
      <alignment horizontal="left" vertical="top" indent="1"/>
    </xf>
    <xf numFmtId="0" fontId="7" fillId="46" borderId="0" xfId="0" applyFont="1" applyFill="1" applyAlignment="1">
      <alignment horizontal="left" vertical="top" indent="1"/>
    </xf>
    <xf numFmtId="0" fontId="6" fillId="0" borderId="0" xfId="3" applyFont="1" applyAlignment="1">
      <alignment wrapText="1"/>
    </xf>
    <xf numFmtId="0" fontId="7" fillId="0" borderId="0" xfId="0" applyFont="1" applyBorder="1" applyAlignment="1">
      <alignment horizontal="center"/>
    </xf>
    <xf numFmtId="0" fontId="7" fillId="43" borderId="0" xfId="0" applyFont="1" applyFill="1" applyAlignment="1">
      <alignment vertical="top"/>
    </xf>
    <xf numFmtId="0" fontId="7" fillId="38" borderId="0" xfId="0" applyFont="1" applyFill="1" applyAlignment="1">
      <alignment vertical="top" wrapText="1"/>
    </xf>
    <xf numFmtId="49" fontId="7" fillId="0" borderId="0" xfId="9" applyNumberFormat="1" applyFont="1" applyAlignment="1">
      <alignment vertical="top" wrapText="1"/>
    </xf>
    <xf numFmtId="0" fontId="0" fillId="34" borderId="0" xfId="0" applyFill="1" applyAlignment="1">
      <alignment vertical="top" wrapText="1"/>
    </xf>
    <xf numFmtId="0" fontId="0" fillId="20" borderId="0" xfId="0" applyFill="1" applyAlignment="1">
      <alignment vertical="top" wrapText="1"/>
    </xf>
    <xf numFmtId="1" fontId="0" fillId="23" borderId="0" xfId="0" applyNumberFormat="1" applyFont="1" applyFill="1" applyBorder="1" applyAlignment="1">
      <alignment vertical="top"/>
    </xf>
    <xf numFmtId="1" fontId="0" fillId="23" borderId="0" xfId="0" applyNumberFormat="1" applyFill="1">
      <alignment vertical="top"/>
    </xf>
    <xf numFmtId="0" fontId="0" fillId="23" borderId="0" xfId="0" applyFill="1">
      <alignment vertical="top"/>
    </xf>
    <xf numFmtId="0" fontId="0" fillId="0" borderId="0" xfId="4" applyNumberFormat="1" applyFont="1" applyFill="1" applyAlignment="1">
      <alignment vertical="top"/>
    </xf>
    <xf numFmtId="1" fontId="0" fillId="23" borderId="0" xfId="4" applyNumberFormat="1" applyFont="1" applyFill="1" applyAlignment="1">
      <alignment vertical="top"/>
    </xf>
    <xf numFmtId="0" fontId="1" fillId="0" borderId="0" xfId="0" applyFont="1" applyFill="1" applyAlignment="1"/>
    <xf numFmtId="4" fontId="0" fillId="0" borderId="0" xfId="0" applyNumberFormat="1" applyFont="1" applyFill="1" applyAlignment="1">
      <alignment vertical="top"/>
    </xf>
    <xf numFmtId="175" fontId="0" fillId="0" borderId="0" xfId="0" applyNumberFormat="1" applyFont="1" applyFill="1" applyAlignment="1">
      <alignment vertical="top"/>
    </xf>
    <xf numFmtId="164" fontId="0" fillId="0" borderId="0" xfId="0" applyNumberFormat="1">
      <alignment vertical="top"/>
    </xf>
    <xf numFmtId="0" fontId="89" fillId="0" borderId="0" xfId="0" applyNumberFormat="1" applyFont="1" applyFill="1" applyBorder="1" applyAlignment="1"/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/>
    <xf numFmtId="2" fontId="62" fillId="0" borderId="0" xfId="1" applyNumberFormat="1" applyFont="1" applyFill="1" applyBorder="1" applyAlignment="1">
      <alignment horizontal="right" vertical="top"/>
    </xf>
    <xf numFmtId="0" fontId="105" fillId="26" borderId="0" xfId="0" applyFont="1" applyFill="1" applyBorder="1" applyAlignment="1">
      <alignment vertical="top"/>
    </xf>
    <xf numFmtId="181" fontId="0" fillId="30" borderId="0" xfId="1" applyNumberFormat="1" applyFont="1" applyFill="1" applyBorder="1" applyAlignment="1"/>
    <xf numFmtId="181" fontId="0" fillId="0" borderId="0" xfId="1" applyNumberFormat="1" applyFont="1" applyFill="1" applyBorder="1" applyAlignment="1">
      <alignment horizontal="left"/>
    </xf>
    <xf numFmtId="170" fontId="0" fillId="0" borderId="0" xfId="0" applyNumberFormat="1" applyFont="1" applyFill="1" applyBorder="1" applyAlignment="1"/>
    <xf numFmtId="49" fontId="69" fillId="29" borderId="0" xfId="0" applyNumberFormat="1" applyFont="1" applyFill="1" applyBorder="1" applyAlignment="1"/>
    <xf numFmtId="170" fontId="0" fillId="0" borderId="0" xfId="0" quotePrefix="1" applyNumberFormat="1" applyFont="1" applyFill="1" applyBorder="1" applyAlignment="1">
      <alignment vertical="top"/>
    </xf>
    <xf numFmtId="3" fontId="7" fillId="28" borderId="5" xfId="0" applyNumberFormat="1" applyFont="1" applyFill="1" applyBorder="1" applyAlignment="1">
      <alignment horizontal="right"/>
    </xf>
    <xf numFmtId="49" fontId="7" fillId="28" borderId="0" xfId="0" applyNumberFormat="1" applyFont="1" applyFill="1" applyBorder="1" applyAlignment="1"/>
    <xf numFmtId="0" fontId="7" fillId="28" borderId="0" xfId="0" applyFont="1" applyFill="1" applyBorder="1" applyAlignment="1"/>
    <xf numFmtId="0" fontId="7" fillId="28" borderId="2" xfId="0" applyFont="1" applyFill="1" applyBorder="1" applyAlignment="1"/>
    <xf numFmtId="49" fontId="7" fillId="24" borderId="2" xfId="0" applyNumberFormat="1" applyFont="1" applyFill="1" applyBorder="1" applyAlignment="1">
      <alignment horizontal="left" vertical="top"/>
    </xf>
    <xf numFmtId="0" fontId="62" fillId="24" borderId="0" xfId="0" applyFont="1" applyFill="1" applyBorder="1" applyAlignment="1">
      <alignment vertical="top"/>
    </xf>
    <xf numFmtId="3" fontId="62" fillId="24" borderId="5" xfId="0" applyNumberFormat="1" applyFont="1" applyFill="1" applyBorder="1" applyAlignment="1">
      <alignment vertical="top"/>
    </xf>
    <xf numFmtId="0" fontId="6" fillId="24" borderId="2" xfId="0" applyFont="1" applyFill="1" applyBorder="1" applyAlignment="1"/>
    <xf numFmtId="3" fontId="7" fillId="24" borderId="0" xfId="0" applyNumberFormat="1" applyFont="1" applyFill="1" applyBorder="1" applyAlignment="1"/>
    <xf numFmtId="189" fontId="7" fillId="30" borderId="0" xfId="0" applyNumberFormat="1" applyFont="1" applyFill="1" applyBorder="1" applyAlignment="1"/>
    <xf numFmtId="181" fontId="7" fillId="26" borderId="0" xfId="1" applyNumberFormat="1" applyFont="1" applyFill="1" applyBorder="1" applyAlignment="1">
      <alignment horizontal="right"/>
    </xf>
    <xf numFmtId="49" fontId="7" fillId="24" borderId="0" xfId="0" applyNumberFormat="1" applyFont="1" applyFill="1" applyBorder="1" applyAlignment="1">
      <alignment vertical="top"/>
    </xf>
    <xf numFmtId="0" fontId="0" fillId="24" borderId="0" xfId="0" applyFill="1" applyAlignment="1">
      <alignment horizontal="left" vertical="top"/>
    </xf>
    <xf numFmtId="0" fontId="0" fillId="24" borderId="0" xfId="0" applyFill="1">
      <alignment vertical="top"/>
    </xf>
    <xf numFmtId="0" fontId="5" fillId="16" borderId="0" xfId="0" applyFont="1" applyFill="1" applyAlignment="1"/>
    <xf numFmtId="0" fontId="7" fillId="16" borderId="2" xfId="0" applyNumberFormat="1" applyFont="1" applyFill="1" applyBorder="1" applyAlignment="1">
      <alignment horizontal="left"/>
    </xf>
    <xf numFmtId="0" fontId="7" fillId="16" borderId="0" xfId="0" applyNumberFormat="1" applyFont="1" applyFill="1" applyBorder="1" applyAlignment="1">
      <alignment horizontal="left"/>
    </xf>
    <xf numFmtId="3" fontId="50" fillId="23" borderId="0" xfId="0" applyNumberFormat="1" applyFont="1" applyFill="1" applyAlignment="1">
      <alignment horizontal="right" vertical="top"/>
    </xf>
    <xf numFmtId="165" fontId="50" fillId="23" borderId="0" xfId="0" applyNumberFormat="1" applyFont="1" applyFill="1" applyAlignment="1">
      <alignment horizontal="right" vertical="top"/>
    </xf>
    <xf numFmtId="181" fontId="50" fillId="23" borderId="0" xfId="1" applyNumberFormat="1" applyFont="1" applyFill="1" applyBorder="1" applyAlignment="1">
      <alignment horizontal="right" vertical="top"/>
    </xf>
    <xf numFmtId="37" fontId="50" fillId="23" borderId="0" xfId="1" applyNumberFormat="1" applyFont="1" applyFill="1" applyBorder="1" applyAlignment="1">
      <alignment horizontal="right" vertical="top"/>
    </xf>
    <xf numFmtId="181" fontId="7" fillId="24" borderId="0" xfId="1" applyNumberFormat="1" applyFont="1" applyFill="1" applyBorder="1" applyAlignment="1"/>
    <xf numFmtId="0" fontId="0" fillId="0" borderId="2" xfId="10" applyFont="1" applyFill="1" applyBorder="1" applyAlignment="1"/>
    <xf numFmtId="181" fontId="7" fillId="23" borderId="0" xfId="1" applyNumberFormat="1" applyFont="1" applyFill="1" applyAlignment="1"/>
    <xf numFmtId="181" fontId="0" fillId="23" borderId="0" xfId="1" applyNumberFormat="1" applyFont="1" applyFill="1" applyAlignment="1"/>
    <xf numFmtId="3" fontId="0" fillId="0" borderId="0" xfId="0" applyNumberFormat="1">
      <alignment vertical="top"/>
    </xf>
    <xf numFmtId="3" fontId="7" fillId="24" borderId="0" xfId="0" applyNumberFormat="1" applyFont="1" applyFill="1">
      <alignment vertical="top"/>
    </xf>
    <xf numFmtId="0" fontId="7" fillId="24" borderId="0" xfId="0" applyFont="1" applyFill="1" applyAlignment="1">
      <alignment horizontal="left"/>
    </xf>
    <xf numFmtId="181" fontId="7" fillId="26" borderId="0" xfId="1" applyNumberFormat="1" applyFont="1" applyFill="1" applyAlignment="1"/>
    <xf numFmtId="43" fontId="0" fillId="0" borderId="0" xfId="1" applyFont="1" applyFill="1" applyBorder="1" applyAlignment="1">
      <alignment horizontal="left" vertical="top"/>
    </xf>
    <xf numFmtId="43" fontId="7" fillId="0" borderId="0" xfId="1" applyFont="1" applyFill="1" applyBorder="1" applyAlignment="1">
      <alignment horizontal="left" vertical="top"/>
    </xf>
    <xf numFmtId="178" fontId="0" fillId="23" borderId="0" xfId="0" applyNumberFormat="1" applyFill="1" applyBorder="1" applyAlignment="1">
      <alignment horizontal="right" vertical="top"/>
    </xf>
    <xf numFmtId="168" fontId="0" fillId="0" borderId="0" xfId="0" applyNumberFormat="1" applyFont="1" applyAlignment="1">
      <alignment vertical="top"/>
    </xf>
    <xf numFmtId="181" fontId="6" fillId="0" borderId="0" xfId="1" applyNumberFormat="1" applyFont="1" applyFill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1" fontId="0" fillId="0" borderId="0" xfId="1" applyNumberFormat="1" applyFont="1" applyAlignment="1"/>
    <xf numFmtId="181" fontId="7" fillId="0" borderId="0" xfId="1" applyNumberFormat="1" applyFont="1" applyFill="1" applyAlignment="1">
      <alignment vertical="top"/>
    </xf>
    <xf numFmtId="1" fontId="0" fillId="0" borderId="0" xfId="0" applyNumberFormat="1" applyAlignment="1"/>
    <xf numFmtId="0" fontId="109" fillId="28" borderId="0" xfId="0" applyFont="1" applyFill="1" applyBorder="1" applyAlignment="1">
      <alignment horizontal="left" vertical="top"/>
    </xf>
    <xf numFmtId="0" fontId="109" fillId="28" borderId="2" xfId="0" applyFont="1" applyFill="1" applyBorder="1" applyAlignment="1">
      <alignment horizontal="left" vertical="top"/>
    </xf>
    <xf numFmtId="181" fontId="30" fillId="0" borderId="0" xfId="1" applyNumberFormat="1" applyFont="1" applyBorder="1" applyAlignment="1">
      <alignment horizontal="left" vertical="top"/>
    </xf>
    <xf numFmtId="181" fontId="19" fillId="0" borderId="0" xfId="1" applyNumberFormat="1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181" fontId="30" fillId="0" borderId="0" xfId="1" applyNumberFormat="1" applyFont="1" applyBorder="1" applyAlignment="1">
      <alignment horizontal="right" vertical="top"/>
    </xf>
    <xf numFmtId="181" fontId="0" fillId="0" borderId="0" xfId="1" applyNumberFormat="1" applyFont="1" applyBorder="1" applyAlignment="1">
      <alignment horizontal="right" vertical="top"/>
    </xf>
    <xf numFmtId="181" fontId="7" fillId="24" borderId="0" xfId="1" applyNumberFormat="1" applyFont="1" applyFill="1" applyAlignment="1"/>
    <xf numFmtId="181" fontId="30" fillId="0" borderId="0" xfId="1" applyNumberFormat="1" applyFont="1" applyFill="1" applyBorder="1" applyAlignment="1">
      <alignment horizontal="right" vertical="top"/>
    </xf>
    <xf numFmtId="0" fontId="30" fillId="0" borderId="0" xfId="0" applyFont="1" applyBorder="1" applyAlignment="1">
      <alignment horizontal="right" vertical="top"/>
    </xf>
    <xf numFmtId="3" fontId="69" fillId="28" borderId="0" xfId="0" applyNumberFormat="1" applyFont="1" applyFill="1" applyBorder="1" applyAlignment="1">
      <alignment horizontal="right"/>
    </xf>
    <xf numFmtId="181" fontId="110" fillId="0" borderId="0" xfId="1" applyNumberFormat="1" applyFont="1" applyFill="1" applyBorder="1" applyAlignment="1">
      <alignment horizontal="right" wrapText="1"/>
    </xf>
    <xf numFmtId="0" fontId="64" fillId="0" borderId="0" xfId="0" applyNumberFormat="1" applyFont="1" applyFill="1" applyBorder="1" applyAlignment="1">
      <alignment horizontal="left" wrapText="1"/>
    </xf>
    <xf numFmtId="181" fontId="110" fillId="0" borderId="0" xfId="1" applyNumberFormat="1" applyFont="1" applyFill="1" applyBorder="1" applyAlignment="1">
      <alignment horizontal="right"/>
    </xf>
    <xf numFmtId="0" fontId="64" fillId="0" borderId="0" xfId="0" applyNumberFormat="1" applyFont="1" applyFill="1" applyBorder="1" applyAlignment="1">
      <alignment horizontal="left"/>
    </xf>
    <xf numFmtId="181" fontId="108" fillId="0" borderId="0" xfId="1" applyNumberFormat="1" applyFont="1" applyBorder="1" applyAlignment="1">
      <alignment horizontal="right" vertical="top"/>
    </xf>
    <xf numFmtId="181" fontId="105" fillId="0" borderId="0" xfId="1" applyNumberFormat="1" applyFont="1" applyBorder="1" applyAlignment="1">
      <alignment horizontal="right" vertical="top"/>
    </xf>
    <xf numFmtId="49" fontId="0" fillId="0" borderId="0" xfId="0" applyNumberFormat="1" applyBorder="1" applyAlignment="1"/>
    <xf numFmtId="0" fontId="7" fillId="0" borderId="2" xfId="0" applyFont="1" applyBorder="1" applyAlignment="1">
      <alignment horizontal="left" vertical="top"/>
    </xf>
    <xf numFmtId="0" fontId="0" fillId="0" borderId="0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/>
    <xf numFmtId="181" fontId="108" fillId="0" borderId="0" xfId="1" applyNumberFormat="1" applyFont="1" applyFill="1" applyBorder="1" applyAlignment="1">
      <alignment horizontal="right" vertical="top"/>
    </xf>
    <xf numFmtId="181" fontId="105" fillId="0" borderId="0" xfId="1" applyNumberFormat="1" applyFont="1" applyFill="1" applyBorder="1" applyAlignment="1">
      <alignment horizontal="right" vertical="top"/>
    </xf>
    <xf numFmtId="181" fontId="108" fillId="0" borderId="0" xfId="1" applyNumberFormat="1" applyFont="1" applyFill="1" applyAlignment="1">
      <alignment vertical="top"/>
    </xf>
    <xf numFmtId="181" fontId="108" fillId="0" borderId="0" xfId="1" applyNumberFormat="1" applyFont="1" applyFill="1" applyBorder="1" applyAlignment="1">
      <alignment horizontal="right"/>
    </xf>
    <xf numFmtId="0" fontId="7" fillId="0" borderId="2" xfId="0" applyFont="1" applyBorder="1" applyAlignment="1">
      <alignment vertical="top"/>
    </xf>
    <xf numFmtId="181" fontId="108" fillId="0" borderId="0" xfId="1" applyNumberFormat="1" applyFont="1" applyBorder="1" applyAlignment="1">
      <alignment horizontal="right" vertical="top" indent="2"/>
    </xf>
    <xf numFmtId="49" fontId="0" fillId="0" borderId="2" xfId="0" applyNumberFormat="1" applyBorder="1" applyAlignment="1">
      <alignment vertical="top"/>
    </xf>
    <xf numFmtId="181" fontId="105" fillId="26" borderId="0" xfId="1" applyNumberFormat="1" applyFont="1" applyFill="1" applyBorder="1" applyAlignment="1">
      <alignment horizontal="right"/>
    </xf>
    <xf numFmtId="49" fontId="7" fillId="26" borderId="0" xfId="0" applyNumberFormat="1" applyFont="1" applyFill="1" applyBorder="1" applyAlignment="1">
      <alignment vertical="top"/>
    </xf>
    <xf numFmtId="49" fontId="7" fillId="26" borderId="2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 indent="1"/>
    </xf>
    <xf numFmtId="3" fontId="6" fillId="0" borderId="0" xfId="0" applyNumberFormat="1" applyFont="1" applyFill="1" applyBorder="1" applyAlignment="1">
      <alignment horizontal="right" vertical="top" wrapText="1" indent="2"/>
    </xf>
    <xf numFmtId="49" fontId="6" fillId="0" borderId="0" xfId="0" applyNumberFormat="1" applyFont="1" applyFill="1" applyBorder="1" applyAlignment="1">
      <alignment horizontal="left" vertical="top" wrapText="1" indent="2"/>
    </xf>
    <xf numFmtId="3" fontId="6" fillId="0" borderId="0" xfId="0" applyNumberFormat="1" applyFont="1" applyFill="1" applyBorder="1" applyAlignment="1">
      <alignment horizontal="right" vertical="top" wrapText="1" indent="3"/>
    </xf>
    <xf numFmtId="3" fontId="0" fillId="0" borderId="0" xfId="0" applyNumberFormat="1" applyFill="1" applyBorder="1" applyAlignment="1">
      <alignment horizontal="right" vertical="top" wrapText="1" indent="2"/>
    </xf>
    <xf numFmtId="3" fontId="7" fillId="0" borderId="0" xfId="0" applyNumberFormat="1" applyFont="1" applyFill="1" applyBorder="1" applyAlignment="1">
      <alignment horizontal="righ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right" vertical="top" wrapText="1" indent="3"/>
    </xf>
    <xf numFmtId="49" fontId="0" fillId="0" borderId="0" xfId="0" applyNumberFormat="1" applyFill="1" applyBorder="1" applyAlignment="1">
      <alignment horizontal="left" vertical="top" wrapText="1" indent="3"/>
    </xf>
    <xf numFmtId="49" fontId="7" fillId="0" borderId="2" xfId="0" applyNumberFormat="1" applyFont="1" applyBorder="1" applyAlignment="1">
      <alignment wrapText="1"/>
    </xf>
    <xf numFmtId="0" fontId="6" fillId="0" borderId="2" xfId="0" applyFont="1" applyBorder="1" applyAlignment="1"/>
    <xf numFmtId="49" fontId="7" fillId="0" borderId="0" xfId="0" applyNumberFormat="1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left" wrapText="1"/>
    </xf>
    <xf numFmtId="181" fontId="7" fillId="3" borderId="0" xfId="1" applyNumberFormat="1" applyFont="1" applyFill="1" applyBorder="1" applyAlignment="1">
      <alignment horizontal="left"/>
    </xf>
    <xf numFmtId="3" fontId="6" fillId="3" borderId="0" xfId="0" applyNumberFormat="1" applyFont="1" applyFill="1" applyBorder="1" applyAlignment="1">
      <alignment horizontal="left"/>
    </xf>
    <xf numFmtId="49" fontId="7" fillId="20" borderId="2" xfId="0" applyNumberFormat="1" applyFont="1" applyFill="1" applyBorder="1" applyAlignment="1">
      <alignment horizontal="left" wrapText="1"/>
    </xf>
    <xf numFmtId="0" fontId="7" fillId="11" borderId="2" xfId="0" applyNumberFormat="1" applyFont="1" applyFill="1" applyBorder="1" applyAlignment="1">
      <alignment horizontal="left" wrapText="1"/>
    </xf>
    <xf numFmtId="181" fontId="64" fillId="0" borderId="0" xfId="1" applyNumberFormat="1" applyFont="1" applyFill="1" applyBorder="1" applyAlignment="1">
      <alignment horizontal="left" wrapText="1"/>
    </xf>
    <xf numFmtId="181" fontId="64" fillId="0" borderId="0" xfId="1" applyNumberFormat="1" applyFont="1" applyFill="1" applyBorder="1" applyAlignment="1">
      <alignment horizontal="left"/>
    </xf>
    <xf numFmtId="3" fontId="7" fillId="0" borderId="0" xfId="0" applyNumberFormat="1" applyFont="1" applyFill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/>
    </xf>
    <xf numFmtId="0" fontId="0" fillId="0" borderId="4" xfId="0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6" fillId="0" borderId="2" xfId="3" applyFont="1" applyBorder="1"/>
    <xf numFmtId="49" fontId="6" fillId="0" borderId="2" xfId="0" applyNumberFormat="1" applyFont="1" applyFill="1" applyBorder="1" applyAlignment="1"/>
    <xf numFmtId="174" fontId="6" fillId="0" borderId="0" xfId="0" applyNumberFormat="1" applyFont="1" applyFill="1" applyAlignment="1"/>
    <xf numFmtId="49" fontId="0" fillId="0" borderId="2" xfId="0" applyNumberFormat="1" applyFill="1" applyBorder="1" applyAlignment="1">
      <alignment horizontal="left" indent="2"/>
    </xf>
    <xf numFmtId="175" fontId="6" fillId="0" borderId="0" xfId="0" applyNumberFormat="1" applyFont="1" applyFill="1" applyAlignment="1"/>
    <xf numFmtId="49" fontId="0" fillId="0" borderId="5" xfId="0" applyNumberFormat="1" applyFill="1" applyBorder="1" applyAlignment="1">
      <alignment vertical="top"/>
    </xf>
    <xf numFmtId="0" fontId="0" fillId="0" borderId="5" xfId="0" applyFill="1" applyBorder="1">
      <alignment vertical="top"/>
    </xf>
    <xf numFmtId="181" fontId="62" fillId="23" borderId="0" xfId="1" applyNumberFormat="1" applyFont="1" applyFill="1" applyBorder="1" applyAlignment="1">
      <alignment horizontal="right" vertical="top"/>
    </xf>
    <xf numFmtId="181" fontId="0" fillId="0" borderId="0" xfId="0" applyNumberFormat="1" applyFont="1" applyFill="1" applyBorder="1" applyAlignment="1">
      <alignment horizontal="right" vertical="top"/>
    </xf>
    <xf numFmtId="0" fontId="0" fillId="0" borderId="2" xfId="0" quotePrefix="1" applyNumberFormat="1" applyFont="1" applyBorder="1" applyAlignment="1">
      <alignment horizontal="left" vertical="top"/>
    </xf>
    <xf numFmtId="49" fontId="0" fillId="0" borderId="2" xfId="0" quotePrefix="1" applyNumberFormat="1" applyFont="1" applyBorder="1" applyAlignment="1">
      <alignment horizontal="left" vertical="top"/>
    </xf>
    <xf numFmtId="0" fontId="0" fillId="23" borderId="0" xfId="0" applyFont="1" applyFill="1" applyBorder="1" applyAlignment="1">
      <alignment horizontal="right" vertical="top"/>
    </xf>
    <xf numFmtId="49" fontId="0" fillId="0" borderId="2" xfId="0" applyNumberFormat="1" applyFont="1" applyFill="1" applyBorder="1" applyAlignment="1">
      <alignment horizontal="left" indent="3"/>
    </xf>
    <xf numFmtId="0" fontId="1" fillId="0" borderId="2" xfId="0" applyFont="1" applyBorder="1" applyAlignment="1"/>
    <xf numFmtId="3" fontId="0" fillId="3" borderId="0" xfId="0" applyNumberFormat="1" applyFont="1" applyFill="1" applyBorder="1" applyAlignment="1">
      <alignment horizontal="right"/>
    </xf>
    <xf numFmtId="0" fontId="0" fillId="3" borderId="0" xfId="0" applyFont="1" applyFill="1" applyBorder="1" applyAlignment="1"/>
    <xf numFmtId="0" fontId="0" fillId="3" borderId="2" xfId="0" applyFont="1" applyFill="1" applyBorder="1" applyAlignment="1">
      <alignment horizontal="left"/>
    </xf>
    <xf numFmtId="3" fontId="0" fillId="0" borderId="0" xfId="0" applyNumberFormat="1" applyFont="1" applyFill="1" applyAlignment="1">
      <alignment horizontal="left" vertical="top"/>
    </xf>
    <xf numFmtId="3" fontId="62" fillId="22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 vertical="top"/>
    </xf>
    <xf numFmtId="3" fontId="0" fillId="0" borderId="0" xfId="0" applyNumberFormat="1" applyFont="1" applyFill="1" applyBorder="1" applyAlignment="1">
      <alignment horizontal="right"/>
    </xf>
    <xf numFmtId="181" fontId="62" fillId="0" borderId="0" xfId="1" applyNumberFormat="1" applyFont="1" applyFill="1" applyBorder="1" applyAlignment="1">
      <alignment horizontal="right"/>
    </xf>
    <xf numFmtId="181" fontId="6" fillId="0" borderId="0" xfId="1" applyNumberFormat="1" applyFont="1" applyFill="1" applyBorder="1" applyAlignment="1">
      <alignment horizontal="right"/>
    </xf>
    <xf numFmtId="181" fontId="6" fillId="0" borderId="5" xfId="1" applyNumberFormat="1" applyFont="1" applyFill="1" applyBorder="1" applyAlignment="1">
      <alignment horizontal="right"/>
    </xf>
    <xf numFmtId="37" fontId="0" fillId="0" borderId="0" xfId="1" applyNumberFormat="1" applyFont="1" applyFill="1" applyBorder="1" applyAlignment="1">
      <alignment horizontal="right"/>
    </xf>
    <xf numFmtId="37" fontId="0" fillId="0" borderId="5" xfId="1" applyNumberFormat="1" applyFont="1" applyFill="1" applyBorder="1" applyAlignment="1">
      <alignment horizontal="right"/>
    </xf>
    <xf numFmtId="49" fontId="67" fillId="0" borderId="0" xfId="0" applyNumberFormat="1" applyFont="1" applyFill="1" applyBorder="1" applyAlignment="1">
      <alignment horizontal="center" vertical="top"/>
    </xf>
    <xf numFmtId="49" fontId="67" fillId="0" borderId="2" xfId="0" applyNumberFormat="1" applyFont="1" applyFill="1" applyBorder="1" applyAlignment="1">
      <alignment horizontal="left" vertical="top"/>
    </xf>
    <xf numFmtId="3" fontId="0" fillId="3" borderId="0" xfId="0" applyNumberFormat="1" applyFont="1" applyFill="1" applyBorder="1" applyAlignment="1">
      <alignment horizontal="right" vertical="top"/>
    </xf>
    <xf numFmtId="49" fontId="7" fillId="3" borderId="0" xfId="0" applyNumberFormat="1" applyFont="1" applyFill="1" applyBorder="1">
      <alignment vertical="top"/>
    </xf>
    <xf numFmtId="49" fontId="7" fillId="3" borderId="2" xfId="0" applyNumberFormat="1" applyFont="1" applyFill="1" applyBorder="1" applyAlignment="1">
      <alignment horizontal="left" vertical="top"/>
    </xf>
    <xf numFmtId="0" fontId="0" fillId="26" borderId="0" xfId="0" applyFont="1" applyFill="1" applyBorder="1">
      <alignment vertical="top"/>
    </xf>
    <xf numFmtId="0" fontId="0" fillId="26" borderId="2" xfId="0" applyFont="1" applyFill="1" applyBorder="1" applyAlignment="1">
      <alignment horizontal="left" vertical="top"/>
    </xf>
    <xf numFmtId="165" fontId="0" fillId="0" borderId="0" xfId="0" applyNumberFormat="1" applyFont="1" applyBorder="1" applyAlignment="1">
      <alignment horizontal="right" vertical="top"/>
    </xf>
    <xf numFmtId="3" fontId="0" fillId="0" borderId="0" xfId="0" applyNumberFormat="1" applyAlignment="1"/>
    <xf numFmtId="49" fontId="111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 indent="1"/>
    </xf>
    <xf numFmtId="9" fontId="0" fillId="0" borderId="0" xfId="4" applyFont="1" applyFill="1" applyBorder="1" applyAlignment="1">
      <alignment horizontal="right"/>
    </xf>
    <xf numFmtId="3" fontId="0" fillId="30" borderId="0" xfId="0" applyNumberFormat="1" applyFont="1" applyFill="1" applyAlignment="1">
      <alignment vertical="top"/>
    </xf>
    <xf numFmtId="0" fontId="0" fillId="0" borderId="0" xfId="0" applyNumberFormat="1" applyFont="1" applyFill="1" applyBorder="1" applyAlignment="1">
      <alignment horizontal="right"/>
    </xf>
    <xf numFmtId="0" fontId="0" fillId="30" borderId="0" xfId="0" applyNumberFormat="1" applyFont="1" applyFill="1" applyBorder="1" applyAlignment="1">
      <alignment horizontal="right"/>
    </xf>
    <xf numFmtId="3" fontId="0" fillId="0" borderId="0" xfId="0" applyNumberFormat="1" applyFont="1" applyFill="1" applyAlignment="1">
      <alignment horizontal="right" vertical="top"/>
    </xf>
    <xf numFmtId="0" fontId="0" fillId="16" borderId="0" xfId="0" applyNumberFormat="1" applyFont="1" applyFill="1" applyBorder="1" applyAlignment="1">
      <alignment horizontal="right"/>
    </xf>
    <xf numFmtId="43" fontId="0" fillId="30" borderId="0" xfId="1" applyNumberFormat="1" applyFont="1" applyFill="1" applyBorder="1" applyAlignment="1"/>
    <xf numFmtId="43" fontId="0" fillId="30" borderId="0" xfId="1" applyNumberFormat="1" applyFont="1" applyFill="1" applyBorder="1" applyAlignment="1">
      <alignment horizontal="left" indent="2"/>
    </xf>
    <xf numFmtId="181" fontId="7" fillId="30" borderId="0" xfId="1" applyNumberFormat="1" applyFont="1" applyFill="1" applyBorder="1" applyAlignment="1"/>
    <xf numFmtId="0" fontId="7" fillId="0" borderId="0" xfId="0" applyFont="1" applyFill="1" applyAlignment="1">
      <alignment horizontal="center" vertical="top"/>
    </xf>
    <xf numFmtId="10" fontId="112" fillId="0" borderId="0" xfId="4" applyNumberFormat="1" applyFont="1" applyBorder="1"/>
    <xf numFmtId="0" fontId="1" fillId="0" borderId="2" xfId="0" applyFont="1" applyBorder="1" applyAlignment="1">
      <alignment horizontal="left"/>
    </xf>
    <xf numFmtId="181" fontId="6" fillId="0" borderId="0" xfId="1" applyNumberFormat="1" applyFont="1" applyFill="1" applyBorder="1" applyAlignment="1">
      <alignment horizontal="left" vertical="top"/>
    </xf>
    <xf numFmtId="181" fontId="6" fillId="23" borderId="0" xfId="1" applyNumberFormat="1" applyFont="1" applyFill="1" applyBorder="1" applyAlignment="1">
      <alignment horizontal="left" vertical="top"/>
    </xf>
    <xf numFmtId="181" fontId="6" fillId="23" borderId="0" xfId="1" applyNumberFormat="1" applyFont="1" applyFill="1" applyBorder="1" applyAlignment="1">
      <alignment horizontal="right" vertical="top"/>
    </xf>
    <xf numFmtId="181" fontId="6" fillId="0" borderId="0" xfId="1" applyNumberFormat="1" applyFont="1" applyBorder="1" applyAlignment="1">
      <alignment horizontal="right" vertical="top"/>
    </xf>
    <xf numFmtId="43" fontId="6" fillId="23" borderId="0" xfId="1" applyFont="1" applyFill="1" applyBorder="1" applyAlignment="1">
      <alignment horizontal="left"/>
    </xf>
    <xf numFmtId="0" fontId="0" fillId="0" borderId="2" xfId="0" applyFont="1" applyBorder="1" applyAlignment="1"/>
    <xf numFmtId="43" fontId="62" fillId="0" borderId="0" xfId="1" applyNumberFormat="1" applyFont="1" applyFill="1" applyBorder="1" applyAlignment="1">
      <alignment horizontal="right" vertical="top"/>
    </xf>
    <xf numFmtId="3" fontId="50" fillId="23" borderId="0" xfId="1" applyNumberFormat="1" applyFont="1" applyFill="1" applyBorder="1" applyAlignment="1">
      <alignment horizontal="right" vertical="top"/>
    </xf>
    <xf numFmtId="165" fontId="50" fillId="23" borderId="0" xfId="1" applyNumberFormat="1" applyFont="1" applyFill="1" applyBorder="1" applyAlignment="1">
      <alignment horizontal="right" vertical="top"/>
    </xf>
    <xf numFmtId="4" fontId="50" fillId="23" borderId="0" xfId="1" applyNumberFormat="1" applyFont="1" applyFill="1" applyBorder="1" applyAlignment="1">
      <alignment horizontal="right" vertical="top"/>
    </xf>
    <xf numFmtId="184" fontId="50" fillId="23" borderId="0" xfId="1" applyNumberFormat="1" applyFont="1" applyFill="1" applyBorder="1" applyAlignment="1">
      <alignment horizontal="right" vertical="top"/>
    </xf>
    <xf numFmtId="3" fontId="50" fillId="23" borderId="0" xfId="0" applyNumberFormat="1" applyFont="1" applyFill="1" applyBorder="1" applyAlignment="1">
      <alignment horizontal="right" vertical="top"/>
    </xf>
    <xf numFmtId="170" fontId="80" fillId="0" borderId="0" xfId="1" applyNumberFormat="1" applyFont="1" applyFill="1" applyBorder="1" applyAlignment="1">
      <alignment horizontal="right" vertical="top"/>
    </xf>
    <xf numFmtId="170" fontId="50" fillId="0" borderId="0" xfId="1" applyNumberFormat="1" applyFont="1" applyFill="1" applyBorder="1" applyAlignment="1">
      <alignment vertical="top"/>
    </xf>
    <xf numFmtId="2" fontId="80" fillId="0" borderId="0" xfId="0" applyNumberFormat="1" applyFont="1" applyFill="1" applyBorder="1" applyAlignment="1">
      <alignment vertical="top"/>
    </xf>
    <xf numFmtId="0" fontId="50" fillId="11" borderId="0" xfId="0" applyNumberFormat="1" applyFont="1" applyFill="1" applyBorder="1" applyAlignment="1">
      <alignment horizontal="right" vertical="top"/>
    </xf>
    <xf numFmtId="0" fontId="113" fillId="11" borderId="0" xfId="0" applyFont="1" applyFill="1" applyAlignment="1">
      <alignment horizontal="left" vertical="top"/>
    </xf>
    <xf numFmtId="0" fontId="50" fillId="11" borderId="0" xfId="0" applyFont="1" applyFill="1" applyBorder="1" applyAlignment="1">
      <alignment horizontal="left" vertical="top"/>
    </xf>
    <xf numFmtId="0" fontId="50" fillId="11" borderId="2" xfId="0" applyFont="1" applyFill="1" applyBorder="1" applyAlignment="1">
      <alignment horizontal="left" vertical="top"/>
    </xf>
    <xf numFmtId="165" fontId="80" fillId="0" borderId="0" xfId="0" applyNumberFormat="1" applyFont="1" applyFill="1" applyBorder="1" applyAlignment="1">
      <alignment horizontal="right" vertical="top"/>
    </xf>
    <xf numFmtId="0" fontId="80" fillId="0" borderId="0" xfId="0" applyFont="1" applyAlignment="1">
      <alignment horizontal="left" vertical="top"/>
    </xf>
    <xf numFmtId="0" fontId="85" fillId="0" borderId="0" xfId="0" applyFont="1" applyFill="1" applyAlignment="1">
      <alignment horizontal="left" vertical="top"/>
    </xf>
    <xf numFmtId="4" fontId="50" fillId="23" borderId="0" xfId="0" applyNumberFormat="1" applyFont="1" applyFill="1" applyAlignment="1">
      <alignment horizontal="right" vertical="top"/>
    </xf>
    <xf numFmtId="0" fontId="7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2" xfId="0" applyNumberFormat="1" applyFont="1" applyFill="1" applyBorder="1" applyAlignment="1">
      <alignment horizontal="left" indent="1"/>
    </xf>
    <xf numFmtId="2" fontId="0" fillId="0" borderId="0" xfId="4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left"/>
    </xf>
    <xf numFmtId="181" fontId="0" fillId="0" borderId="0" xfId="1" applyNumberFormat="1" applyFont="1" applyFill="1" applyBorder="1" applyAlignment="1">
      <alignment horizontal="right"/>
    </xf>
    <xf numFmtId="10" fontId="0" fillId="0" borderId="0" xfId="0" applyNumberFormat="1" applyFont="1" applyFill="1" applyBorder="1" applyAlignment="1">
      <alignment horizontal="right"/>
    </xf>
    <xf numFmtId="9" fontId="0" fillId="0" borderId="0" xfId="4" applyFont="1" applyFill="1" applyBorder="1" applyAlignment="1"/>
    <xf numFmtId="43" fontId="0" fillId="0" borderId="0" xfId="1" applyNumberFormat="1" applyFont="1" applyFill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3" fontId="0" fillId="0" borderId="0" xfId="0" applyNumberFormat="1" applyFill="1" applyBorder="1" applyAlignment="1">
      <alignment horizontal="right" vertical="top"/>
    </xf>
    <xf numFmtId="43" fontId="0" fillId="0" borderId="0" xfId="4" applyNumberFormat="1" applyFont="1" applyFill="1" applyBorder="1" applyAlignment="1">
      <alignment horizontal="right" vertical="top"/>
    </xf>
    <xf numFmtId="165" fontId="0" fillId="0" borderId="0" xfId="0" applyNumberFormat="1" applyFont="1" applyFill="1" applyBorder="1" applyAlignment="1">
      <alignment horizontal="right" vertical="top"/>
    </xf>
    <xf numFmtId="165" fontId="6" fillId="0" borderId="0" xfId="0" applyNumberFormat="1" applyFont="1" applyFill="1" applyBorder="1" applyAlignment="1">
      <alignment horizontal="right" vertical="top" wrapText="1"/>
    </xf>
    <xf numFmtId="181" fontId="0" fillId="0" borderId="5" xfId="1" applyNumberFormat="1" applyFont="1" applyBorder="1" applyAlignment="1">
      <alignment horizontal="right" vertical="top"/>
    </xf>
    <xf numFmtId="49" fontId="7" fillId="24" borderId="2" xfId="0" applyNumberFormat="1" applyFont="1" applyFill="1" applyBorder="1" applyAlignment="1">
      <alignment vertical="top"/>
    </xf>
    <xf numFmtId="0" fontId="6" fillId="23" borderId="0" xfId="0" applyFont="1" applyFill="1" applyAlignment="1">
      <alignment vertical="top"/>
    </xf>
    <xf numFmtId="0" fontId="0" fillId="0" borderId="2" xfId="0" applyFont="1" applyFill="1" applyBorder="1" applyAlignment="1">
      <alignment vertical="top"/>
    </xf>
    <xf numFmtId="3" fontId="0" fillId="23" borderId="0" xfId="0" applyNumberFormat="1" applyFill="1" applyAlignment="1">
      <alignment horizontal="right"/>
    </xf>
    <xf numFmtId="181" fontId="0" fillId="0" borderId="0" xfId="1" applyNumberFormat="1" applyFont="1" applyBorder="1" applyAlignment="1">
      <alignment horizontal="left" vertical="top"/>
    </xf>
    <xf numFmtId="181" fontId="7" fillId="0" borderId="0" xfId="1" applyNumberFormat="1" applyFont="1" applyBorder="1" applyAlignment="1">
      <alignment horizontal="left" vertical="top"/>
    </xf>
    <xf numFmtId="0" fontId="50" fillId="0" borderId="0" xfId="0" applyFont="1" applyFill="1" applyBorder="1" applyAlignment="1"/>
    <xf numFmtId="0" fontId="50" fillId="0" borderId="0" xfId="0" applyFont="1" applyFill="1">
      <alignment vertical="top"/>
    </xf>
    <xf numFmtId="181" fontId="7" fillId="0" borderId="0" xfId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0" fontId="0" fillId="0" borderId="0" xfId="0" applyNumberFormat="1" applyFont="1" applyFill="1" applyAlignment="1">
      <alignment vertical="top"/>
    </xf>
    <xf numFmtId="1" fontId="0" fillId="0" borderId="0" xfId="0" applyNumberFormat="1" applyFill="1">
      <alignment vertical="top"/>
    </xf>
    <xf numFmtId="1" fontId="0" fillId="0" borderId="0" xfId="4" applyNumberFormat="1" applyFont="1" applyFill="1" applyAlignment="1">
      <alignment vertical="top"/>
    </xf>
    <xf numFmtId="1" fontId="0" fillId="23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indent="1"/>
    </xf>
    <xf numFmtId="3" fontId="7" fillId="24" borderId="0" xfId="4" applyNumberFormat="1" applyFont="1" applyFill="1" applyAlignment="1">
      <alignment vertical="top"/>
    </xf>
    <xf numFmtId="49" fontId="30" fillId="24" borderId="2" xfId="0" applyNumberFormat="1" applyFont="1" applyFill="1" applyBorder="1" applyAlignment="1">
      <alignment vertical="top"/>
    </xf>
    <xf numFmtId="49" fontId="7" fillId="16" borderId="2" xfId="0" applyNumberFormat="1" applyFont="1" applyFill="1" applyBorder="1" applyAlignment="1">
      <alignment horizontal="left" vertical="top" wrapText="1"/>
    </xf>
    <xf numFmtId="0" fontId="7" fillId="24" borderId="2" xfId="0" applyNumberFormat="1" applyFont="1" applyFill="1" applyBorder="1" applyAlignment="1">
      <alignment horizontal="left"/>
    </xf>
    <xf numFmtId="181" fontId="7" fillId="24" borderId="0" xfId="1" applyNumberFormat="1" applyFont="1" applyFill="1" applyAlignment="1">
      <alignment vertical="top"/>
    </xf>
    <xf numFmtId="0" fontId="69" fillId="47" borderId="2" xfId="0" applyNumberFormat="1" applyFont="1" applyFill="1" applyBorder="1" applyAlignment="1">
      <alignment horizontal="left"/>
    </xf>
    <xf numFmtId="0" fontId="69" fillId="47" borderId="0" xfId="0" applyNumberFormat="1" applyFont="1" applyFill="1" applyBorder="1" applyAlignment="1">
      <alignment horizontal="left"/>
    </xf>
    <xf numFmtId="0" fontId="89" fillId="47" borderId="0" xfId="0" applyNumberFormat="1" applyFont="1" applyFill="1" applyBorder="1" applyAlignment="1"/>
    <xf numFmtId="49" fontId="0" fillId="47" borderId="0" xfId="0" applyNumberFormat="1" applyFont="1" applyFill="1" applyBorder="1" applyAlignment="1">
      <alignment vertical="top"/>
    </xf>
    <xf numFmtId="49" fontId="30" fillId="47" borderId="2" xfId="0" applyNumberFormat="1" applyFont="1" applyFill="1" applyBorder="1" applyAlignment="1">
      <alignment vertical="top"/>
    </xf>
    <xf numFmtId="49" fontId="69" fillId="47" borderId="2" xfId="0" applyNumberFormat="1" applyFont="1" applyFill="1" applyBorder="1" applyAlignment="1">
      <alignment horizontal="left"/>
    </xf>
    <xf numFmtId="3" fontId="69" fillId="47" borderId="0" xfId="4" applyNumberFormat="1" applyFont="1" applyFill="1" applyAlignment="1">
      <alignment vertical="top"/>
    </xf>
    <xf numFmtId="0" fontId="69" fillId="47" borderId="0" xfId="0" applyFont="1" applyFill="1" applyBorder="1" applyAlignment="1">
      <alignment vertical="top"/>
    </xf>
    <xf numFmtId="49" fontId="70" fillId="47" borderId="0" xfId="0" applyNumberFormat="1" applyFont="1" applyFill="1" applyBorder="1" applyAlignment="1">
      <alignment vertical="top"/>
    </xf>
    <xf numFmtId="49" fontId="109" fillId="47" borderId="2" xfId="0" applyNumberFormat="1" applyFont="1" applyFill="1" applyBorder="1" applyAlignment="1">
      <alignment vertical="top"/>
    </xf>
    <xf numFmtId="3" fontId="0" fillId="47" borderId="0" xfId="0" applyNumberFormat="1" applyFont="1" applyFill="1" applyAlignment="1">
      <alignment vertical="top"/>
    </xf>
    <xf numFmtId="0" fontId="0" fillId="47" borderId="0" xfId="0" applyFont="1" applyFill="1" applyBorder="1" applyAlignment="1">
      <alignment vertical="top"/>
    </xf>
    <xf numFmtId="2" fontId="0" fillId="0" borderId="0" xfId="4" applyNumberFormat="1" applyFont="1" applyFill="1" applyAlignment="1">
      <alignment vertical="top"/>
    </xf>
    <xf numFmtId="49" fontId="7" fillId="16" borderId="0" xfId="0" applyNumberFormat="1" applyFont="1" applyFill="1" applyBorder="1" applyAlignment="1">
      <alignment horizontal="left"/>
    </xf>
    <xf numFmtId="0" fontId="0" fillId="0" borderId="5" xfId="0" applyNumberFormat="1" applyFont="1" applyFill="1" applyBorder="1" applyAlignment="1"/>
    <xf numFmtId="0" fontId="0" fillId="0" borderId="5" xfId="0" applyBorder="1" applyAlignment="1">
      <alignment vertical="top"/>
    </xf>
    <xf numFmtId="0" fontId="5" fillId="16" borderId="5" xfId="0" applyFont="1" applyFill="1" applyBorder="1" applyAlignment="1"/>
    <xf numFmtId="0" fontId="1" fillId="0" borderId="5" xfId="0" applyFont="1" applyFill="1" applyBorder="1" applyAlignment="1"/>
    <xf numFmtId="0" fontId="69" fillId="47" borderId="0" xfId="0" applyFont="1" applyFill="1">
      <alignment vertical="top"/>
    </xf>
    <xf numFmtId="0" fontId="70" fillId="47" borderId="0" xfId="0" applyFont="1" applyFill="1">
      <alignment vertical="top"/>
    </xf>
    <xf numFmtId="0" fontId="30" fillId="16" borderId="2" xfId="0" applyFont="1" applyFill="1" applyBorder="1" applyAlignment="1">
      <alignment vertical="top"/>
    </xf>
    <xf numFmtId="0" fontId="7" fillId="24" borderId="0" xfId="0" applyFont="1" applyFill="1">
      <alignment vertical="top"/>
    </xf>
    <xf numFmtId="0" fontId="109" fillId="47" borderId="2" xfId="0" applyFont="1" applyFill="1" applyBorder="1" applyAlignment="1">
      <alignment vertical="top"/>
    </xf>
    <xf numFmtId="0" fontId="69" fillId="47" borderId="2" xfId="0" applyFont="1" applyFill="1" applyBorder="1">
      <alignment vertical="top"/>
    </xf>
    <xf numFmtId="0" fontId="7" fillId="16" borderId="2" xfId="0" applyFont="1" applyFill="1" applyBorder="1">
      <alignment vertical="top"/>
    </xf>
    <xf numFmtId="0" fontId="0" fillId="0" borderId="2" xfId="0" applyFill="1" applyBorder="1" applyAlignment="1">
      <alignment horizontal="left" vertical="top" indent="1"/>
    </xf>
    <xf numFmtId="0" fontId="30" fillId="24" borderId="2" xfId="0" applyFont="1" applyFill="1" applyBorder="1" applyAlignment="1">
      <alignment vertical="top"/>
    </xf>
    <xf numFmtId="0" fontId="0" fillId="0" borderId="5" xfId="0" applyBorder="1" applyAlignment="1">
      <alignment horizontal="left" vertical="top" indent="1"/>
    </xf>
    <xf numFmtId="0" fontId="89" fillId="0" borderId="5" xfId="0" applyNumberFormat="1" applyFont="1" applyFill="1" applyBorder="1" applyAlignment="1"/>
    <xf numFmtId="0" fontId="7" fillId="24" borderId="2" xfId="0" applyFont="1" applyFill="1" applyBorder="1">
      <alignment vertical="top"/>
    </xf>
    <xf numFmtId="49" fontId="0" fillId="0" borderId="0" xfId="0" applyNumberFormat="1" applyFont="1" applyFill="1" applyBorder="1" applyAlignment="1">
      <alignment horizontal="left" vertical="top" indent="1"/>
    </xf>
    <xf numFmtId="49" fontId="0" fillId="0" borderId="0" xfId="0" applyNumberFormat="1" applyFont="1" applyFill="1" applyBorder="1" applyAlignment="1">
      <alignment horizontal="left" indent="1"/>
    </xf>
    <xf numFmtId="49" fontId="0" fillId="0" borderId="0" xfId="0" applyNumberFormat="1" applyFont="1" applyFill="1" applyBorder="1" applyAlignment="1">
      <alignment horizontal="left" indent="2"/>
    </xf>
    <xf numFmtId="9" fontId="50" fillId="0" borderId="0" xfId="0" applyNumberFormat="1" applyFont="1">
      <alignment vertical="top"/>
    </xf>
    <xf numFmtId="181" fontId="50" fillId="0" borderId="0" xfId="0" applyNumberFormat="1" applyFont="1">
      <alignment vertical="top"/>
    </xf>
    <xf numFmtId="3" fontId="50" fillId="0" borderId="0" xfId="0" applyNumberFormat="1" applyFont="1" applyFill="1">
      <alignment vertical="top"/>
    </xf>
    <xf numFmtId="181" fontId="50" fillId="0" borderId="0" xfId="1" applyNumberFormat="1" applyFont="1" applyFill="1" applyAlignment="1">
      <alignment vertical="top"/>
    </xf>
    <xf numFmtId="181" fontId="50" fillId="0" borderId="0" xfId="1" quotePrefix="1" applyNumberFormat="1" applyFont="1" applyFill="1" applyAlignment="1">
      <alignment vertical="top"/>
    </xf>
    <xf numFmtId="1" fontId="50" fillId="0" borderId="0" xfId="0" applyNumberFormat="1" applyFont="1" applyFill="1">
      <alignment vertical="top"/>
    </xf>
    <xf numFmtId="0" fontId="80" fillId="0" borderId="0" xfId="0" applyFont="1" applyFill="1">
      <alignment vertical="top"/>
    </xf>
    <xf numFmtId="37" fontId="7" fillId="24" borderId="0" xfId="1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2" fontId="0" fillId="0" borderId="0" xfId="0" applyNumberFormat="1" applyFont="1" applyFill="1" applyBorder="1" applyAlignment="1">
      <alignment horizontal="left" vertical="top"/>
    </xf>
    <xf numFmtId="3" fontId="0" fillId="23" borderId="0" xfId="0" applyNumberFormat="1" applyFont="1" applyFill="1" applyBorder="1" applyAlignment="1">
      <alignment vertical="top"/>
    </xf>
    <xf numFmtId="181" fontId="7" fillId="24" borderId="5" xfId="1" applyNumberFormat="1" applyFont="1" applyFill="1" applyBorder="1" applyAlignment="1">
      <alignment horizontal="right" vertical="top"/>
    </xf>
    <xf numFmtId="178" fontId="6" fillId="22" borderId="0" xfId="1" applyNumberFormat="1" applyFont="1" applyFill="1" applyBorder="1" applyAlignment="1">
      <alignment horizontal="right"/>
    </xf>
    <xf numFmtId="14" fontId="0" fillId="0" borderId="0" xfId="0" applyNumberFormat="1">
      <alignment vertical="top"/>
    </xf>
    <xf numFmtId="49" fontId="7" fillId="0" borderId="0" xfId="0" applyNumberFormat="1" applyFont="1" applyFill="1" applyBorder="1" applyAlignment="1">
      <alignment horizontal="left"/>
    </xf>
    <xf numFmtId="3" fontId="7" fillId="22" borderId="0" xfId="0" applyNumberFormat="1" applyFont="1" applyFill="1" applyBorder="1" applyAlignment="1">
      <alignment horizontal="right" vertical="top"/>
    </xf>
    <xf numFmtId="9" fontId="0" fillId="0" borderId="0" xfId="0" applyNumberFormat="1">
      <alignment vertical="top"/>
    </xf>
    <xf numFmtId="0" fontId="0" fillId="11" borderId="0" xfId="0" applyFill="1">
      <alignment vertical="top"/>
    </xf>
    <xf numFmtId="0" fontId="103" fillId="0" borderId="41" xfId="0" applyFont="1" applyFill="1" applyBorder="1" applyAlignment="1">
      <alignment horizontal="left" indent="1"/>
    </xf>
    <xf numFmtId="0" fontId="103" fillId="0" borderId="42" xfId="0" applyFont="1" applyFill="1" applyBorder="1" applyAlignment="1"/>
    <xf numFmtId="182" fontId="50" fillId="0" borderId="43" xfId="1" applyNumberFormat="1" applyFont="1" applyBorder="1" applyAlignment="1"/>
    <xf numFmtId="0" fontId="0" fillId="0" borderId="0" xfId="0" applyNumberFormat="1" applyFont="1" applyFill="1" applyBorder="1" applyAlignment="1">
      <alignment horizontal="left"/>
    </xf>
    <xf numFmtId="10" fontId="6" fillId="0" borderId="0" xfId="4" applyNumberFormat="1" applyFont="1" applyBorder="1" applyAlignment="1">
      <alignment horizontal="right" vertical="top"/>
    </xf>
    <xf numFmtId="0" fontId="41" fillId="9" borderId="25" xfId="0" applyFont="1" applyFill="1" applyBorder="1" applyAlignment="1">
      <alignment horizontal="left" wrapText="1"/>
    </xf>
    <xf numFmtId="0" fontId="41" fillId="9" borderId="17" xfId="0" applyFont="1" applyFill="1" applyBorder="1" applyAlignment="1">
      <alignment horizontal="left" wrapText="1"/>
    </xf>
    <xf numFmtId="0" fontId="7" fillId="6" borderId="7" xfId="0" applyNumberFormat="1" applyFont="1" applyFill="1" applyBorder="1" applyAlignment="1">
      <alignment horizontal="center"/>
    </xf>
    <xf numFmtId="49" fontId="7" fillId="6" borderId="7" xfId="0" applyNumberFormat="1" applyFont="1" applyFill="1" applyBorder="1" applyAlignment="1">
      <alignment horizontal="center" vertical="top"/>
    </xf>
    <xf numFmtId="181" fontId="7" fillId="0" borderId="7" xfId="1" applyNumberFormat="1" applyFont="1" applyBorder="1" applyAlignment="1">
      <alignment horizontal="center"/>
    </xf>
    <xf numFmtId="0" fontId="74" fillId="20" borderId="7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165" fontId="73" fillId="0" borderId="0" xfId="1" applyNumberFormat="1" applyFont="1" applyFill="1" applyBorder="1" applyAlignment="1">
      <alignment horizontal="center" vertical="center" wrapText="1"/>
    </xf>
    <xf numFmtId="182" fontId="73" fillId="0" borderId="0" xfId="1" applyNumberFormat="1" applyFont="1" applyFill="1" applyBorder="1" applyAlignment="1">
      <alignment horizontal="center" vertical="center" wrapText="1"/>
    </xf>
    <xf numFmtId="181" fontId="73" fillId="0" borderId="0" xfId="1" applyNumberFormat="1" applyFont="1" applyFill="1" applyBorder="1" applyAlignment="1">
      <alignment vertical="center"/>
    </xf>
    <xf numFmtId="43" fontId="73" fillId="0" borderId="0" xfId="1" applyNumberFormat="1" applyFont="1" applyFill="1" applyBorder="1" applyAlignment="1">
      <alignment vertical="center" wrapText="1"/>
    </xf>
    <xf numFmtId="181" fontId="73" fillId="0" borderId="0" xfId="1" applyNumberFormat="1" applyFont="1" applyFill="1" applyBorder="1" applyAlignment="1">
      <alignment horizontal="center" vertical="center" wrapText="1"/>
    </xf>
    <xf numFmtId="43" fontId="73" fillId="0" borderId="0" xfId="1" applyNumberFormat="1" applyFont="1" applyFill="1" applyBorder="1" applyAlignment="1">
      <alignment horizontal="center" vertical="center" wrapText="1"/>
    </xf>
    <xf numFmtId="0" fontId="96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/>
    </xf>
    <xf numFmtId="49" fontId="7" fillId="0" borderId="5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16" borderId="5" xfId="0" applyFont="1" applyFill="1" applyBorder="1" applyAlignment="1">
      <alignment horizontal="left" vertical="top"/>
    </xf>
    <xf numFmtId="0" fontId="7" fillId="16" borderId="0" xfId="0" applyFont="1" applyFill="1" applyBorder="1" applyAlignment="1">
      <alignment horizontal="left" vertical="top"/>
    </xf>
    <xf numFmtId="0" fontId="7" fillId="16" borderId="0" xfId="0" applyNumberFormat="1" applyFont="1" applyFill="1" applyBorder="1" applyAlignment="1">
      <alignment horizontal="left"/>
    </xf>
    <xf numFmtId="0" fontId="0" fillId="16" borderId="0" xfId="0" applyFill="1" applyAlignment="1">
      <alignment vertical="top"/>
    </xf>
    <xf numFmtId="0" fontId="0" fillId="16" borderId="2" xfId="0" applyFill="1" applyBorder="1" applyAlignment="1">
      <alignment vertical="top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5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49" fontId="7" fillId="0" borderId="5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49" fontId="7" fillId="0" borderId="5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80" fillId="0" borderId="0" xfId="0" applyFont="1" applyBorder="1" applyAlignment="1">
      <alignment horizontal="center" vertical="top"/>
    </xf>
    <xf numFmtId="0" fontId="50" fillId="0" borderId="2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13">
    <cellStyle name="Comma" xfId="1" builtinId="3"/>
    <cellStyle name="Currency" xfId="12" builtinId="4"/>
    <cellStyle name="Heading" xfId="2"/>
    <cellStyle name="Hyperlink" xfId="10" builtinId="8"/>
    <cellStyle name="Normal" xfId="0" builtinId="0"/>
    <cellStyle name="Normal_Ref" xfId="3"/>
    <cellStyle name="Percent" xfId="4" builtinId="5"/>
    <cellStyle name="Source Text" xfId="5"/>
    <cellStyle name="tableData" xfId="6"/>
    <cellStyle name="tableData 2" xfId="11"/>
    <cellStyle name="text" xfId="7"/>
    <cellStyle name="Title" xfId="8" builtinId="15" customBuiltin="1"/>
    <cellStyle name="Title_Ref" xfId="9"/>
  </cellStyles>
  <dxfs count="5"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>
    <tableStyle name="MySqlDefault" pivot="0" table="0" count="2">
      <tableStyleElement type="wholeTable" dxfId="4"/>
      <tableStyleElement type="headerRow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AF3333"/>
      <color rgb="FFFDC703"/>
      <color rgb="FFCFABD5"/>
      <color rgb="FFFF00FF"/>
      <color rgb="FF00FFFF"/>
      <color rgb="FFF7994B"/>
      <color rgb="FFFFFF99"/>
      <color rgb="FFB87ED8"/>
      <color rgb="FFE5D0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642850094866"/>
          <c:y val="5.3349143539798624E-2"/>
          <c:w val="0.45008426578256677"/>
          <c:h val="0.81890367764943095"/>
        </c:manualLayout>
      </c:layout>
      <c:barChart>
        <c:barDir val="col"/>
        <c:grouping val="stacked"/>
        <c:varyColors val="0"/>
        <c:ser>
          <c:idx val="10"/>
          <c:order val="0"/>
          <c:tx>
            <c:strRef>
              <c:f>'03-08_ReportTbl'!$B$57</c:f>
              <c:strCache>
                <c:ptCount val="1"/>
                <c:pt idx="0">
                  <c:v>LAND USE CHANGE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'03-08_ReportTbl'!$F$57:$G$57</c:f>
              <c:numCache>
                <c:formatCode>#,##0</c:formatCode>
                <c:ptCount val="2"/>
                <c:pt idx="0">
                  <c:v>122780.83821320487</c:v>
                </c:pt>
                <c:pt idx="1">
                  <c:v>53277.493728684618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73-4FBA-BCA1-795F79C69CF5}"/>
            </c:ext>
          </c:extLst>
        </c:ser>
        <c:ser>
          <c:idx val="9"/>
          <c:order val="1"/>
          <c:tx>
            <c:strRef>
              <c:f>'03-08_ReportTbl'!$B$52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'03-08_ReportTbl'!$F$52:$G$52</c:f>
              <c:numCache>
                <c:formatCode>#,##0</c:formatCode>
                <c:ptCount val="2"/>
                <c:pt idx="0">
                  <c:v>144507.11507820163</c:v>
                </c:pt>
                <c:pt idx="1">
                  <c:v>157511.06932401942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73-4FBA-BCA1-795F79C69CF5}"/>
            </c:ext>
          </c:extLst>
        </c:ser>
        <c:ser>
          <c:idx val="8"/>
          <c:order val="2"/>
          <c:tx>
            <c:v>Wast</c:v>
          </c:tx>
          <c:spPr>
            <a:solidFill>
              <a:srgbClr val="A6A6A6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'03-08_ReportTbl'!$F$48:$G$48</c:f>
              <c:numCache>
                <c:formatCode>#,##0</c:formatCode>
                <c:ptCount val="2"/>
                <c:pt idx="0">
                  <c:v>217928.54525733899</c:v>
                </c:pt>
                <c:pt idx="1">
                  <c:v>216716.8016784559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73-4FBA-BCA1-795F79C69CF5}"/>
            </c:ext>
          </c:extLst>
        </c:ser>
        <c:ser>
          <c:idx val="7"/>
          <c:order val="3"/>
          <c:tx>
            <c:strRef>
              <c:f>'03-08_ReportTbl'!$C$44</c:f>
              <c:strCache>
                <c:ptCount val="1"/>
                <c:pt idx="0">
                  <c:v>Fugitive Gases</c:v>
                </c:pt>
              </c:strCache>
            </c:strRef>
          </c:tx>
          <c:spPr>
            <a:solidFill>
              <a:srgbClr val="CDAAE8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'03-08_ReportTbl'!$F$44:$G$44</c:f>
              <c:numCache>
                <c:formatCode>#,##0</c:formatCode>
                <c:ptCount val="2"/>
                <c:pt idx="0">
                  <c:v>592617.11735346261</c:v>
                </c:pt>
                <c:pt idx="1">
                  <c:v>731758.25221599825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73-4FBA-BCA1-795F79C69CF5}"/>
            </c:ext>
          </c:extLst>
        </c:ser>
        <c:ser>
          <c:idx val="6"/>
          <c:order val="4"/>
          <c:tx>
            <c:strRef>
              <c:f>'03-08_ReportTbl'!$C$40</c:f>
              <c:strCache>
                <c:ptCount val="1"/>
                <c:pt idx="0">
                  <c:v>Process</c:v>
                </c:pt>
              </c:strCache>
            </c:strRef>
          </c:tx>
          <c:spPr>
            <a:solidFill>
              <a:srgbClr val="A244AC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'03-08_ReportTbl'!$F$40:$G$40</c:f>
              <c:numCache>
                <c:formatCode>#,##0</c:formatCode>
                <c:ptCount val="2"/>
                <c:pt idx="0">
                  <c:v>451499.23418948852</c:v>
                </c:pt>
                <c:pt idx="1">
                  <c:v>435007.8194521399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73-4FBA-BCA1-795F79C69CF5}"/>
            </c:ext>
          </c:extLst>
        </c:ser>
        <c:ser>
          <c:idx val="5"/>
          <c:order val="5"/>
          <c:tx>
            <c:strRef>
              <c:f>'03-08_ReportTbl'!$C$32</c:f>
              <c:strCache>
                <c:ptCount val="1"/>
                <c:pt idx="0">
                  <c:v>Energy Use</c:v>
                </c:pt>
              </c:strCache>
            </c:strRef>
          </c:tx>
          <c:spPr>
            <a:solidFill>
              <a:srgbClr val="742DC3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'03-08_ReportTbl'!$F$32:$G$32</c:f>
              <c:numCache>
                <c:formatCode>#,##0</c:formatCode>
                <c:ptCount val="2"/>
                <c:pt idx="0">
                  <c:v>2170588.037865777</c:v>
                </c:pt>
                <c:pt idx="1">
                  <c:v>3349250.4500484993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473-4FBA-BCA1-795F79C69CF5}"/>
            </c:ext>
          </c:extLst>
        </c:ser>
        <c:ser>
          <c:idx val="4"/>
          <c:order val="6"/>
          <c:tx>
            <c:strRef>
              <c:f>'03-08_ReportTbl'!$C$23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rgbClr val="ECAF04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'03-08_ReportTbl'!$F$23:$G$23</c:f>
              <c:numCache>
                <c:formatCode>#,##0</c:formatCode>
                <c:ptCount val="2"/>
                <c:pt idx="0">
                  <c:v>3579791.8019358711</c:v>
                </c:pt>
                <c:pt idx="1">
                  <c:v>4044408.9108456257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473-4FBA-BCA1-795F79C69CF5}"/>
            </c:ext>
          </c:extLst>
        </c:ser>
        <c:ser>
          <c:idx val="3"/>
          <c:order val="7"/>
          <c:tx>
            <c:strRef>
              <c:f>'03-08_ReportTbl'!$C$18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rgbClr val="DA6116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'03-08_ReportTbl'!$F$18:$G$18</c:f>
              <c:numCache>
                <c:formatCode>#,##0</c:formatCode>
                <c:ptCount val="2"/>
                <c:pt idx="0">
                  <c:v>3762582.2038882524</c:v>
                </c:pt>
                <c:pt idx="1">
                  <c:v>4136066.4948832104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473-4FBA-BCA1-795F79C69CF5}"/>
            </c:ext>
          </c:extLst>
        </c:ser>
        <c:ser>
          <c:idx val="2"/>
          <c:order val="8"/>
          <c:tx>
            <c:strRef>
              <c:f>'03-08_ReportTbl'!$C$13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rgbClr val="11BDDF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'03-08_ReportTbl'!$F$13:$G$13</c:f>
              <c:numCache>
                <c:formatCode>#,##0</c:formatCode>
                <c:ptCount val="2"/>
                <c:pt idx="0">
                  <c:v>1895030.034232178</c:v>
                </c:pt>
                <c:pt idx="1">
                  <c:v>2177035.102117118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473-4FBA-BCA1-795F79C69CF5}"/>
            </c:ext>
          </c:extLst>
        </c:ser>
        <c:ser>
          <c:idx val="1"/>
          <c:order val="9"/>
          <c:tx>
            <c:strRef>
              <c:f>'03-08_ReportTbl'!$C$9</c:f>
              <c:strCache>
                <c:ptCount val="1"/>
                <c:pt idx="0">
                  <c:v>Marine &amp; Rail </c:v>
                </c:pt>
              </c:strCache>
            </c:strRef>
          </c:tx>
          <c:spPr>
            <a:solidFill>
              <a:srgbClr val="1A8AD6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'03-08_ReportTbl'!$F$9:$G$9</c:f>
              <c:numCache>
                <c:formatCode>#,##0</c:formatCode>
                <c:ptCount val="2"/>
                <c:pt idx="0">
                  <c:v>266120.67308702657</c:v>
                </c:pt>
                <c:pt idx="1">
                  <c:v>308876.38855566649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473-4FBA-BCA1-795F79C69CF5}"/>
            </c:ext>
          </c:extLst>
        </c:ser>
        <c:ser>
          <c:idx val="0"/>
          <c:order val="10"/>
          <c:tx>
            <c:strRef>
              <c:f>'03-08_ReportTbl'!$C$5</c:f>
              <c:strCache>
                <c:ptCount val="1"/>
                <c:pt idx="0">
                  <c:v>Road </c:v>
                </c:pt>
              </c:strCache>
            </c:strRef>
          </c:tx>
          <c:spPr>
            <a:solidFill>
              <a:srgbClr val="350BE5"/>
            </a:solidFill>
          </c:spPr>
          <c:invertIfNegative val="0"/>
          <c:cat>
            <c:numRef>
              <c:f>'03-08_ReportTbl'!$F$2:$G$2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'03-08_ReportTbl'!$F$5:$G$5</c:f>
              <c:numCache>
                <c:formatCode>#,##0</c:formatCode>
                <c:ptCount val="2"/>
                <c:pt idx="0">
                  <c:v>9168576.8379433844</c:v>
                </c:pt>
                <c:pt idx="1">
                  <c:v>8867824.3366023097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473-4FBA-BCA1-795F79C69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688976"/>
        <c:axId val="2040679184"/>
      </c:barChart>
      <c:catAx>
        <c:axId val="204068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40679184"/>
        <c:crosses val="autoZero"/>
        <c:auto val="1"/>
        <c:lblAlgn val="ctr"/>
        <c:lblOffset val="100"/>
        <c:noMultiLvlLbl val="0"/>
      </c:catAx>
      <c:valAx>
        <c:axId val="2040679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Metric</a:t>
                </a:r>
                <a:r>
                  <a:rPr lang="en-US" sz="1200" baseline="0"/>
                  <a:t> Tons </a:t>
                </a:r>
                <a:r>
                  <a:rPr lang="en-US" sz="1200"/>
                  <a:t>CO</a:t>
                </a:r>
                <a:r>
                  <a:rPr lang="en-US" sz="1200" baseline="-25000"/>
                  <a:t>2</a:t>
                </a:r>
                <a:r>
                  <a:rPr lang="en-US" sz="1200"/>
                  <a:t>e</a:t>
                </a:r>
              </a:p>
            </c:rich>
          </c:tx>
          <c:layout>
            <c:manualLayout>
              <c:xMode val="edge"/>
              <c:yMode val="edge"/>
              <c:x val="1.3950399057260702E-2"/>
              <c:y val="0.414269158256626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40688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'03-08_SectorTbl'!$F$202</c:f>
              <c:strCache>
                <c:ptCount val="1"/>
                <c:pt idx="0">
                  <c:v>Cedar Hills landfill</c:v>
                </c:pt>
              </c:strCache>
            </c:strRef>
          </c:tx>
          <c:invertIfNegative val="0"/>
          <c:cat>
            <c:strRef>
              <c:f>'03-08_SectorTbl'!$G$201:$H$201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'03-08_SectorTbl'!$G$202:$H$202</c:f>
              <c:numCache>
                <c:formatCode>#,##0</c:formatCode>
                <c:ptCount val="2"/>
                <c:pt idx="0">
                  <c:v>108363.43299638538</c:v>
                </c:pt>
                <c:pt idx="1">
                  <c:v>110690.6216177976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0-4E89-86BF-ECE4500C4B17}"/>
            </c:ext>
          </c:extLst>
        </c:ser>
        <c:ser>
          <c:idx val="1"/>
          <c:order val="1"/>
          <c:tx>
            <c:strRef>
              <c:f>'03-08_SectorTbl'!$F$204</c:f>
              <c:strCache>
                <c:ptCount val="1"/>
                <c:pt idx="0">
                  <c:v>Wastewater Treatment </c:v>
                </c:pt>
              </c:strCache>
            </c:strRef>
          </c:tx>
          <c:invertIfNegative val="0"/>
          <c:cat>
            <c:strRef>
              <c:f>'03-08_SectorTbl'!$G$201:$H$201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'03-08_SectorTbl'!$G$204:$H$204</c:f>
              <c:numCache>
                <c:formatCode>#,##0</c:formatCode>
                <c:ptCount val="2"/>
                <c:pt idx="0">
                  <c:v>3693.0787502028761</c:v>
                </c:pt>
                <c:pt idx="1">
                  <c:v>3931.9916906143217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90-4E89-86BF-ECE4500C4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7539584"/>
        <c:axId val="1787540128"/>
      </c:barChart>
      <c:catAx>
        <c:axId val="178753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787540128"/>
        <c:crosses val="autoZero"/>
        <c:auto val="1"/>
        <c:lblAlgn val="ctr"/>
        <c:lblOffset val="100"/>
        <c:noMultiLvlLbl val="0"/>
      </c:catAx>
      <c:valAx>
        <c:axId val="1787540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78753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'03-08_SectorTbl'!$F$213</c:f>
              <c:strCache>
                <c:ptCount val="1"/>
                <c:pt idx="0">
                  <c:v>Enteric Emissions from Livestock</c:v>
                </c:pt>
              </c:strCache>
            </c:strRef>
          </c:tx>
          <c:invertIfNegative val="0"/>
          <c:cat>
            <c:strRef>
              <c:f>'03-08_SectorTbl'!$G$212:$H$212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'03-08_SectorTbl'!$G$213:$H$213</c:f>
              <c:numCache>
                <c:formatCode>#,##0</c:formatCode>
                <c:ptCount val="2"/>
                <c:pt idx="0">
                  <c:v>52395.657299999999</c:v>
                </c:pt>
                <c:pt idx="1">
                  <c:v>56590.1578128275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F-4AAE-9AC2-25B278F6B473}"/>
            </c:ext>
          </c:extLst>
        </c:ser>
        <c:ser>
          <c:idx val="1"/>
          <c:order val="1"/>
          <c:tx>
            <c:strRef>
              <c:f>'03-08_SectorTbl'!$F$214</c:f>
              <c:strCache>
                <c:ptCount val="1"/>
                <c:pt idx="0">
                  <c:v>Manure Management</c:v>
                </c:pt>
              </c:strCache>
            </c:strRef>
          </c:tx>
          <c:invertIfNegative val="0"/>
          <c:cat>
            <c:strRef>
              <c:f>'03-08_SectorTbl'!$G$212:$H$212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'03-08_SectorTbl'!$G$214:$H$214</c:f>
              <c:numCache>
                <c:formatCode>#,##0</c:formatCode>
                <c:ptCount val="2"/>
                <c:pt idx="0">
                  <c:v>84659.819800961515</c:v>
                </c:pt>
                <c:pt idx="1">
                  <c:v>94432.705838738912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F-4AAE-9AC2-25B278F6B473}"/>
            </c:ext>
          </c:extLst>
        </c:ser>
        <c:ser>
          <c:idx val="2"/>
          <c:order val="2"/>
          <c:tx>
            <c:strRef>
              <c:f>'03-08_SectorTbl'!$F$215</c:f>
              <c:strCache>
                <c:ptCount val="1"/>
                <c:pt idx="0">
                  <c:v>Soil Management</c:v>
                </c:pt>
              </c:strCache>
            </c:strRef>
          </c:tx>
          <c:invertIfNegative val="0"/>
          <c:cat>
            <c:strRef>
              <c:f>'03-08_SectorTbl'!$G$212:$H$212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'03-08_SectorTbl'!$G$215:$H$215</c:f>
              <c:numCache>
                <c:formatCode>#,##0</c:formatCode>
                <c:ptCount val="2"/>
                <c:pt idx="0">
                  <c:v>7451.6379772401069</c:v>
                </c:pt>
                <c:pt idx="1">
                  <c:v>6488.2056724530139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1F-4AAE-9AC2-25B278F6B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0398848"/>
        <c:axId val="2000384160"/>
      </c:barChart>
      <c:catAx>
        <c:axId val="200039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00384160"/>
        <c:crosses val="autoZero"/>
        <c:auto val="1"/>
        <c:lblAlgn val="ctr"/>
        <c:lblOffset val="100"/>
        <c:noMultiLvlLbl val="0"/>
      </c:catAx>
      <c:valAx>
        <c:axId val="2000384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000398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Road</c:v>
          </c:tx>
          <c:invertIfNegative val="0"/>
          <c:cat>
            <c:numRef>
              <c:f>'03-08_SectorTbl'!$G$88:$H$88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'03-08_SectorTbl'!$G$93:$H$93</c:f>
              <c:numCache>
                <c:formatCode>#,##0_);\(#,##0\)</c:formatCode>
                <c:ptCount val="2"/>
                <c:pt idx="0">
                  <c:v>9168576.8379433844</c:v>
                </c:pt>
                <c:pt idx="1">
                  <c:v>8867824.3366023097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5A-4383-8AE9-FE10CCD10332}"/>
            </c:ext>
          </c:extLst>
        </c:ser>
        <c:ser>
          <c:idx val="1"/>
          <c:order val="1"/>
          <c:tx>
            <c:v>Marine</c:v>
          </c:tx>
          <c:invertIfNegative val="0"/>
          <c:cat>
            <c:numRef>
              <c:f>'03-08_SectorTbl'!$G$88:$H$88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'03-08_SectorTbl'!$G$105:$H$105</c:f>
              <c:numCache>
                <c:formatCode>#,##0_);\(#,##0\)</c:formatCode>
                <c:ptCount val="2"/>
                <c:pt idx="0">
                  <c:v>217281.00896025251</c:v>
                </c:pt>
                <c:pt idx="1">
                  <c:v>239051.7408284336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5A-4383-8AE9-FE10CCD10332}"/>
            </c:ext>
          </c:extLst>
        </c:ser>
        <c:ser>
          <c:idx val="2"/>
          <c:order val="2"/>
          <c:tx>
            <c:v>Rail</c:v>
          </c:tx>
          <c:invertIfNegative val="0"/>
          <c:cat>
            <c:numRef>
              <c:f>'03-08_SectorTbl'!$G$88:$H$88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'03-08_SectorTbl'!$G$114:$H$114</c:f>
              <c:numCache>
                <c:formatCode>#,##0_);\(#,##0\)</c:formatCode>
                <c:ptCount val="2"/>
                <c:pt idx="0">
                  <c:v>48839.664126774034</c:v>
                </c:pt>
                <c:pt idx="1">
                  <c:v>69824.647727232878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5A-4383-8AE9-FE10CCD10332}"/>
            </c:ext>
          </c:extLst>
        </c:ser>
        <c:ser>
          <c:idx val="3"/>
          <c:order val="3"/>
          <c:tx>
            <c:v>Air</c:v>
          </c:tx>
          <c:invertIfNegative val="0"/>
          <c:cat>
            <c:numRef>
              <c:f>'03-08_SectorTbl'!$G$88:$H$88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'03-08_SectorTbl'!$G$123:$H$123</c:f>
              <c:numCache>
                <c:formatCode>#,##0_);\(#,##0\)</c:formatCode>
                <c:ptCount val="2"/>
                <c:pt idx="0">
                  <c:v>1895030.034232178</c:v>
                </c:pt>
                <c:pt idx="1">
                  <c:v>2177035.102117118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75A-4383-8AE9-FE10CCD1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2985984"/>
        <c:axId val="1557614576"/>
      </c:barChart>
      <c:catAx>
        <c:axId val="199298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57614576"/>
        <c:crosses val="autoZero"/>
        <c:auto val="1"/>
        <c:lblAlgn val="ctr"/>
        <c:lblOffset val="100"/>
        <c:noMultiLvlLbl val="0"/>
      </c:catAx>
      <c:valAx>
        <c:axId val="1557614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MgCO</a:t>
                </a:r>
                <a:r>
                  <a:rPr lang="en-US" baseline="-25000"/>
                  <a:t>2</a:t>
                </a:r>
                <a:r>
                  <a:rPr lang="en-US"/>
                  <a:t>e</a:t>
                </a: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199298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Residential</c:v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'03-08_SectorTbl'!$G$141:$H$141</c:f>
              <c:numCache>
                <c:formatCode>#,##0_);\(#,##0\)</c:formatCode>
                <c:ptCount val="2"/>
                <c:pt idx="0">
                  <c:v>3762582.2038882519</c:v>
                </c:pt>
                <c:pt idx="1">
                  <c:v>4136066.4948832104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B0-499C-868C-CA369A2E33D6}"/>
            </c:ext>
          </c:extLst>
        </c:ser>
        <c:ser>
          <c:idx val="1"/>
          <c:order val="1"/>
          <c:tx>
            <c:v>Commercial</c:v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'03-08_SectorTbl'!$G$159:$H$159</c:f>
              <c:numCache>
                <c:formatCode>#,##0_);\(#,##0\)</c:formatCode>
                <c:ptCount val="2"/>
                <c:pt idx="0">
                  <c:v>3579791.8019358711</c:v>
                </c:pt>
                <c:pt idx="1">
                  <c:v>4044408.9108456257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B0-499C-868C-CA369A2E33D6}"/>
            </c:ext>
          </c:extLst>
        </c:ser>
        <c:ser>
          <c:idx val="2"/>
          <c:order val="2"/>
          <c:tx>
            <c:v>Industrial</c:v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'03-08_SectorTbl'!$G$174:$H$174</c:f>
              <c:numCache>
                <c:formatCode>#,##0_);\(#,##0\)</c:formatCode>
                <c:ptCount val="2"/>
                <c:pt idx="0">
                  <c:v>1867387.9189035355</c:v>
                </c:pt>
                <c:pt idx="1">
                  <c:v>2994180.9740417195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B0-499C-868C-CA369A2E3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8404384"/>
        <c:axId val="2138409280"/>
      </c:barChart>
      <c:catAx>
        <c:axId val="213840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38409280"/>
        <c:crosses val="autoZero"/>
        <c:auto val="1"/>
        <c:lblAlgn val="ctr"/>
        <c:lblOffset val="100"/>
        <c:noMultiLvlLbl val="0"/>
      </c:catAx>
      <c:valAx>
        <c:axId val="2138409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2138404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</c:marker>
          <c:dPt>
            <c:idx val="3"/>
            <c:marker>
              <c:symbol val="circle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026-4035-80C7-71359FC74DA1}"/>
              </c:ext>
            </c:extLst>
          </c:dPt>
          <c:dPt>
            <c:idx val="8"/>
            <c:marker>
              <c:symbol val="circle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026-4035-80C7-71359FC74DA1}"/>
              </c:ext>
            </c:extLst>
          </c:dPt>
          <c:dPt>
            <c:idx val="10"/>
            <c:marker>
              <c:symbol val="circle"/>
              <c:size val="7"/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026-4035-80C7-71359FC74DA1}"/>
              </c:ext>
            </c:extLst>
          </c:dPt>
          <c:val>
            <c:numRef>
              <c:f>Tracking_Framework!#REF!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26-4035-80C7-71359FC74DA1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Tracking_Framework!#REF!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04928"/>
        <c:axId val="2138389696"/>
      </c:lineChart>
      <c:catAx>
        <c:axId val="21384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8389696"/>
        <c:crosses val="autoZero"/>
        <c:auto val="1"/>
        <c:lblAlgn val="ctr"/>
        <c:lblOffset val="100"/>
        <c:noMultiLvlLbl val="0"/>
      </c:catAx>
      <c:valAx>
        <c:axId val="2138389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Passenger Vehicle Miles Travelled per Person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8404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dPt>
            <c:idx val="3"/>
            <c:marker>
              <c:symbol val="circle"/>
              <c:size val="7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ABA-4B16-B21B-D552D2F530A9}"/>
              </c:ext>
            </c:extLst>
          </c:dPt>
          <c:dPt>
            <c:idx val="8"/>
            <c:marker>
              <c:symbol val="circle"/>
              <c:size val="7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ABA-4B16-B21B-D552D2F530A9}"/>
              </c:ext>
            </c:extLst>
          </c:dPt>
          <c:cat>
            <c:numRef>
              <c:f>'10_Trk_FW'!$V$22:$AF$22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'10_Trk_FW'!$V$32:$AD$32</c:f>
              <c:numCache>
                <c:formatCode>_(* #,##0.00_);_(* \(#,##0.00\);_(*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BA-4B16-B21B-D552D2F530A9}"/>
            </c:ext>
          </c:extLst>
        </c:ser>
        <c:ser>
          <c:idx val="0"/>
          <c:order val="1"/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ABA-4B16-B21B-D552D2F530A9}"/>
              </c:ext>
            </c:extLst>
          </c:dPt>
          <c:cat>
            <c:numRef>
              <c:f>'10_Trk_FW'!$V$22:$AF$22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'10_Trk_FW'!$V$33:$AF$33</c:f>
              <c:numCache>
                <c:formatCode>General</c:formatCode>
                <c:ptCount val="11"/>
                <c:pt idx="8" formatCode="_(* #,##0.00_);_(* \(#,##0.00\);_(* &quot;-&quot;??_);_(@_)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ABA-4B16-B21B-D552D2F53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10368"/>
        <c:axId val="2138414176"/>
      </c:lineChart>
      <c:catAx>
        <c:axId val="213841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8414176"/>
        <c:crosses val="autoZero"/>
        <c:auto val="1"/>
        <c:lblAlgn val="ctr"/>
        <c:lblOffset val="100"/>
        <c:noMultiLvlLbl val="0"/>
      </c:catAx>
      <c:valAx>
        <c:axId val="21384141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Passenger Vehicle GHG- Intensity </a:t>
                </a:r>
                <a:br>
                  <a:rPr lang="en-US"/>
                </a:br>
                <a:r>
                  <a:rPr lang="en-US"/>
                  <a:t>(kg CO</a:t>
                </a:r>
                <a:r>
                  <a:rPr lang="en-US" baseline="-25000"/>
                  <a:t>2</a:t>
                </a:r>
                <a:r>
                  <a:rPr lang="en-US"/>
                  <a:t>e / mile)</a:t>
                </a:r>
              </a:p>
            </c:rich>
          </c:tx>
          <c:overlay val="0"/>
        </c:title>
        <c:numFmt formatCode="_(* #,##0.00_);_(* \(#,##0.00\);_(* &quot;-&quot;??_);_(@_)" sourceLinked="1"/>
        <c:majorTickMark val="out"/>
        <c:minorTickMark val="none"/>
        <c:tickLblPos val="nextTo"/>
        <c:crossAx val="2138410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Residential</c:v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ysDash"/>
              </a:ln>
            </c:spPr>
          </c:marker>
          <c:xVal>
            <c:numRef>
              <c:f>'10_Trk_FW'!$V$42:$AE$42</c:f>
              <c:numCache>
                <c:formatCode>General</c:formatCode>
                <c:ptCount val="10"/>
                <c:pt idx="1">
                  <c:v>2003</c:v>
                </c:pt>
                <c:pt idx="2">
                  <c:v>2008</c:v>
                </c:pt>
                <c:pt idx="3">
                  <c:v>2010</c:v>
                </c:pt>
              </c:numCache>
            </c:numRef>
          </c:xVal>
          <c:yVal>
            <c:numRef>
              <c:f>'10_Trk_FW'!$V$43:$AE$43</c:f>
              <c:numCache>
                <c:formatCode>_(* #,##0.0_);_(* \(#,##0.0\);_(* "-"??_);_(@_)</c:formatCode>
                <c:ptCount val="10"/>
                <c:pt idx="1">
                  <c:v>62.598304716630274</c:v>
                </c:pt>
                <c:pt idx="2">
                  <c:v>62.305260637199368</c:v>
                </c:pt>
                <c:pt idx="3">
                  <c:v>66.262964067464139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F1-4D92-A162-8E9FBA81DE7C}"/>
            </c:ext>
          </c:extLst>
        </c:ser>
        <c:ser>
          <c:idx val="2"/>
          <c:order val="1"/>
          <c:tx>
            <c:v>Commercial</c:v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'10_Trk_FW'!$V$42:$AE$42</c:f>
              <c:numCache>
                <c:formatCode>General</c:formatCode>
                <c:ptCount val="10"/>
                <c:pt idx="1">
                  <c:v>2003</c:v>
                </c:pt>
                <c:pt idx="2">
                  <c:v>2008</c:v>
                </c:pt>
                <c:pt idx="3">
                  <c:v>2010</c:v>
                </c:pt>
              </c:numCache>
            </c:numRef>
          </c:xVal>
          <c:yVal>
            <c:numRef>
              <c:f>'10_Trk_FW'!$V$44:$AE$44</c:f>
              <c:numCache>
                <c:formatCode>_(* #,##0.0_);_(* \(#,##0.0\);_(* "-"??_);_(@_)</c:formatCode>
                <c:ptCount val="10"/>
                <c:pt idx="1">
                  <c:v>58.910046504459523</c:v>
                </c:pt>
                <c:pt idx="2">
                  <c:v>58.98777481502264</c:v>
                </c:pt>
                <c:pt idx="3">
                  <c:v>63.699992070124082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F1-4D92-A162-8E9FBA81D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388608"/>
        <c:axId val="2138400576"/>
      </c:scatterChart>
      <c:valAx>
        <c:axId val="2138388608"/>
        <c:scaling>
          <c:orientation val="minMax"/>
          <c:max val="2010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crossAx val="2138400576"/>
        <c:crosses val="autoZero"/>
        <c:crossBetween val="midCat"/>
        <c:majorUnit val="1"/>
      </c:valAx>
      <c:valAx>
        <c:axId val="21384005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kg CO</a:t>
                </a:r>
                <a:r>
                  <a:rPr lang="en-US" baseline="-25000"/>
                  <a:t>2</a:t>
                </a:r>
                <a:r>
                  <a:rPr lang="en-US"/>
                  <a:t>e </a:t>
                </a:r>
                <a:br>
                  <a:rPr lang="en-US"/>
                </a:br>
                <a:r>
                  <a:rPr lang="en-US"/>
                  <a:t>per million BTU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8388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ysDash"/>
              </a:ln>
            </c:spPr>
          </c:marker>
          <c:xVal>
            <c:numRef>
              <c:f>'10_Trk_FW'!$W$68:$Y$68</c:f>
              <c:numCache>
                <c:formatCode>General</c:formatCode>
                <c:ptCount val="3"/>
                <c:pt idx="0">
                  <c:v>2003</c:v>
                </c:pt>
                <c:pt idx="1">
                  <c:v>2008</c:v>
                </c:pt>
                <c:pt idx="2">
                  <c:v>2010</c:v>
                </c:pt>
              </c:numCache>
            </c:numRef>
          </c:xVal>
          <c:yVal>
            <c:numRef>
              <c:f>'10_Trk_FW'!$W$69:$Y$69</c:f>
              <c:numCache>
                <c:formatCode>_(* #,##0_);_(* \(#,##0\);_(* "-"??_);_(@_)</c:formatCode>
                <c:ptCount val="3"/>
                <c:pt idx="0">
                  <c:v>8.9702857447111732</c:v>
                </c:pt>
                <c:pt idx="1">
                  <c:v>8.7093614494163827</c:v>
                </c:pt>
                <c:pt idx="2">
                  <c:v>8.5777697747389769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B4-4E96-89F3-9A1CF4A07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398944"/>
        <c:axId val="2138394592"/>
      </c:scatterChart>
      <c:valAx>
        <c:axId val="2138398944"/>
        <c:scaling>
          <c:orientation val="minMax"/>
          <c:max val="2010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crossAx val="2138394592"/>
        <c:crosses val="autoZero"/>
        <c:crossBetween val="midCat"/>
        <c:majorUnit val="1"/>
      </c:valAx>
      <c:valAx>
        <c:axId val="21383945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e </a:t>
                </a:r>
                <a:br>
                  <a:rPr lang="en-US"/>
                </a:br>
                <a:r>
                  <a:rPr lang="en-US"/>
                  <a:t>per resident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1383989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'03-08_SectorTbl'!$F$89</c:f>
              <c:strCache>
                <c:ptCount val="1"/>
                <c:pt idx="0">
                  <c:v>Commercial Trucks</c:v>
                </c:pt>
              </c:strCache>
            </c:strRef>
          </c:tx>
          <c:invertIfNegative val="0"/>
          <c:cat>
            <c:numRef>
              <c:f>'03-08_SectorTbl'!$G$88:$H$88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'03-08_SectorTbl'!$G$89:$H$89</c:f>
              <c:numCache>
                <c:formatCode>#,##0_);\(#,##0\)</c:formatCode>
                <c:ptCount val="2"/>
                <c:pt idx="0">
                  <c:v>3076682.7195889056</c:v>
                </c:pt>
                <c:pt idx="1">
                  <c:v>3115451.630561586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31-4C57-ABE2-5A24899EC193}"/>
            </c:ext>
          </c:extLst>
        </c:ser>
        <c:ser>
          <c:idx val="1"/>
          <c:order val="1"/>
          <c:tx>
            <c:strRef>
              <c:f>'03-08_SectorTbl'!$F$90</c:f>
              <c:strCache>
                <c:ptCount val="1"/>
                <c:pt idx="0">
                  <c:v>Buses</c:v>
                </c:pt>
              </c:strCache>
            </c:strRef>
          </c:tx>
          <c:invertIfNegative val="0"/>
          <c:cat>
            <c:numRef>
              <c:f>'03-08_SectorTbl'!$G$88:$H$88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'03-08_SectorTbl'!$G$90:$H$90</c:f>
              <c:numCache>
                <c:formatCode>#,##0_);\(#,##0\)</c:formatCode>
                <c:ptCount val="2"/>
                <c:pt idx="0">
                  <c:v>121023.21678847107</c:v>
                </c:pt>
                <c:pt idx="1">
                  <c:v>112679.09272403718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31-4C57-ABE2-5A24899EC193}"/>
            </c:ext>
          </c:extLst>
        </c:ser>
        <c:ser>
          <c:idx val="2"/>
          <c:order val="2"/>
          <c:tx>
            <c:strRef>
              <c:f>'03-08_SectorTbl'!$F$91</c:f>
              <c:strCache>
                <c:ptCount val="1"/>
                <c:pt idx="0">
                  <c:v>Cars &amp; Light Trucks</c:v>
                </c:pt>
              </c:strCache>
            </c:strRef>
          </c:tx>
          <c:invertIfNegative val="0"/>
          <c:cat>
            <c:numRef>
              <c:f>'03-08_SectorTbl'!$G$88:$H$88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'03-08_SectorTbl'!$G$91:$H$91</c:f>
              <c:numCache>
                <c:formatCode>#,##0_);\(#,##0\)</c:formatCode>
                <c:ptCount val="2"/>
                <c:pt idx="0">
                  <c:v>5963832.73751067</c:v>
                </c:pt>
                <c:pt idx="1">
                  <c:v>5633434.8276841715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31-4C57-ABE2-5A24899EC193}"/>
            </c:ext>
          </c:extLst>
        </c:ser>
        <c:ser>
          <c:idx val="3"/>
          <c:order val="3"/>
          <c:tx>
            <c:strRef>
              <c:f>'03-08_SectorTbl'!$F$92</c:f>
              <c:strCache>
                <c:ptCount val="1"/>
                <c:pt idx="0">
                  <c:v>Van Pool</c:v>
                </c:pt>
              </c:strCache>
            </c:strRef>
          </c:tx>
          <c:invertIfNegative val="0"/>
          <c:cat>
            <c:numRef>
              <c:f>'03-08_SectorTbl'!$G$88:$H$88</c:f>
              <c:numCache>
                <c:formatCode>General</c:formatCode>
                <c:ptCount val="2"/>
                <c:pt idx="0">
                  <c:v>2003</c:v>
                </c:pt>
                <c:pt idx="1">
                  <c:v>2008</c:v>
                </c:pt>
              </c:numCache>
            </c:numRef>
          </c:cat>
          <c:val>
            <c:numRef>
              <c:f>'03-08_SectorTbl'!$G$92:$H$92</c:f>
              <c:numCache>
                <c:formatCode>#,##0_);\(#,##0\)</c:formatCode>
                <c:ptCount val="2"/>
                <c:pt idx="0">
                  <c:v>7038.1640553379557</c:v>
                </c:pt>
                <c:pt idx="1">
                  <c:v>6258.7856325154926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31-4C57-ABE2-5A24899EC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689520"/>
        <c:axId val="2040685712"/>
      </c:barChart>
      <c:catAx>
        <c:axId val="204068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40685712"/>
        <c:crosses val="autoZero"/>
        <c:auto val="1"/>
        <c:lblAlgn val="ctr"/>
        <c:lblOffset val="100"/>
        <c:noMultiLvlLbl val="0"/>
      </c:catAx>
      <c:valAx>
        <c:axId val="2040685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MgCO</a:t>
                </a:r>
                <a:r>
                  <a:rPr lang="en-US" baseline="-25000"/>
                  <a:t>2</a:t>
                </a:r>
                <a:r>
                  <a:rPr lang="en-US"/>
                  <a:t>e</a:t>
                </a: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2040689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'03-08_SectorTbl'!$F$99</c:f>
              <c:strCache>
                <c:ptCount val="1"/>
                <c:pt idx="0">
                  <c:v>Pleasure Craft, Diesel</c:v>
                </c:pt>
              </c:strCache>
            </c:strRef>
          </c:tx>
          <c:invertIfNegative val="0"/>
          <c:cat>
            <c:strRef>
              <c:f>'03-08_SectorTbl'!$G$98:$H$98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'03-08_SectorTbl'!$G$99:$H$99</c:f>
              <c:numCache>
                <c:formatCode>#,##0_);\(#,##0\)</c:formatCode>
                <c:ptCount val="2"/>
                <c:pt idx="0">
                  <c:v>1307.6914887476212</c:v>
                </c:pt>
                <c:pt idx="1">
                  <c:v>1392.288769190274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4-4C87-9D89-96BD3BE633DC}"/>
            </c:ext>
          </c:extLst>
        </c:ser>
        <c:ser>
          <c:idx val="1"/>
          <c:order val="1"/>
          <c:tx>
            <c:strRef>
              <c:f>'03-08_SectorTbl'!$F$100</c:f>
              <c:strCache>
                <c:ptCount val="1"/>
                <c:pt idx="0">
                  <c:v>Pleasure Craft, Gasoline</c:v>
                </c:pt>
              </c:strCache>
            </c:strRef>
          </c:tx>
          <c:invertIfNegative val="0"/>
          <c:cat>
            <c:strRef>
              <c:f>'03-08_SectorTbl'!$G$98:$H$98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'03-08_SectorTbl'!$G$100:$H$100</c:f>
              <c:numCache>
                <c:formatCode>#,##0_);\(#,##0\)</c:formatCode>
                <c:ptCount val="2"/>
                <c:pt idx="0">
                  <c:v>6329.1068167986814</c:v>
                </c:pt>
                <c:pt idx="1">
                  <c:v>6738.5498918201465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D4-4C87-9D89-96BD3BE633DC}"/>
            </c:ext>
          </c:extLst>
        </c:ser>
        <c:ser>
          <c:idx val="2"/>
          <c:order val="2"/>
          <c:tx>
            <c:strRef>
              <c:f>'03-08_SectorTbl'!$F$101</c:f>
              <c:strCache>
                <c:ptCount val="1"/>
                <c:pt idx="0">
                  <c:v>Washington State Ferries</c:v>
                </c:pt>
              </c:strCache>
            </c:strRef>
          </c:tx>
          <c:invertIfNegative val="0"/>
          <c:cat>
            <c:strRef>
              <c:f>'03-08_SectorTbl'!$G$98:$H$98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'03-08_SectorTbl'!$G$101:$H$101</c:f>
              <c:numCache>
                <c:formatCode>#,##0_);\(#,##0\)</c:formatCode>
                <c:ptCount val="2"/>
                <c:pt idx="0">
                  <c:v>50518.578380974206</c:v>
                </c:pt>
                <c:pt idx="1">
                  <c:v>39489.073049157698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D4-4C87-9D89-96BD3BE633DC}"/>
            </c:ext>
          </c:extLst>
        </c:ser>
        <c:ser>
          <c:idx val="3"/>
          <c:order val="3"/>
          <c:tx>
            <c:strRef>
              <c:f>'03-08_SectorTbl'!$F$102</c:f>
              <c:strCache>
                <c:ptCount val="1"/>
                <c:pt idx="0">
                  <c:v>Other Ship &amp; Boat Traffic</c:v>
                </c:pt>
              </c:strCache>
            </c:strRef>
          </c:tx>
          <c:invertIfNegative val="0"/>
          <c:cat>
            <c:strRef>
              <c:f>'03-08_SectorTbl'!$G$98:$H$98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'03-08_SectorTbl'!$G$102:$H$102</c:f>
              <c:numCache>
                <c:formatCode>#,##0_);\(#,##0\)</c:formatCode>
                <c:ptCount val="2"/>
                <c:pt idx="0">
                  <c:v>122595.44571470271</c:v>
                </c:pt>
                <c:pt idx="1">
                  <c:v>146365.61551311292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D4-4C87-9D89-96BD3BE633DC}"/>
            </c:ext>
          </c:extLst>
        </c:ser>
        <c:ser>
          <c:idx val="4"/>
          <c:order val="4"/>
          <c:tx>
            <c:strRef>
              <c:f>'03-08_SectorTbl'!$F$103</c:f>
              <c:strCache>
                <c:ptCount val="1"/>
                <c:pt idx="0">
                  <c:v>Cruise Ships (hotelling)</c:v>
                </c:pt>
              </c:strCache>
            </c:strRef>
          </c:tx>
          <c:invertIfNegative val="0"/>
          <c:cat>
            <c:strRef>
              <c:f>'03-08_SectorTbl'!$G$98:$H$98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'03-08_SectorTbl'!$G$103:$H$103</c:f>
              <c:numCache>
                <c:formatCode>#,##0_);\(#,##0\)</c:formatCode>
                <c:ptCount val="2"/>
                <c:pt idx="0">
                  <c:v>36530.186559029287</c:v>
                </c:pt>
                <c:pt idx="1">
                  <c:v>45066.213605152559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2D4-4C87-9D89-96BD3BE63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702576"/>
        <c:axId val="2040705296"/>
      </c:barChart>
      <c:catAx>
        <c:axId val="204070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40705296"/>
        <c:crosses val="autoZero"/>
        <c:auto val="1"/>
        <c:lblAlgn val="ctr"/>
        <c:lblOffset val="100"/>
        <c:noMultiLvlLbl val="0"/>
      </c:catAx>
      <c:valAx>
        <c:axId val="2040705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2040702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'03-08_SectorTbl'!$F$111</c:f>
              <c:strCache>
                <c:ptCount val="1"/>
                <c:pt idx="0">
                  <c:v>Port of Seattle On-terminal</c:v>
                </c:pt>
              </c:strCache>
            </c:strRef>
          </c:tx>
          <c:invertIfNegative val="0"/>
          <c:cat>
            <c:strRef>
              <c:f>'03-08_SectorTbl'!$G$110:$H$110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'03-08_SectorTbl'!$G$111:$H$111</c:f>
              <c:numCache>
                <c:formatCode>#,##0_);\(#,##0\)</c:formatCode>
                <c:ptCount val="2"/>
                <c:pt idx="0">
                  <c:v>11109.477951823716</c:v>
                </c:pt>
                <c:pt idx="1">
                  <c:v>15882.897605643078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8-4481-BD3F-172F68D5C303}"/>
            </c:ext>
          </c:extLst>
        </c:ser>
        <c:ser>
          <c:idx val="1"/>
          <c:order val="1"/>
          <c:tx>
            <c:strRef>
              <c:f>'03-08_SectorTbl'!$F$112</c:f>
              <c:strCache>
                <c:ptCount val="1"/>
                <c:pt idx="0">
                  <c:v>Port of Seattle Off-terminal</c:v>
                </c:pt>
              </c:strCache>
            </c:strRef>
          </c:tx>
          <c:invertIfNegative val="0"/>
          <c:cat>
            <c:strRef>
              <c:f>'03-08_SectorTbl'!$G$110:$H$110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'03-08_SectorTbl'!$G$112:$H$112</c:f>
              <c:numCache>
                <c:formatCode>#,##0_);\(#,##0\)</c:formatCode>
                <c:ptCount val="2"/>
                <c:pt idx="0">
                  <c:v>13748.310283386569</c:v>
                </c:pt>
                <c:pt idx="1">
                  <c:v>19655.559462701171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C8-4481-BD3F-172F68D5C303}"/>
            </c:ext>
          </c:extLst>
        </c:ser>
        <c:ser>
          <c:idx val="2"/>
          <c:order val="2"/>
          <c:tx>
            <c:strRef>
              <c:f>'03-08_SectorTbl'!$F$113</c:f>
              <c:strCache>
                <c:ptCount val="1"/>
                <c:pt idx="0">
                  <c:v> Other freight</c:v>
                </c:pt>
              </c:strCache>
            </c:strRef>
          </c:tx>
          <c:invertIfNegative val="0"/>
          <c:cat>
            <c:strRef>
              <c:f>'03-08_SectorTbl'!$G$110:$H$110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'03-08_SectorTbl'!$G$113:$H$113</c:f>
              <c:numCache>
                <c:formatCode>#,##0_);\(#,##0\)</c:formatCode>
                <c:ptCount val="2"/>
                <c:pt idx="0">
                  <c:v>23981.875891563755</c:v>
                </c:pt>
                <c:pt idx="1">
                  <c:v>34286.190658888627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C8-4481-BD3F-172F68D5C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678096"/>
        <c:axId val="2040694960"/>
      </c:barChart>
      <c:catAx>
        <c:axId val="204067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40694960"/>
        <c:crosses val="autoZero"/>
        <c:auto val="1"/>
        <c:lblAlgn val="ctr"/>
        <c:lblOffset val="100"/>
        <c:noMultiLvlLbl val="0"/>
      </c:catAx>
      <c:valAx>
        <c:axId val="2040694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2040678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'03-08_SectorTbl'!$F$121</c:f>
              <c:strCache>
                <c:ptCount val="1"/>
                <c:pt idx="0">
                  <c:v>King County International Airport</c:v>
                </c:pt>
              </c:strCache>
            </c:strRef>
          </c:tx>
          <c:invertIfNegative val="0"/>
          <c:cat>
            <c:strRef>
              <c:f>'03-08_SectorTbl'!$G$120:$H$120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'03-08_SectorTbl'!$G$121:$H$121</c:f>
              <c:numCache>
                <c:formatCode>#,##0_);\(#,##0\)</c:formatCode>
                <c:ptCount val="2"/>
                <c:pt idx="0">
                  <c:v>138331.8128123733</c:v>
                </c:pt>
                <c:pt idx="1">
                  <c:v>133584.89082315794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4-48C6-8AF0-A510C765822F}"/>
            </c:ext>
          </c:extLst>
        </c:ser>
        <c:ser>
          <c:idx val="1"/>
          <c:order val="1"/>
          <c:tx>
            <c:strRef>
              <c:f>'03-08_SectorTbl'!$F$122</c:f>
              <c:strCache>
                <c:ptCount val="1"/>
                <c:pt idx="0">
                  <c:v>Sea-Tac International Airport</c:v>
                </c:pt>
              </c:strCache>
            </c:strRef>
          </c:tx>
          <c:invertIfNegative val="0"/>
          <c:cat>
            <c:strRef>
              <c:f>'03-08_SectorTbl'!$G$120:$H$120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'03-08_SectorTbl'!$G$122:$H$122</c:f>
              <c:numCache>
                <c:formatCode>#,##0_);\(#,##0\)</c:formatCode>
                <c:ptCount val="2"/>
                <c:pt idx="0">
                  <c:v>1756698.2214198047</c:v>
                </c:pt>
                <c:pt idx="1">
                  <c:v>2043450.2112939602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B4-48C6-8AF0-A510C7658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700400"/>
        <c:axId val="2040695504"/>
      </c:barChart>
      <c:catAx>
        <c:axId val="204070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40695504"/>
        <c:crosses val="autoZero"/>
        <c:auto val="1"/>
        <c:lblAlgn val="ctr"/>
        <c:lblOffset val="100"/>
        <c:noMultiLvlLbl val="0"/>
      </c:catAx>
      <c:valAx>
        <c:axId val="2040695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2040700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'03-08_SectorTbl'!$F$133</c:f>
              <c:strCache>
                <c:ptCount val="1"/>
                <c:pt idx="0">
                  <c:v>Electricity </c:v>
                </c:pt>
              </c:strCache>
            </c:strRef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'03-08_SectorTbl'!$G$133:$H$133</c:f>
              <c:numCache>
                <c:formatCode>#,##0_);\(#,##0\)</c:formatCode>
                <c:ptCount val="2"/>
                <c:pt idx="0">
                  <c:v>1866534.1063584599</c:v>
                </c:pt>
                <c:pt idx="1">
                  <c:v>2056709.8333594454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52-462C-9DB5-E0792B62B5C0}"/>
            </c:ext>
          </c:extLst>
        </c:ser>
        <c:ser>
          <c:idx val="1"/>
          <c:order val="1"/>
          <c:tx>
            <c:strRef>
              <c:f>'03-08_SectorTbl'!$F$134</c:f>
              <c:strCache>
                <c:ptCount val="1"/>
                <c:pt idx="0">
                  <c:v>Direct Fuel Use</c:v>
                </c:pt>
              </c:strCache>
            </c:strRef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'03-08_SectorTbl'!$G$134:$H$134</c:f>
              <c:numCache>
                <c:formatCode>#,##0_);\(#,##0\)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52-462C-9DB5-E0792B62B5C0}"/>
            </c:ext>
          </c:extLst>
        </c:ser>
        <c:ser>
          <c:idx val="2"/>
          <c:order val="2"/>
          <c:tx>
            <c:strRef>
              <c:f>'03-08_SectorTbl'!$F$135</c:f>
              <c:strCache>
                <c:ptCount val="1"/>
                <c:pt idx="0">
                  <c:v>Natural gas</c:v>
                </c:pt>
              </c:strCache>
            </c:strRef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'03-08_SectorTbl'!$G$135:$H$135</c:f>
              <c:numCache>
                <c:formatCode>#,##0_);\(#,##0\)</c:formatCode>
                <c:ptCount val="2"/>
                <c:pt idx="0">
                  <c:v>1565449.9609237434</c:v>
                </c:pt>
                <c:pt idx="1">
                  <c:v>1815163.1470527851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52-462C-9DB5-E0792B62B5C0}"/>
            </c:ext>
          </c:extLst>
        </c:ser>
        <c:ser>
          <c:idx val="3"/>
          <c:order val="3"/>
          <c:tx>
            <c:strRef>
              <c:f>'03-08_SectorTbl'!$F$136</c:f>
              <c:strCache>
                <c:ptCount val="1"/>
                <c:pt idx="0">
                  <c:v>Oil</c:v>
                </c:pt>
              </c:strCache>
            </c:strRef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'03-08_SectorTbl'!$G$136:$H$136</c:f>
              <c:numCache>
                <c:formatCode>#,##0_);\(#,##0\)</c:formatCode>
                <c:ptCount val="2"/>
                <c:pt idx="0">
                  <c:v>284427.46213974222</c:v>
                </c:pt>
                <c:pt idx="1">
                  <c:v>215035.96310774286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52-462C-9DB5-E0792B62B5C0}"/>
            </c:ext>
          </c:extLst>
        </c:ser>
        <c:ser>
          <c:idx val="4"/>
          <c:order val="4"/>
          <c:tx>
            <c:strRef>
              <c:f>'03-08_SectorTbl'!$F$137</c:f>
              <c:strCache>
                <c:ptCount val="1"/>
                <c:pt idx="0">
                  <c:v>Yard Equipment</c:v>
                </c:pt>
              </c:strCache>
            </c:strRef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'03-08_SectorTbl'!$G$137:$H$137</c:f>
              <c:numCache>
                <c:formatCode>#,##0_);\(#,##0\)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52-462C-9DB5-E0792B62B5C0}"/>
            </c:ext>
          </c:extLst>
        </c:ser>
        <c:ser>
          <c:idx val="5"/>
          <c:order val="5"/>
          <c:tx>
            <c:strRef>
              <c:f>'03-08_SectorTbl'!$F$138</c:f>
              <c:strCache>
                <c:ptCount val="1"/>
                <c:pt idx="0">
                  <c:v>Gasoline</c:v>
                </c:pt>
              </c:strCache>
            </c:strRef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'03-08_SectorTbl'!$G$138:$H$138</c:f>
              <c:numCache>
                <c:formatCode>#,##0_);\(#,##0\)</c:formatCode>
                <c:ptCount val="2"/>
                <c:pt idx="0">
                  <c:v>46015.111945072349</c:v>
                </c:pt>
                <c:pt idx="1">
                  <c:v>48991.925179167374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E52-462C-9DB5-E0792B62B5C0}"/>
            </c:ext>
          </c:extLst>
        </c:ser>
        <c:ser>
          <c:idx val="6"/>
          <c:order val="6"/>
          <c:tx>
            <c:strRef>
              <c:f>'03-08_SectorTbl'!$F$139</c:f>
              <c:strCache>
                <c:ptCount val="1"/>
                <c:pt idx="0">
                  <c:v>Diesel</c:v>
                </c:pt>
              </c:strCache>
            </c:strRef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'03-08_SectorTbl'!$G$139:$H$139</c:f>
              <c:numCache>
                <c:formatCode>#,##0_);\(#,##0\)</c:formatCode>
                <c:ptCount val="2"/>
                <c:pt idx="0">
                  <c:v>147.64624970976709</c:v>
                </c:pt>
                <c:pt idx="1">
                  <c:v>157.19779248608759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E52-462C-9DB5-E0792B62B5C0}"/>
            </c:ext>
          </c:extLst>
        </c:ser>
        <c:ser>
          <c:idx val="7"/>
          <c:order val="7"/>
          <c:tx>
            <c:strRef>
              <c:f>'03-08_SectorTbl'!$F$140</c:f>
              <c:strCache>
                <c:ptCount val="1"/>
                <c:pt idx="0">
                  <c:v>LPG</c:v>
                </c:pt>
              </c:strCache>
            </c:strRef>
          </c:tx>
          <c:invertIfNegative val="0"/>
          <c:cat>
            <c:strRef>
              <c:f>'03-08_SectorTbl'!$G$132:$H$132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'03-08_SectorTbl'!$G$140:$H$140</c:f>
              <c:numCache>
                <c:formatCode>#,##0_);\(#,##0\)</c:formatCode>
                <c:ptCount val="2"/>
                <c:pt idx="0">
                  <c:v>7.9162715242516635</c:v>
                </c:pt>
                <c:pt idx="1">
                  <c:v>8.4283915831186622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E52-462C-9DB5-E0792B62B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683536"/>
        <c:axId val="2040693872"/>
      </c:barChart>
      <c:catAx>
        <c:axId val="204068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40693872"/>
        <c:crosses val="autoZero"/>
        <c:auto val="1"/>
        <c:lblAlgn val="ctr"/>
        <c:lblOffset val="100"/>
        <c:noMultiLvlLbl val="0"/>
      </c:catAx>
      <c:valAx>
        <c:axId val="204069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2040683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'03-08_SectorTbl'!$F$147</c:f>
              <c:strCache>
                <c:ptCount val="1"/>
                <c:pt idx="0">
                  <c:v>Electricity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'03-08_SectorTbl'!$G$147:$H$147</c:f>
              <c:numCache>
                <c:formatCode>#,##0_);\(#,##0\)</c:formatCode>
                <c:ptCount val="2"/>
                <c:pt idx="0">
                  <c:v>2001481.2703278386</c:v>
                </c:pt>
                <c:pt idx="1">
                  <c:v>2278281.9927048925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6-4B70-BA72-14AE43EE7DC2}"/>
            </c:ext>
          </c:extLst>
        </c:ser>
        <c:ser>
          <c:idx val="1"/>
          <c:order val="1"/>
          <c:tx>
            <c:strRef>
              <c:f>'03-08_SectorTbl'!$F$148</c:f>
              <c:strCache>
                <c:ptCount val="1"/>
                <c:pt idx="0">
                  <c:v>Direct Fuel Use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'03-08_SectorTbl'!$G$148:$H$148</c:f>
              <c:numCache>
                <c:formatCode>#,##0_);\(#,##0\)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76-4B70-BA72-14AE43EE7DC2}"/>
            </c:ext>
          </c:extLst>
        </c:ser>
        <c:ser>
          <c:idx val="2"/>
          <c:order val="2"/>
          <c:tx>
            <c:strRef>
              <c:f>'03-08_SectorTbl'!$F$149</c:f>
              <c:strCache>
                <c:ptCount val="1"/>
                <c:pt idx="0">
                  <c:v>Natural Gas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'03-08_SectorTbl'!$G$149:$H$149</c:f>
              <c:numCache>
                <c:formatCode>#,##0_);\(#,##0\)</c:formatCode>
                <c:ptCount val="2"/>
                <c:pt idx="0">
                  <c:v>831954.80783429567</c:v>
                </c:pt>
                <c:pt idx="1">
                  <c:v>952343.16711714945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76-4B70-BA72-14AE43EE7DC2}"/>
            </c:ext>
          </c:extLst>
        </c:ser>
        <c:ser>
          <c:idx val="3"/>
          <c:order val="3"/>
          <c:tx>
            <c:strRef>
              <c:f>'03-08_SectorTbl'!$F$150</c:f>
              <c:strCache>
                <c:ptCount val="1"/>
                <c:pt idx="0">
                  <c:v>Oil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'03-08_SectorTbl'!$G$150:$H$150</c:f>
              <c:numCache>
                <c:formatCode>#,##0_);\(#,##0\)</c:formatCode>
                <c:ptCount val="2"/>
                <c:pt idx="0">
                  <c:v>208780.99475738493</c:v>
                </c:pt>
                <c:pt idx="1">
                  <c:v>227202.69931051467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76-4B70-BA72-14AE43EE7DC2}"/>
            </c:ext>
          </c:extLst>
        </c:ser>
        <c:ser>
          <c:idx val="4"/>
          <c:order val="4"/>
          <c:tx>
            <c:strRef>
              <c:f>'03-08_SectorTbl'!$F$151</c:f>
              <c:strCache>
                <c:ptCount val="1"/>
                <c:pt idx="0">
                  <c:v>Commercial Equipment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'03-08_SectorTbl'!$G$151:$H$151</c:f>
              <c:numCache>
                <c:formatCode>#,##0_);\(#,##0\)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76-4B70-BA72-14AE43EE7DC2}"/>
            </c:ext>
          </c:extLst>
        </c:ser>
        <c:ser>
          <c:idx val="5"/>
          <c:order val="5"/>
          <c:tx>
            <c:strRef>
              <c:f>'03-08_SectorTbl'!$F$152</c:f>
              <c:strCache>
                <c:ptCount val="1"/>
                <c:pt idx="0">
                  <c:v>Diesel 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'03-08_SectorTbl'!$G$152:$H$152</c:f>
              <c:numCache>
                <c:formatCode>#,##0_);\(#,##0\)</c:formatCode>
                <c:ptCount val="2"/>
                <c:pt idx="0">
                  <c:v>100784.79525989</c:v>
                </c:pt>
                <c:pt idx="1">
                  <c:v>109403.74801667969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76-4B70-BA72-14AE43EE7DC2}"/>
            </c:ext>
          </c:extLst>
        </c:ser>
        <c:ser>
          <c:idx val="6"/>
          <c:order val="6"/>
          <c:tx>
            <c:strRef>
              <c:f>'03-08_SectorTbl'!$F$153</c:f>
              <c:strCache>
                <c:ptCount val="1"/>
                <c:pt idx="0">
                  <c:v>Gasoline 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'03-08_SectorTbl'!$G$153:$H$153</c:f>
              <c:numCache>
                <c:formatCode>#,##0_);\(#,##0\)</c:formatCode>
                <c:ptCount val="2"/>
                <c:pt idx="0">
                  <c:v>229882.68359006301</c:v>
                </c:pt>
                <c:pt idx="1">
                  <c:v>249541.87905062389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A76-4B70-BA72-14AE43EE7DC2}"/>
            </c:ext>
          </c:extLst>
        </c:ser>
        <c:ser>
          <c:idx val="7"/>
          <c:order val="7"/>
          <c:tx>
            <c:strRef>
              <c:f>'03-08_SectorTbl'!$F$154</c:f>
              <c:strCache>
                <c:ptCount val="1"/>
                <c:pt idx="0">
                  <c:v>LPG 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'03-08_SectorTbl'!$G$154:$H$154</c:f>
              <c:numCache>
                <c:formatCode>#,##0_);\(#,##0\)</c:formatCode>
                <c:ptCount val="2"/>
                <c:pt idx="0">
                  <c:v>10500.932440345654</c:v>
                </c:pt>
                <c:pt idx="1">
                  <c:v>11398.955206301494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A76-4B70-BA72-14AE43EE7DC2}"/>
            </c:ext>
          </c:extLst>
        </c:ser>
        <c:ser>
          <c:idx val="8"/>
          <c:order val="8"/>
          <c:tx>
            <c:strRef>
              <c:f>'03-08_SectorTbl'!$F$155</c:f>
              <c:strCache>
                <c:ptCount val="1"/>
                <c:pt idx="0">
                  <c:v>CNG 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'03-08_SectorTbl'!$G$155:$H$155</c:f>
              <c:numCache>
                <c:formatCode>#,##0_);\(#,##0\)</c:formatCode>
                <c:ptCount val="2"/>
                <c:pt idx="0">
                  <c:v>36325.163697133365</c:v>
                </c:pt>
                <c:pt idx="1">
                  <c:v>39431.632971401414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A76-4B70-BA72-14AE43EE7DC2}"/>
            </c:ext>
          </c:extLst>
        </c:ser>
        <c:ser>
          <c:idx val="9"/>
          <c:order val="9"/>
          <c:tx>
            <c:strRef>
              <c:f>'03-08_SectorTbl'!$F$156</c:f>
              <c:strCache>
                <c:ptCount val="1"/>
                <c:pt idx="0">
                  <c:v>Steam Plants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'03-08_SectorTbl'!$G$156:$H$156</c:f>
              <c:numCache>
                <c:formatCode>#,##0_);\(#,##0\)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A76-4B70-BA72-14AE43EE7DC2}"/>
            </c:ext>
          </c:extLst>
        </c:ser>
        <c:ser>
          <c:idx val="10"/>
          <c:order val="10"/>
          <c:tx>
            <c:strRef>
              <c:f>'03-08_SectorTbl'!$F$157</c:f>
              <c:strCache>
                <c:ptCount val="1"/>
                <c:pt idx="0">
                  <c:v>Natural Gas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'03-08_SectorTbl'!$G$157:$H$157</c:f>
              <c:numCache>
                <c:formatCode>#,##0_);\(#,##0\)</c:formatCode>
                <c:ptCount val="2"/>
                <c:pt idx="0">
                  <c:v>160081.15402892014</c:v>
                </c:pt>
                <c:pt idx="1">
                  <c:v>176252.8617572583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A76-4B70-BA72-14AE43EE7DC2}"/>
            </c:ext>
          </c:extLst>
        </c:ser>
        <c:ser>
          <c:idx val="11"/>
          <c:order val="11"/>
          <c:tx>
            <c:strRef>
              <c:f>'03-08_SectorTbl'!$F$158</c:f>
              <c:strCache>
                <c:ptCount val="1"/>
                <c:pt idx="0">
                  <c:v>Oil </c:v>
                </c:pt>
              </c:strCache>
            </c:strRef>
          </c:tx>
          <c:invertIfNegative val="0"/>
          <c:cat>
            <c:strRef>
              <c:f>'03-08_SectorTbl'!$G$146:$H$146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'03-08_SectorTbl'!$G$158:$H$158</c:f>
              <c:numCache>
                <c:formatCode>#,##0_);\(#,##0\)</c:formatCode>
                <c:ptCount val="2"/>
                <c:pt idx="0">
                  <c:v>0</c:v>
                </c:pt>
                <c:pt idx="1">
                  <c:v>551.97471080411503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A76-4B70-BA72-14AE43EE7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690064"/>
        <c:axId val="2040706928"/>
      </c:barChart>
      <c:catAx>
        <c:axId val="204069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40706928"/>
        <c:crosses val="autoZero"/>
        <c:auto val="1"/>
        <c:lblAlgn val="ctr"/>
        <c:lblOffset val="100"/>
        <c:noMultiLvlLbl val="0"/>
      </c:catAx>
      <c:valAx>
        <c:axId val="2040706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2040690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'03-08_SectorTbl'!$F$165</c:f>
              <c:strCache>
                <c:ptCount val="1"/>
                <c:pt idx="0">
                  <c:v>Electricity</c:v>
                </c:pt>
              </c:strCache>
            </c:strRef>
          </c:tx>
          <c:invertIfNegative val="0"/>
          <c:cat>
            <c:strRef>
              <c:f>'03-08_SectorTbl'!$G$164:$H$164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'03-08_SectorTbl'!$G$165:$H$165</c:f>
              <c:numCache>
                <c:formatCode>#,##0_);\(#,##0\)</c:formatCode>
                <c:ptCount val="2"/>
                <c:pt idx="0">
                  <c:v>534708.13401730801</c:v>
                </c:pt>
                <c:pt idx="1">
                  <c:v>503629.9844031235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A1-4BFA-B8F5-23387E10DC6A}"/>
            </c:ext>
          </c:extLst>
        </c:ser>
        <c:ser>
          <c:idx val="1"/>
          <c:order val="1"/>
          <c:tx>
            <c:strRef>
              <c:f>'03-08_SectorTbl'!$F$166</c:f>
              <c:strCache>
                <c:ptCount val="1"/>
                <c:pt idx="0">
                  <c:v>Direct Fuel Use </c:v>
                </c:pt>
              </c:strCache>
            </c:strRef>
          </c:tx>
          <c:invertIfNegative val="0"/>
          <c:cat>
            <c:strRef>
              <c:f>'03-08_SectorTbl'!$G$164:$H$164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'03-08_SectorTbl'!$G$166:$H$166</c:f>
              <c:numCache>
                <c:formatCode>#,##0_);\(#,##0\)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A1-4BFA-B8F5-23387E10DC6A}"/>
            </c:ext>
          </c:extLst>
        </c:ser>
        <c:ser>
          <c:idx val="2"/>
          <c:order val="2"/>
          <c:tx>
            <c:strRef>
              <c:f>'03-08_SectorTbl'!$F$167</c:f>
              <c:strCache>
                <c:ptCount val="1"/>
                <c:pt idx="0">
                  <c:v>Natural gas</c:v>
                </c:pt>
              </c:strCache>
            </c:strRef>
          </c:tx>
          <c:invertIfNegative val="0"/>
          <c:cat>
            <c:strRef>
              <c:f>'03-08_SectorTbl'!$G$164:$H$164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'03-08_SectorTbl'!$G$167:$H$167</c:f>
              <c:numCache>
                <c:formatCode>#,##0_);\(#,##0\)</c:formatCode>
                <c:ptCount val="2"/>
                <c:pt idx="0">
                  <c:v>524162.0912656599</c:v>
                </c:pt>
                <c:pt idx="1">
                  <c:v>510643.34432334267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9A1-4BFA-B8F5-23387E10DC6A}"/>
            </c:ext>
          </c:extLst>
        </c:ser>
        <c:ser>
          <c:idx val="3"/>
          <c:order val="3"/>
          <c:tx>
            <c:strRef>
              <c:f>'03-08_SectorTbl'!$F$168</c:f>
              <c:strCache>
                <c:ptCount val="1"/>
                <c:pt idx="0">
                  <c:v>Oil</c:v>
                </c:pt>
              </c:strCache>
            </c:strRef>
          </c:tx>
          <c:invertIfNegative val="0"/>
          <c:cat>
            <c:strRef>
              <c:f>'03-08_SectorTbl'!$G$164:$H$164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'03-08_SectorTbl'!$G$168:$H$168</c:f>
              <c:numCache>
                <c:formatCode>#,##0_);\(#,##0\)</c:formatCode>
                <c:ptCount val="2"/>
                <c:pt idx="0">
                  <c:v>89059.205223995261</c:v>
                </c:pt>
                <c:pt idx="1">
                  <c:v>1198922.2301042632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9A1-4BFA-B8F5-23387E10DC6A}"/>
            </c:ext>
          </c:extLst>
        </c:ser>
        <c:ser>
          <c:idx val="4"/>
          <c:order val="4"/>
          <c:tx>
            <c:strRef>
              <c:f>'03-08_SectorTbl'!$F$169</c:f>
              <c:strCache>
                <c:ptCount val="1"/>
                <c:pt idx="0">
                  <c:v>Industrial Equipment</c:v>
                </c:pt>
              </c:strCache>
            </c:strRef>
          </c:tx>
          <c:invertIfNegative val="0"/>
          <c:cat>
            <c:strRef>
              <c:f>'03-08_SectorTbl'!$G$164:$H$164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'03-08_SectorTbl'!$G$169:$H$169</c:f>
              <c:numCache>
                <c:formatCode>#,##0_);\(#,##0\)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9A1-4BFA-B8F5-23387E10DC6A}"/>
            </c:ext>
          </c:extLst>
        </c:ser>
        <c:ser>
          <c:idx val="5"/>
          <c:order val="5"/>
          <c:tx>
            <c:strRef>
              <c:f>'03-08_SectorTbl'!$F$170</c:f>
              <c:strCache>
                <c:ptCount val="1"/>
                <c:pt idx="0">
                  <c:v>Diesel</c:v>
                </c:pt>
              </c:strCache>
            </c:strRef>
          </c:tx>
          <c:invertIfNegative val="0"/>
          <c:cat>
            <c:strRef>
              <c:f>'03-08_SectorTbl'!$G$164:$H$164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'03-08_SectorTbl'!$G$170:$H$170</c:f>
              <c:numCache>
                <c:formatCode>#,##0_);\(#,##0\)</c:formatCode>
                <c:ptCount val="2"/>
                <c:pt idx="0">
                  <c:v>560202.29937735747</c:v>
                </c:pt>
                <c:pt idx="1">
                  <c:v>608109.89436852338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9A1-4BFA-B8F5-23387E10DC6A}"/>
            </c:ext>
          </c:extLst>
        </c:ser>
        <c:ser>
          <c:idx val="6"/>
          <c:order val="6"/>
          <c:tx>
            <c:strRef>
              <c:f>'03-08_SectorTbl'!$F$171</c:f>
              <c:strCache>
                <c:ptCount val="1"/>
                <c:pt idx="0">
                  <c:v>Gasoline</c:v>
                </c:pt>
              </c:strCache>
            </c:strRef>
          </c:tx>
          <c:invertIfNegative val="0"/>
          <c:cat>
            <c:strRef>
              <c:f>'03-08_SectorTbl'!$G$164:$H$164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'03-08_SectorTbl'!$G$171:$H$171</c:f>
              <c:numCache>
                <c:formatCode>#,##0_);\(#,##0\)</c:formatCode>
                <c:ptCount val="2"/>
                <c:pt idx="0">
                  <c:v>14877.041433345628</c:v>
                </c:pt>
                <c:pt idx="1">
                  <c:v>16149.301965742017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9A1-4BFA-B8F5-23387E10DC6A}"/>
            </c:ext>
          </c:extLst>
        </c:ser>
        <c:ser>
          <c:idx val="7"/>
          <c:order val="7"/>
          <c:tx>
            <c:strRef>
              <c:f>'03-08_SectorTbl'!$F$172</c:f>
              <c:strCache>
                <c:ptCount val="1"/>
                <c:pt idx="0">
                  <c:v>LPG</c:v>
                </c:pt>
              </c:strCache>
            </c:strRef>
          </c:tx>
          <c:invertIfNegative val="0"/>
          <c:cat>
            <c:strRef>
              <c:f>'03-08_SectorTbl'!$G$164:$H$164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'03-08_SectorTbl'!$G$172:$H$172</c:f>
              <c:numCache>
                <c:formatCode>#,##0_);\(#,##0\)</c:formatCode>
                <c:ptCount val="2"/>
                <c:pt idx="0">
                  <c:v>96649.941697402654</c:v>
                </c:pt>
                <c:pt idx="1">
                  <c:v>104915.28846214342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9A1-4BFA-B8F5-23387E10DC6A}"/>
            </c:ext>
          </c:extLst>
        </c:ser>
        <c:ser>
          <c:idx val="8"/>
          <c:order val="8"/>
          <c:tx>
            <c:strRef>
              <c:f>'03-08_SectorTbl'!$F$173</c:f>
              <c:strCache>
                <c:ptCount val="1"/>
                <c:pt idx="0">
                  <c:v>CNG</c:v>
                </c:pt>
              </c:strCache>
            </c:strRef>
          </c:tx>
          <c:invertIfNegative val="0"/>
          <c:cat>
            <c:strRef>
              <c:f>'03-08_SectorTbl'!$G$164:$H$164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'03-08_SectorTbl'!$G$173:$H$173</c:f>
              <c:numCache>
                <c:formatCode>#,##0_);\(#,##0\)</c:formatCode>
                <c:ptCount val="2"/>
                <c:pt idx="0">
                  <c:v>47729.205888466466</c:v>
                </c:pt>
                <c:pt idx="1">
                  <c:v>51810.930414581555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9A1-4BFA-B8F5-23387E10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684080"/>
        <c:axId val="2040703664"/>
      </c:barChart>
      <c:catAx>
        <c:axId val="204068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40703664"/>
        <c:crosses val="autoZero"/>
        <c:auto val="1"/>
        <c:lblAlgn val="ctr"/>
        <c:lblOffset val="100"/>
        <c:noMultiLvlLbl val="0"/>
      </c:catAx>
      <c:valAx>
        <c:axId val="2040703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#,##0_);\(#,##0\)" sourceLinked="1"/>
        <c:majorTickMark val="out"/>
        <c:minorTickMark val="none"/>
        <c:tickLblPos val="nextTo"/>
        <c:crossAx val="204068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'03-08_SectorTbl'!$F$183</c:f>
              <c:strCache>
                <c:ptCount val="1"/>
                <c:pt idx="0">
                  <c:v>Process Emissions</c:v>
                </c:pt>
              </c:strCache>
            </c:strRef>
          </c:tx>
          <c:invertIfNegative val="0"/>
          <c:cat>
            <c:strRef>
              <c:f>'03-08_SectorTbl'!$G$182:$H$182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'03-08_SectorTbl'!$G$183:$H$183</c:f>
              <c:numCache>
                <c:formatCode>_(* #,##0_);_(* \(#,##0\);_(* "-"??_);_(@_)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60-427C-9984-C5B3A98E0E18}"/>
            </c:ext>
          </c:extLst>
        </c:ser>
        <c:ser>
          <c:idx val="1"/>
          <c:order val="1"/>
          <c:tx>
            <c:strRef>
              <c:f>'03-08_SectorTbl'!$F$184</c:f>
              <c:strCache>
                <c:ptCount val="1"/>
                <c:pt idx="0">
                  <c:v>Cement </c:v>
                </c:pt>
              </c:strCache>
            </c:strRef>
          </c:tx>
          <c:invertIfNegative val="0"/>
          <c:cat>
            <c:strRef>
              <c:f>'03-08_SectorTbl'!$G$182:$H$182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'03-08_SectorTbl'!$G$184:$H$184</c:f>
              <c:numCache>
                <c:formatCode>#,##0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60-427C-9984-C5B3A98E0E18}"/>
            </c:ext>
          </c:extLst>
        </c:ser>
        <c:ser>
          <c:idx val="2"/>
          <c:order val="2"/>
          <c:tx>
            <c:strRef>
              <c:f>'03-08_SectorTbl'!$F$185</c:f>
              <c:strCache>
                <c:ptCount val="1"/>
                <c:pt idx="0">
                  <c:v>Cement manufacture</c:v>
                </c:pt>
              </c:strCache>
            </c:strRef>
          </c:tx>
          <c:invertIfNegative val="0"/>
          <c:cat>
            <c:strRef>
              <c:f>'03-08_SectorTbl'!$G$182:$H$182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'03-08_SectorTbl'!$G$185:$H$185</c:f>
              <c:numCache>
                <c:formatCode>#,##0</c:formatCode>
                <c:ptCount val="2"/>
                <c:pt idx="0">
                  <c:v>411380.49062961666</c:v>
                </c:pt>
                <c:pt idx="1">
                  <c:v>394643.51949045953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60-427C-9984-C5B3A98E0E18}"/>
            </c:ext>
          </c:extLst>
        </c:ser>
        <c:ser>
          <c:idx val="3"/>
          <c:order val="3"/>
          <c:tx>
            <c:strRef>
              <c:f>'03-08_SectorTbl'!$F$186</c:f>
              <c:strCache>
                <c:ptCount val="1"/>
                <c:pt idx="0">
                  <c:v>Coal</c:v>
                </c:pt>
              </c:strCache>
            </c:strRef>
          </c:tx>
          <c:invertIfNegative val="0"/>
          <c:cat>
            <c:strRef>
              <c:f>'03-08_SectorTbl'!$G$182:$H$182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'03-08_SectorTbl'!$G$186:$H$186</c:f>
              <c:numCache>
                <c:formatCode>#,##0</c:formatCode>
                <c:ptCount val="2"/>
                <c:pt idx="0">
                  <c:v>286186.18622956501</c:v>
                </c:pt>
                <c:pt idx="1">
                  <c:v>337941.17712677934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60-427C-9984-C5B3A98E0E18}"/>
            </c:ext>
          </c:extLst>
        </c:ser>
        <c:ser>
          <c:idx val="4"/>
          <c:order val="4"/>
          <c:tx>
            <c:strRef>
              <c:f>'03-08_SectorTbl'!$F$187</c:f>
              <c:strCache>
                <c:ptCount val="1"/>
                <c:pt idx="0">
                  <c:v>Tire-derived fuel</c:v>
                </c:pt>
              </c:strCache>
            </c:strRef>
          </c:tx>
          <c:invertIfNegative val="0"/>
          <c:cat>
            <c:strRef>
              <c:f>'03-08_SectorTbl'!$G$182:$H$182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'03-08_SectorTbl'!$G$187:$H$187</c:f>
              <c:numCache>
                <c:formatCode>#,##0</c:formatCode>
                <c:ptCount val="2"/>
                <c:pt idx="0">
                  <c:v>17013.932732676825</c:v>
                </c:pt>
                <c:pt idx="1">
                  <c:v>17128.298879999998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60-427C-9984-C5B3A98E0E18}"/>
            </c:ext>
          </c:extLst>
        </c:ser>
        <c:ser>
          <c:idx val="5"/>
          <c:order val="5"/>
          <c:tx>
            <c:strRef>
              <c:f>'03-08_SectorTbl'!$F$188</c:f>
              <c:strCache>
                <c:ptCount val="1"/>
                <c:pt idx="0">
                  <c:v>Steel</c:v>
                </c:pt>
              </c:strCache>
            </c:strRef>
          </c:tx>
          <c:invertIfNegative val="0"/>
          <c:cat>
            <c:strRef>
              <c:f>'03-08_SectorTbl'!$G$182:$H$182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'03-08_SectorTbl'!$G$188:$H$188</c:f>
              <c:numCache>
                <c:formatCode>#,##0</c:formatCode>
                <c:ptCount val="2"/>
                <c:pt idx="0">
                  <c:v>3078.5219532432993</c:v>
                </c:pt>
                <c:pt idx="1">
                  <c:v>3175.320706613707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60-427C-9984-C5B3A98E0E18}"/>
            </c:ext>
          </c:extLst>
        </c:ser>
        <c:ser>
          <c:idx val="6"/>
          <c:order val="6"/>
          <c:tx>
            <c:strRef>
              <c:f>'03-08_SectorTbl'!$F$190</c:f>
              <c:strCache>
                <c:ptCount val="1"/>
                <c:pt idx="0">
                  <c:v>Fugitive Gases</c:v>
                </c:pt>
              </c:strCache>
            </c:strRef>
          </c:tx>
          <c:invertIfNegative val="0"/>
          <c:cat>
            <c:strRef>
              <c:f>'03-08_SectorTbl'!$G$182:$H$182</c:f>
              <c:strCache>
                <c:ptCount val="2"/>
                <c:pt idx="0">
                  <c:v>2003</c:v>
                </c:pt>
                <c:pt idx="1">
                  <c:v>2008</c:v>
                </c:pt>
              </c:strCache>
            </c:strRef>
          </c:cat>
          <c:val>
            <c:numRef>
              <c:f>'03-08_SectorTbl'!$G$192:$H$192</c:f>
              <c:numCache>
                <c:formatCode>#,##0</c:formatCode>
                <c:ptCount val="2"/>
                <c:pt idx="0">
                  <c:v>50846.160877613882</c:v>
                </c:pt>
                <c:pt idx="1">
                  <c:v>56178.896691388327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60-427C-9984-C5B3A98E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687344"/>
        <c:axId val="2040690608"/>
      </c:barChart>
      <c:catAx>
        <c:axId val="204068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40690608"/>
        <c:crosses val="autoZero"/>
        <c:auto val="1"/>
        <c:lblAlgn val="ctr"/>
        <c:lblOffset val="100"/>
        <c:noMultiLvlLbl val="0"/>
      </c:catAx>
      <c:valAx>
        <c:axId val="2040690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MgCO</a:t>
                </a:r>
                <a:r>
                  <a:rPr lang="en-US" sz="1000" b="1" i="0" baseline="-25000">
                    <a:effectLst/>
                  </a:rPr>
                  <a:t>2</a:t>
                </a:r>
                <a:r>
                  <a:rPr lang="en-US" sz="1000" b="1" i="0" baseline="0">
                    <a:effectLst/>
                  </a:rPr>
                  <a:t>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040687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219076</xdr:colOff>
      <xdr:row>2</xdr:row>
      <xdr:rowOff>28575</xdr:rowOff>
    </xdr:from>
    <xdr:to>
      <xdr:col>45</xdr:col>
      <xdr:colOff>76201</xdr:colOff>
      <xdr:row>36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0.69474</cdr:x>
      <cdr:y>0.44872</cdr:y>
    </cdr:from>
    <cdr:to>
      <cdr:x>0.69474</cdr:x>
      <cdr:y>0.44872</cdr:y>
    </cdr:to>
    <cdr:grpSp>
      <cdr:nvGrpSpPr>
        <cdr:cNvPr id="52" name="Group 51">
          <a:extLst xmlns:a="http://schemas.openxmlformats.org/drawingml/2006/main">
            <a:ext uri="{FF2B5EF4-FFF2-40B4-BE49-F238E27FC236}">
              <a16:creationId xmlns="" xmlns:a16="http://schemas.microsoft.com/office/drawing/2014/main" id="{3948D84B-D85E-4089-A586-6B592E506063}"/>
            </a:ext>
          </a:extLst>
        </cdr:cNvPr>
        <cdr:cNvGrpSpPr/>
      </cdr:nvGrpSpPr>
      <cdr:grpSpPr>
        <a:xfrm xmlns:a="http://schemas.openxmlformats.org/drawingml/2006/main">
          <a:off x="6001980" y="2525968"/>
          <a:ext cx="0" cy="0"/>
          <a:chOff x="6001980" y="2525968"/>
          <a:chExt cx="0" cy="0"/>
        </a:xfrm>
      </cdr:grpSpPr>
    </cdr:grpSp>
  </cdr:relSizeAnchor>
  <cdr:relSizeAnchor xmlns:cdr="http://schemas.openxmlformats.org/drawingml/2006/chartDrawing">
    <cdr:from>
      <cdr:x>0.69417</cdr:x>
      <cdr:y>0.08838</cdr:y>
    </cdr:from>
    <cdr:to>
      <cdr:x>0.97052</cdr:x>
      <cdr:y>0.13478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C7340650-04B1-4623-AC00-76BC944703FB}"/>
            </a:ext>
          </a:extLst>
        </cdr:cNvPr>
        <cdr:cNvSpPr txBox="1"/>
      </cdr:nvSpPr>
      <cdr:spPr>
        <a:xfrm xmlns:a="http://schemas.openxmlformats.org/drawingml/2006/main">
          <a:off x="6155707" y="497508"/>
          <a:ext cx="2450610" cy="261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Road</a:t>
          </a:r>
        </a:p>
      </cdr:txBody>
    </cdr:sp>
  </cdr:relSizeAnchor>
  <cdr:relSizeAnchor xmlns:cdr="http://schemas.openxmlformats.org/drawingml/2006/chartDrawing">
    <cdr:from>
      <cdr:x>0.68464</cdr:x>
      <cdr:y>0.10425</cdr:y>
    </cdr:from>
    <cdr:to>
      <cdr:x>0.69607</cdr:x>
      <cdr:y>0.12047</cdr:y>
    </cdr:to>
    <cdr:sp macro="" textlink="">
      <cdr:nvSpPr>
        <cdr:cNvPr id="14" name="Rectangle 13">
          <a:extLst xmlns:a="http://schemas.openxmlformats.org/drawingml/2006/main">
            <a:ext uri="{FF2B5EF4-FFF2-40B4-BE49-F238E27FC236}">
              <a16:creationId xmlns="" xmlns:a16="http://schemas.microsoft.com/office/drawing/2014/main" id="{93FEF986-6F07-4761-AE8B-8A11E63F71BE}"/>
            </a:ext>
          </a:extLst>
        </cdr:cNvPr>
        <cdr:cNvSpPr/>
      </cdr:nvSpPr>
      <cdr:spPr>
        <a:xfrm xmlns:a="http://schemas.openxmlformats.org/drawingml/2006/main">
          <a:off x="6071197" y="586845"/>
          <a:ext cx="101359" cy="91307"/>
        </a:xfrm>
        <a:prstGeom xmlns:a="http://schemas.openxmlformats.org/drawingml/2006/main" prst="rect">
          <a:avLst/>
        </a:prstGeom>
        <a:solidFill xmlns:a="http://schemas.openxmlformats.org/drawingml/2006/main">
          <a:srgbClr val="350BE5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0.65607</cdr:x>
      <cdr:y>0.04541</cdr:y>
    </cdr:from>
    <cdr:to>
      <cdr:x>0.89817</cdr:x>
      <cdr:y>0.10692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A4BDB001-58E3-4ECE-BA8F-AFB6FCAADFD6}"/>
            </a:ext>
          </a:extLst>
        </cdr:cNvPr>
        <cdr:cNvSpPr txBox="1"/>
      </cdr:nvSpPr>
      <cdr:spPr>
        <a:xfrm xmlns:a="http://schemas.openxmlformats.org/drawingml/2006/main">
          <a:off x="5817845" y="255618"/>
          <a:ext cx="2146888" cy="34625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 dirty="0"/>
            <a:t>TRANSPORTATION</a:t>
          </a:r>
        </a:p>
      </cdr:txBody>
    </cdr:sp>
  </cdr:relSizeAnchor>
  <cdr:relSizeAnchor xmlns:cdr="http://schemas.openxmlformats.org/drawingml/2006/chartDrawing">
    <cdr:from>
      <cdr:x>0.69417</cdr:x>
      <cdr:y>0.16703</cdr:y>
    </cdr:from>
    <cdr:to>
      <cdr:x>0.91522</cdr:x>
      <cdr:y>0.21038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A75F4849-2539-4500-A171-B482E39224B5}"/>
            </a:ext>
          </a:extLst>
        </cdr:cNvPr>
        <cdr:cNvSpPr txBox="1"/>
      </cdr:nvSpPr>
      <cdr:spPr>
        <a:xfrm xmlns:a="http://schemas.openxmlformats.org/drawingml/2006/main">
          <a:off x="6155707" y="940251"/>
          <a:ext cx="1960222" cy="24402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Air</a:t>
          </a:r>
        </a:p>
      </cdr:txBody>
    </cdr:sp>
  </cdr:relSizeAnchor>
  <cdr:relSizeAnchor xmlns:cdr="http://schemas.openxmlformats.org/drawingml/2006/chartDrawing">
    <cdr:from>
      <cdr:x>0.68464</cdr:x>
      <cdr:y>0.18779</cdr:y>
    </cdr:from>
    <cdr:to>
      <cdr:x>0.69607</cdr:x>
      <cdr:y>0.20401</cdr:y>
    </cdr:to>
    <cdr:sp macro="" textlink="">
      <cdr:nvSpPr>
        <cdr:cNvPr id="20" name="Rectangle 19">
          <a:extLst xmlns:a="http://schemas.openxmlformats.org/drawingml/2006/main">
            <a:ext uri="{FF2B5EF4-FFF2-40B4-BE49-F238E27FC236}">
              <a16:creationId xmlns="" xmlns:a16="http://schemas.microsoft.com/office/drawing/2014/main" id="{AD1C21A4-AAEB-4C75-95AA-60277E985BEC}"/>
            </a:ext>
          </a:extLst>
        </cdr:cNvPr>
        <cdr:cNvSpPr/>
      </cdr:nvSpPr>
      <cdr:spPr>
        <a:xfrm xmlns:a="http://schemas.openxmlformats.org/drawingml/2006/main">
          <a:off x="6071197" y="1057114"/>
          <a:ext cx="101359" cy="91307"/>
        </a:xfrm>
        <a:prstGeom xmlns:a="http://schemas.openxmlformats.org/drawingml/2006/main" prst="rect">
          <a:avLst/>
        </a:prstGeom>
        <a:solidFill xmlns:a="http://schemas.openxmlformats.org/drawingml/2006/main">
          <a:srgbClr val="11BDDF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0.69417</cdr:x>
      <cdr:y>0.12649</cdr:y>
    </cdr:from>
    <cdr:to>
      <cdr:x>0.92574</cdr:x>
      <cdr:y>0.16984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62DAC4FA-E042-4DCD-A5F0-C9034CDF702B}"/>
            </a:ext>
          </a:extLst>
        </cdr:cNvPr>
        <cdr:cNvSpPr txBox="1"/>
      </cdr:nvSpPr>
      <cdr:spPr>
        <a:xfrm xmlns:a="http://schemas.openxmlformats.org/drawingml/2006/main">
          <a:off x="6155707" y="712040"/>
          <a:ext cx="2053511" cy="24402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Marine &amp; Rail</a:t>
          </a:r>
        </a:p>
      </cdr:txBody>
    </cdr:sp>
  </cdr:relSizeAnchor>
  <cdr:relSizeAnchor xmlns:cdr="http://schemas.openxmlformats.org/drawingml/2006/chartDrawing">
    <cdr:from>
      <cdr:x>0.68464</cdr:x>
      <cdr:y>0.14237</cdr:y>
    </cdr:from>
    <cdr:to>
      <cdr:x>0.69607</cdr:x>
      <cdr:y>0.15858</cdr:y>
    </cdr:to>
    <cdr:sp macro="" textlink="">
      <cdr:nvSpPr>
        <cdr:cNvPr id="29" name="Rectangle 28">
          <a:extLst xmlns:a="http://schemas.openxmlformats.org/drawingml/2006/main">
            <a:ext uri="{FF2B5EF4-FFF2-40B4-BE49-F238E27FC236}">
              <a16:creationId xmlns="" xmlns:a16="http://schemas.microsoft.com/office/drawing/2014/main" id="{479360D9-21A9-4F7A-883F-C4756C897BDD}"/>
            </a:ext>
          </a:extLst>
        </cdr:cNvPr>
        <cdr:cNvSpPr/>
      </cdr:nvSpPr>
      <cdr:spPr>
        <a:xfrm xmlns:a="http://schemas.openxmlformats.org/drawingml/2006/main" flipV="1">
          <a:off x="6071197" y="801433"/>
          <a:ext cx="101359" cy="91250"/>
        </a:xfrm>
        <a:prstGeom xmlns:a="http://schemas.openxmlformats.org/drawingml/2006/main" prst="rect">
          <a:avLst/>
        </a:prstGeom>
        <a:solidFill xmlns:a="http://schemas.openxmlformats.org/drawingml/2006/main">
          <a:srgbClr val="1A8AD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0.69417</cdr:x>
      <cdr:y>0.42379</cdr:y>
    </cdr:from>
    <cdr:to>
      <cdr:x>0.94635</cdr:x>
      <cdr:y>0.46225</cdr:y>
    </cdr:to>
    <cdr:sp macro="" textlink="">
      <cdr:nvSpPr>
        <cdr:cNvPr id="27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AB559600-786D-4B5C-A3E5-EF79E1FA4258}"/>
            </a:ext>
          </a:extLst>
        </cdr:cNvPr>
        <cdr:cNvSpPr txBox="1"/>
      </cdr:nvSpPr>
      <cdr:spPr>
        <a:xfrm xmlns:a="http://schemas.openxmlformats.org/drawingml/2006/main">
          <a:off x="6155707" y="2385623"/>
          <a:ext cx="2236275" cy="216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Energy Use</a:t>
          </a:r>
        </a:p>
      </cdr:txBody>
    </cdr:sp>
  </cdr:relSizeAnchor>
  <cdr:relSizeAnchor xmlns:cdr="http://schemas.openxmlformats.org/drawingml/2006/chartDrawing">
    <cdr:from>
      <cdr:x>0.68464</cdr:x>
      <cdr:y>0.4373</cdr:y>
    </cdr:from>
    <cdr:to>
      <cdr:x>0.69607</cdr:x>
      <cdr:y>0.45352</cdr:y>
    </cdr:to>
    <cdr:sp macro="" textlink="">
      <cdr:nvSpPr>
        <cdr:cNvPr id="26" name="Rectangle 25">
          <a:extLst xmlns:a="http://schemas.openxmlformats.org/drawingml/2006/main">
            <a:ext uri="{FF2B5EF4-FFF2-40B4-BE49-F238E27FC236}">
              <a16:creationId xmlns="" xmlns:a16="http://schemas.microsoft.com/office/drawing/2014/main" id="{77F31868-6CE1-49CA-ADFD-94AE68DC7ADA}"/>
            </a:ext>
          </a:extLst>
        </cdr:cNvPr>
        <cdr:cNvSpPr/>
      </cdr:nvSpPr>
      <cdr:spPr>
        <a:xfrm xmlns:a="http://schemas.openxmlformats.org/drawingml/2006/main">
          <a:off x="6071197" y="2461675"/>
          <a:ext cx="101359" cy="91307"/>
        </a:xfrm>
        <a:prstGeom xmlns:a="http://schemas.openxmlformats.org/drawingml/2006/main" prst="rect">
          <a:avLst/>
        </a:prstGeom>
        <a:solidFill xmlns:a="http://schemas.openxmlformats.org/drawingml/2006/main">
          <a:srgbClr val="742DC3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0.65607</cdr:x>
      <cdr:y>0.38325</cdr:y>
    </cdr:from>
    <cdr:to>
      <cdr:x>0.9508</cdr:x>
      <cdr:y>0.42379</cdr:y>
    </cdr:to>
    <cdr:sp macro="" textlink="">
      <cdr:nvSpPr>
        <cdr:cNvPr id="32" name="TextBox 31">
          <a:extLst xmlns:a="http://schemas.openxmlformats.org/drawingml/2006/main">
            <a:ext uri="{FF2B5EF4-FFF2-40B4-BE49-F238E27FC236}">
              <a16:creationId xmlns="" xmlns:a16="http://schemas.microsoft.com/office/drawing/2014/main" id="{75C2B59B-65C5-477D-8AE4-8C7AE9FA7ACF}"/>
            </a:ext>
          </a:extLst>
        </cdr:cNvPr>
        <cdr:cNvSpPr txBox="1"/>
      </cdr:nvSpPr>
      <cdr:spPr>
        <a:xfrm xmlns:a="http://schemas.openxmlformats.org/drawingml/2006/main">
          <a:off x="5817845" y="2157413"/>
          <a:ext cx="2613599" cy="228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INDUSTRY</a:t>
          </a:r>
        </a:p>
      </cdr:txBody>
    </cdr:sp>
  </cdr:relSizeAnchor>
  <cdr:relSizeAnchor xmlns:cdr="http://schemas.openxmlformats.org/drawingml/2006/chartDrawing">
    <cdr:from>
      <cdr:x>0.69417</cdr:x>
      <cdr:y>0.46433</cdr:y>
    </cdr:from>
    <cdr:to>
      <cdr:x>0.94635</cdr:x>
      <cdr:y>0.51012</cdr:y>
    </cdr:to>
    <cdr:sp macro="" textlink="">
      <cdr:nvSpPr>
        <cdr:cNvPr id="36" name="TextBox 35">
          <a:extLst xmlns:a="http://schemas.openxmlformats.org/drawingml/2006/main">
            <a:ext uri="{FF2B5EF4-FFF2-40B4-BE49-F238E27FC236}">
              <a16:creationId xmlns="" xmlns:a16="http://schemas.microsoft.com/office/drawing/2014/main" id="{B2ECB450-EE42-411F-A234-9F9D9059314E}"/>
            </a:ext>
          </a:extLst>
        </cdr:cNvPr>
        <cdr:cNvSpPr txBox="1"/>
      </cdr:nvSpPr>
      <cdr:spPr>
        <a:xfrm xmlns:a="http://schemas.openxmlformats.org/drawingml/2006/main">
          <a:off x="6155707" y="2613834"/>
          <a:ext cx="2236275" cy="257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Process</a:t>
          </a:r>
        </a:p>
      </cdr:txBody>
    </cdr:sp>
  </cdr:relSizeAnchor>
  <cdr:relSizeAnchor xmlns:cdr="http://schemas.openxmlformats.org/drawingml/2006/chartDrawing">
    <cdr:from>
      <cdr:x>0.68464</cdr:x>
      <cdr:y>0.47784</cdr:y>
    </cdr:from>
    <cdr:to>
      <cdr:x>0.69607</cdr:x>
      <cdr:y>0.49406</cdr:y>
    </cdr:to>
    <cdr:sp macro="" textlink="">
      <cdr:nvSpPr>
        <cdr:cNvPr id="37" name="Rectangle 36">
          <a:extLst xmlns:a="http://schemas.openxmlformats.org/drawingml/2006/main">
            <a:ext uri="{FF2B5EF4-FFF2-40B4-BE49-F238E27FC236}">
              <a16:creationId xmlns="" xmlns:a16="http://schemas.microsoft.com/office/drawing/2014/main" id="{940D3F06-9106-4831-A807-46B72EF1AA46}"/>
            </a:ext>
          </a:extLst>
        </cdr:cNvPr>
        <cdr:cNvSpPr/>
      </cdr:nvSpPr>
      <cdr:spPr>
        <a:xfrm xmlns:a="http://schemas.openxmlformats.org/drawingml/2006/main">
          <a:off x="6071197" y="2689886"/>
          <a:ext cx="101359" cy="91306"/>
        </a:xfrm>
        <a:prstGeom xmlns:a="http://schemas.openxmlformats.org/drawingml/2006/main" prst="rect">
          <a:avLst/>
        </a:prstGeom>
        <a:solidFill xmlns:a="http://schemas.openxmlformats.org/drawingml/2006/main">
          <a:srgbClr val="A244AC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0.69417</cdr:x>
      <cdr:y>0.27514</cdr:y>
    </cdr:from>
    <cdr:to>
      <cdr:x>0.96589</cdr:x>
      <cdr:y>0.31015</cdr:y>
    </cdr:to>
    <cdr:sp macro="" textlink="">
      <cdr:nvSpPr>
        <cdr:cNvPr id="41" name="TextBox 40">
          <a:extLst xmlns:a="http://schemas.openxmlformats.org/drawingml/2006/main">
            <a:ext uri="{FF2B5EF4-FFF2-40B4-BE49-F238E27FC236}">
              <a16:creationId xmlns="" xmlns:a16="http://schemas.microsoft.com/office/drawing/2014/main" id="{0C8C7A73-678E-4898-8D36-1F227207776F}"/>
            </a:ext>
          </a:extLst>
        </cdr:cNvPr>
        <cdr:cNvSpPr txBox="1"/>
      </cdr:nvSpPr>
      <cdr:spPr>
        <a:xfrm xmlns:a="http://schemas.openxmlformats.org/drawingml/2006/main">
          <a:off x="6155707" y="1548832"/>
          <a:ext cx="2409552" cy="197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Residential</a:t>
          </a:r>
        </a:p>
      </cdr:txBody>
    </cdr:sp>
  </cdr:relSizeAnchor>
  <cdr:relSizeAnchor xmlns:cdr="http://schemas.openxmlformats.org/drawingml/2006/chartDrawing">
    <cdr:from>
      <cdr:x>0.68464</cdr:x>
      <cdr:y>0.29101</cdr:y>
    </cdr:from>
    <cdr:to>
      <cdr:x>0.69607</cdr:x>
      <cdr:y>0.30723</cdr:y>
    </cdr:to>
    <cdr:sp macro="" textlink="">
      <cdr:nvSpPr>
        <cdr:cNvPr id="42" name="Rectangle 41">
          <a:extLst xmlns:a="http://schemas.openxmlformats.org/drawingml/2006/main">
            <a:ext uri="{FF2B5EF4-FFF2-40B4-BE49-F238E27FC236}">
              <a16:creationId xmlns="" xmlns:a16="http://schemas.microsoft.com/office/drawing/2014/main" id="{2C4C4C00-3FC1-4B27-BE6F-75BC45E18573}"/>
            </a:ext>
          </a:extLst>
        </cdr:cNvPr>
        <cdr:cNvSpPr/>
      </cdr:nvSpPr>
      <cdr:spPr>
        <a:xfrm xmlns:a="http://schemas.openxmlformats.org/drawingml/2006/main">
          <a:off x="6071197" y="1638168"/>
          <a:ext cx="101359" cy="91307"/>
        </a:xfrm>
        <a:prstGeom xmlns:a="http://schemas.openxmlformats.org/drawingml/2006/main" prst="rect">
          <a:avLst/>
        </a:prstGeom>
        <a:solidFill xmlns:a="http://schemas.openxmlformats.org/drawingml/2006/main">
          <a:srgbClr val="DA611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0.69417</cdr:x>
      <cdr:y>0.3136</cdr:y>
    </cdr:from>
    <cdr:to>
      <cdr:x>0.94635</cdr:x>
      <cdr:y>0.34861</cdr:y>
    </cdr:to>
    <cdr:sp macro="" textlink="">
      <cdr:nvSpPr>
        <cdr:cNvPr id="47" name="TextBox 46">
          <a:extLst xmlns:a="http://schemas.openxmlformats.org/drawingml/2006/main">
            <a:ext uri="{FF2B5EF4-FFF2-40B4-BE49-F238E27FC236}">
              <a16:creationId xmlns="" xmlns:a16="http://schemas.microsoft.com/office/drawing/2014/main" id="{33F6B52E-F1D6-4E7C-83D5-95A556F8394F}"/>
            </a:ext>
          </a:extLst>
        </cdr:cNvPr>
        <cdr:cNvSpPr txBox="1"/>
      </cdr:nvSpPr>
      <cdr:spPr>
        <a:xfrm xmlns:a="http://schemas.openxmlformats.org/drawingml/2006/main">
          <a:off x="6155707" y="1765333"/>
          <a:ext cx="2236275" cy="197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Commercial</a:t>
          </a:r>
        </a:p>
      </cdr:txBody>
    </cdr:sp>
  </cdr:relSizeAnchor>
  <cdr:relSizeAnchor xmlns:cdr="http://schemas.openxmlformats.org/drawingml/2006/chartDrawing">
    <cdr:from>
      <cdr:x>0.68464</cdr:x>
      <cdr:y>0.32948</cdr:y>
    </cdr:from>
    <cdr:to>
      <cdr:x>0.69607</cdr:x>
      <cdr:y>0.34569</cdr:y>
    </cdr:to>
    <cdr:sp macro="" textlink="">
      <cdr:nvSpPr>
        <cdr:cNvPr id="48" name="Rectangle 47">
          <a:extLst xmlns:a="http://schemas.openxmlformats.org/drawingml/2006/main">
            <a:ext uri="{FF2B5EF4-FFF2-40B4-BE49-F238E27FC236}">
              <a16:creationId xmlns="" xmlns:a16="http://schemas.microsoft.com/office/drawing/2014/main" id="{6870DB8A-2918-4D52-8D16-C50ECB3D2217}"/>
            </a:ext>
          </a:extLst>
        </cdr:cNvPr>
        <cdr:cNvSpPr/>
      </cdr:nvSpPr>
      <cdr:spPr>
        <a:xfrm xmlns:a="http://schemas.openxmlformats.org/drawingml/2006/main">
          <a:off x="6071197" y="1854726"/>
          <a:ext cx="101359" cy="91251"/>
        </a:xfrm>
        <a:prstGeom xmlns:a="http://schemas.openxmlformats.org/drawingml/2006/main" prst="rect">
          <a:avLst/>
        </a:prstGeom>
        <a:solidFill xmlns:a="http://schemas.openxmlformats.org/drawingml/2006/main">
          <a:srgbClr val="ECAF04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0.65607</cdr:x>
      <cdr:y>0.2346</cdr:y>
    </cdr:from>
    <cdr:to>
      <cdr:x>0.89817</cdr:x>
      <cdr:y>0.28103</cdr:y>
    </cdr:to>
    <cdr:sp macro="" textlink="">
      <cdr:nvSpPr>
        <cdr:cNvPr id="53" name="TextBox 52">
          <a:extLst xmlns:a="http://schemas.openxmlformats.org/drawingml/2006/main">
            <a:ext uri="{FF2B5EF4-FFF2-40B4-BE49-F238E27FC236}">
              <a16:creationId xmlns="" xmlns:a16="http://schemas.microsoft.com/office/drawing/2014/main" id="{6906C698-7B61-4D7F-B45D-AA91306E5D9F}"/>
            </a:ext>
          </a:extLst>
        </cdr:cNvPr>
        <cdr:cNvSpPr txBox="1"/>
      </cdr:nvSpPr>
      <cdr:spPr>
        <a:xfrm xmlns:a="http://schemas.openxmlformats.org/drawingml/2006/main">
          <a:off x="5817845" y="1320621"/>
          <a:ext cx="2146888" cy="26136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BUILDINGS</a:t>
          </a:r>
        </a:p>
      </cdr:txBody>
    </cdr:sp>
  </cdr:relSizeAnchor>
  <cdr:relSizeAnchor xmlns:cdr="http://schemas.openxmlformats.org/drawingml/2006/chartDrawing">
    <cdr:from>
      <cdr:x>0.66687</cdr:x>
      <cdr:y>0.55831</cdr:y>
    </cdr:from>
    <cdr:to>
      <cdr:x>0.97163</cdr:x>
      <cdr:y>0.60959</cdr:y>
    </cdr:to>
    <cdr:sp macro="" textlink="">
      <cdr:nvSpPr>
        <cdr:cNvPr id="25" name="TextBox 24">
          <a:extLst xmlns:a="http://schemas.openxmlformats.org/drawingml/2006/main">
            <a:ext uri="{FF2B5EF4-FFF2-40B4-BE49-F238E27FC236}">
              <a16:creationId xmlns="" xmlns:a16="http://schemas.microsoft.com/office/drawing/2014/main" id="{3AADDFC4-3870-47E1-A5DA-4E932A052EC0}"/>
            </a:ext>
          </a:extLst>
        </cdr:cNvPr>
        <cdr:cNvSpPr txBox="1"/>
      </cdr:nvSpPr>
      <cdr:spPr>
        <a:xfrm xmlns:a="http://schemas.openxmlformats.org/drawingml/2006/main">
          <a:off x="5913655" y="3142864"/>
          <a:ext cx="2702543" cy="288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 dirty="0"/>
            <a:t>WASTE</a:t>
          </a:r>
        </a:p>
      </cdr:txBody>
    </cdr:sp>
  </cdr:relSizeAnchor>
  <cdr:relSizeAnchor xmlns:cdr="http://schemas.openxmlformats.org/drawingml/2006/chartDrawing">
    <cdr:from>
      <cdr:x>0.6932</cdr:x>
      <cdr:y>0.50531</cdr:y>
    </cdr:from>
    <cdr:to>
      <cdr:x>0.94538</cdr:x>
      <cdr:y>0.5511</cdr:y>
    </cdr:to>
    <cdr:sp macro="" textlink="">
      <cdr:nvSpPr>
        <cdr:cNvPr id="34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A466DB6D-3363-4ED6-8E69-219829576231}"/>
            </a:ext>
          </a:extLst>
        </cdr:cNvPr>
        <cdr:cNvSpPr txBox="1"/>
      </cdr:nvSpPr>
      <cdr:spPr>
        <a:xfrm xmlns:a="http://schemas.openxmlformats.org/drawingml/2006/main">
          <a:off x="6147174" y="2844554"/>
          <a:ext cx="2236275" cy="257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dirty="0"/>
            <a:t>Fugitive Gases</a:t>
          </a:r>
        </a:p>
      </cdr:txBody>
    </cdr:sp>
  </cdr:relSizeAnchor>
  <cdr:relSizeAnchor xmlns:cdr="http://schemas.openxmlformats.org/drawingml/2006/chartDrawing">
    <cdr:from>
      <cdr:x>0.6832</cdr:x>
      <cdr:y>0.51705</cdr:y>
    </cdr:from>
    <cdr:to>
      <cdr:x>0.69544</cdr:x>
      <cdr:y>0.53114</cdr:y>
    </cdr:to>
    <cdr:sp macro="" textlink="">
      <cdr:nvSpPr>
        <cdr:cNvPr id="35" name="Rectangle 34">
          <a:extLst xmlns:a="http://schemas.openxmlformats.org/drawingml/2006/main">
            <a:ext uri="{FF2B5EF4-FFF2-40B4-BE49-F238E27FC236}">
              <a16:creationId xmlns="" xmlns:a16="http://schemas.microsoft.com/office/drawing/2014/main" id="{7722933D-A6B5-4948-B9E2-25AD6CBF494E}"/>
            </a:ext>
          </a:extLst>
        </cdr:cNvPr>
        <cdr:cNvSpPr/>
      </cdr:nvSpPr>
      <cdr:spPr>
        <a:xfrm xmlns:a="http://schemas.openxmlformats.org/drawingml/2006/main" flipH="1" flipV="1">
          <a:off x="6058460" y="2910625"/>
          <a:ext cx="108583" cy="79286"/>
        </a:xfrm>
        <a:prstGeom xmlns:a="http://schemas.openxmlformats.org/drawingml/2006/main" prst="rect">
          <a:avLst/>
        </a:prstGeom>
        <a:solidFill xmlns:a="http://schemas.openxmlformats.org/drawingml/2006/main">
          <a:srgbClr val="CDAAE8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0.66799</cdr:x>
      <cdr:y>0.62151</cdr:y>
    </cdr:from>
    <cdr:to>
      <cdr:x>0.97275</cdr:x>
      <cdr:y>0.67279</cdr:y>
    </cdr:to>
    <cdr:sp macro="" textlink="">
      <cdr:nvSpPr>
        <cdr:cNvPr id="38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B2A71275-6DAF-418B-AC50-AE3F256E6CBB}"/>
            </a:ext>
          </a:extLst>
        </cdr:cNvPr>
        <cdr:cNvSpPr txBox="1"/>
      </cdr:nvSpPr>
      <cdr:spPr>
        <a:xfrm xmlns:a="http://schemas.openxmlformats.org/drawingml/2006/main">
          <a:off x="5923616" y="3498660"/>
          <a:ext cx="2702543" cy="288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dirty="0"/>
            <a:t>AGRICULTURE</a:t>
          </a:r>
        </a:p>
      </cdr:txBody>
    </cdr:sp>
  </cdr:relSizeAnchor>
  <cdr:relSizeAnchor xmlns:cdr="http://schemas.openxmlformats.org/drawingml/2006/chartDrawing">
    <cdr:from>
      <cdr:x>0.66679</cdr:x>
      <cdr:y>0.68489</cdr:y>
    </cdr:from>
    <cdr:to>
      <cdr:x>0.97155</cdr:x>
      <cdr:y>0.73617</cdr:y>
    </cdr:to>
    <cdr:sp macro="" textlink="">
      <cdr:nvSpPr>
        <cdr:cNvPr id="39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2C19B5AE-F4E9-4A7F-A7D0-F4662F1FF45D}"/>
            </a:ext>
          </a:extLst>
        </cdr:cNvPr>
        <cdr:cNvSpPr txBox="1"/>
      </cdr:nvSpPr>
      <cdr:spPr>
        <a:xfrm xmlns:a="http://schemas.openxmlformats.org/drawingml/2006/main">
          <a:off x="5912971" y="3855445"/>
          <a:ext cx="2702543" cy="288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dirty="0"/>
            <a:t>LAND USE CHANGE</a:t>
          </a:r>
        </a:p>
      </cdr:txBody>
    </cdr:sp>
  </cdr:relSizeAnchor>
  <cdr:relSizeAnchor xmlns:cdr="http://schemas.openxmlformats.org/drawingml/2006/chartDrawing">
    <cdr:from>
      <cdr:x>0.65559</cdr:x>
      <cdr:y>0.57515</cdr:y>
    </cdr:from>
    <cdr:to>
      <cdr:x>0.6724</cdr:x>
      <cdr:y>0.59628</cdr:y>
    </cdr:to>
    <cdr:sp macro="" textlink="">
      <cdr:nvSpPr>
        <cdr:cNvPr id="43" name="Rectangle 42">
          <a:extLst xmlns:a="http://schemas.openxmlformats.org/drawingml/2006/main">
            <a:ext uri="{FF2B5EF4-FFF2-40B4-BE49-F238E27FC236}">
              <a16:creationId xmlns="" xmlns:a16="http://schemas.microsoft.com/office/drawing/2014/main" id="{CEF3611B-0A5E-4231-A1AD-98A8410B2EC2}"/>
            </a:ext>
          </a:extLst>
        </cdr:cNvPr>
        <cdr:cNvSpPr/>
      </cdr:nvSpPr>
      <cdr:spPr>
        <a:xfrm xmlns:a="http://schemas.openxmlformats.org/drawingml/2006/main" flipH="1" flipV="1">
          <a:off x="5813610" y="3237677"/>
          <a:ext cx="149039" cy="118930"/>
        </a:xfrm>
        <a:prstGeom xmlns:a="http://schemas.openxmlformats.org/drawingml/2006/main" prst="rect">
          <a:avLst/>
        </a:prstGeom>
        <a:solidFill xmlns:a="http://schemas.openxmlformats.org/drawingml/2006/main">
          <a:srgbClr val="A6A6A6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0.65414</cdr:x>
      <cdr:y>0.63384</cdr:y>
    </cdr:from>
    <cdr:to>
      <cdr:x>0.67119</cdr:x>
      <cdr:y>0.65614</cdr:y>
    </cdr:to>
    <cdr:sp macro="" textlink="">
      <cdr:nvSpPr>
        <cdr:cNvPr id="44" name="Rectangle 43">
          <a:extLst xmlns:a="http://schemas.openxmlformats.org/drawingml/2006/main">
            <a:ext uri="{FF2B5EF4-FFF2-40B4-BE49-F238E27FC236}">
              <a16:creationId xmlns="" xmlns:a16="http://schemas.microsoft.com/office/drawing/2014/main" id="{90C4DA81-FC4C-43D8-9180-812573EE8769}"/>
            </a:ext>
          </a:extLst>
        </cdr:cNvPr>
        <cdr:cNvSpPr/>
      </cdr:nvSpPr>
      <cdr:spPr>
        <a:xfrm xmlns:a="http://schemas.openxmlformats.org/drawingml/2006/main" flipH="1" flipV="1">
          <a:off x="5800725" y="3568033"/>
          <a:ext cx="151279" cy="125536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0.65521</cdr:x>
      <cdr:y>0.69898</cdr:y>
    </cdr:from>
    <cdr:to>
      <cdr:x>0.67159</cdr:x>
      <cdr:y>0.71952</cdr:y>
    </cdr:to>
    <cdr:sp macro="" textlink="">
      <cdr:nvSpPr>
        <cdr:cNvPr id="45" name="Rectangle 44">
          <a:extLst xmlns:a="http://schemas.openxmlformats.org/drawingml/2006/main">
            <a:ext uri="{FF2B5EF4-FFF2-40B4-BE49-F238E27FC236}">
              <a16:creationId xmlns="" xmlns:a16="http://schemas.microsoft.com/office/drawing/2014/main" id="{05C4041E-E91C-4805-9E27-E603F2527DF0}"/>
            </a:ext>
          </a:extLst>
        </cdr:cNvPr>
        <cdr:cNvSpPr/>
      </cdr:nvSpPr>
      <cdr:spPr>
        <a:xfrm xmlns:a="http://schemas.openxmlformats.org/drawingml/2006/main" flipH="1" flipV="1">
          <a:off x="5810249" y="3934730"/>
          <a:ext cx="145301" cy="115625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677333</xdr:colOff>
      <xdr:row>83</xdr:row>
      <xdr:rowOff>31750</xdr:rowOff>
    </xdr:from>
    <xdr:to>
      <xdr:col>33</xdr:col>
      <xdr:colOff>317499</xdr:colOff>
      <xdr:row>94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550333</xdr:colOff>
      <xdr:row>94</xdr:row>
      <xdr:rowOff>116417</xdr:rowOff>
    </xdr:from>
    <xdr:to>
      <xdr:col>35</xdr:col>
      <xdr:colOff>222251</xdr:colOff>
      <xdr:row>106</xdr:row>
      <xdr:rowOff>105833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518582</xdr:colOff>
      <xdr:row>107</xdr:row>
      <xdr:rowOff>105832</xdr:rowOff>
    </xdr:from>
    <xdr:to>
      <xdr:col>36</xdr:col>
      <xdr:colOff>84666</xdr:colOff>
      <xdr:row>115</xdr:row>
      <xdr:rowOff>31751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624416</xdr:colOff>
      <xdr:row>116</xdr:row>
      <xdr:rowOff>127000</xdr:rowOff>
    </xdr:from>
    <xdr:to>
      <xdr:col>35</xdr:col>
      <xdr:colOff>201084</xdr:colOff>
      <xdr:row>124</xdr:row>
      <xdr:rowOff>11641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412750</xdr:colOff>
      <xdr:row>129</xdr:row>
      <xdr:rowOff>0</xdr:rowOff>
    </xdr:from>
    <xdr:to>
      <xdr:col>31</xdr:col>
      <xdr:colOff>127000</xdr:colOff>
      <xdr:row>141</xdr:row>
      <xdr:rowOff>22223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243415</xdr:colOff>
      <xdr:row>142</xdr:row>
      <xdr:rowOff>20106</xdr:rowOff>
    </xdr:from>
    <xdr:to>
      <xdr:col>31</xdr:col>
      <xdr:colOff>232832</xdr:colOff>
      <xdr:row>159</xdr:row>
      <xdr:rowOff>63499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201083</xdr:colOff>
      <xdr:row>160</xdr:row>
      <xdr:rowOff>62443</xdr:rowOff>
    </xdr:from>
    <xdr:to>
      <xdr:col>32</xdr:col>
      <xdr:colOff>10583</xdr:colOff>
      <xdr:row>175</xdr:row>
      <xdr:rowOff>74083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158750</xdr:colOff>
      <xdr:row>177</xdr:row>
      <xdr:rowOff>115359</xdr:rowOff>
    </xdr:from>
    <xdr:to>
      <xdr:col>33</xdr:col>
      <xdr:colOff>10583</xdr:colOff>
      <xdr:row>194</xdr:row>
      <xdr:rowOff>42334</xdr:rowOff>
    </xdr:to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455084</xdr:colOff>
      <xdr:row>197</xdr:row>
      <xdr:rowOff>31749</xdr:rowOff>
    </xdr:from>
    <xdr:to>
      <xdr:col>32</xdr:col>
      <xdr:colOff>31750</xdr:colOff>
      <xdr:row>205</xdr:row>
      <xdr:rowOff>31749</xdr:rowOff>
    </xdr:to>
    <xdr:graphicFrame macro="">
      <xdr:nvGraphicFramePr>
        <xdr:cNvPr id="11" name="Chart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201082</xdr:colOff>
      <xdr:row>207</xdr:row>
      <xdr:rowOff>21167</xdr:rowOff>
    </xdr:from>
    <xdr:to>
      <xdr:col>37</xdr:col>
      <xdr:colOff>190500</xdr:colOff>
      <xdr:row>217</xdr:row>
      <xdr:rowOff>63500</xdr:rowOff>
    </xdr:to>
    <xdr:graphicFrame macro="">
      <xdr:nvGraphicFramePr>
        <xdr:cNvPr id="12" name="Chart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36</xdr:col>
      <xdr:colOff>10583</xdr:colOff>
      <xdr:row>85</xdr:row>
      <xdr:rowOff>148167</xdr:rowOff>
    </xdr:from>
    <xdr:to>
      <xdr:col>48</xdr:col>
      <xdr:colOff>1524000</xdr:colOff>
      <xdr:row>100</xdr:row>
      <xdr:rowOff>32807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37</xdr:col>
      <xdr:colOff>211666</xdr:colOff>
      <xdr:row>131</xdr:row>
      <xdr:rowOff>21166</xdr:rowOff>
    </xdr:from>
    <xdr:to>
      <xdr:col>50</xdr:col>
      <xdr:colOff>370417</xdr:colOff>
      <xdr:row>147</xdr:row>
      <xdr:rowOff>117473</xdr:rowOff>
    </xdr:to>
    <xdr:graphicFrame macro="">
      <xdr:nvGraphicFramePr>
        <xdr:cNvPr id="17" name="Chart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173932</xdr:colOff>
      <xdr:row>0</xdr:row>
      <xdr:rowOff>90280</xdr:rowOff>
    </xdr:from>
    <xdr:to>
      <xdr:col>29</xdr:col>
      <xdr:colOff>49695</xdr:colOff>
      <xdr:row>19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397565</xdr:colOff>
      <xdr:row>20</xdr:row>
      <xdr:rowOff>40586</xdr:rowOff>
    </xdr:from>
    <xdr:to>
      <xdr:col>29</xdr:col>
      <xdr:colOff>265042</xdr:colOff>
      <xdr:row>39</xdr:row>
      <xdr:rowOff>24850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45</xdr:row>
      <xdr:rowOff>140804</xdr:rowOff>
    </xdr:from>
    <xdr:to>
      <xdr:col>31</xdr:col>
      <xdr:colOff>256761</xdr:colOff>
      <xdr:row>65</xdr:row>
      <xdr:rowOff>66260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621196</xdr:colOff>
      <xdr:row>71</xdr:row>
      <xdr:rowOff>0</xdr:rowOff>
    </xdr:from>
    <xdr:to>
      <xdr:col>30</xdr:col>
      <xdr:colOff>16564</xdr:colOff>
      <xdr:row>90</xdr:row>
      <xdr:rowOff>74543</xdr:rowOff>
    </xdr:to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KING%20COUNTY\KC%20Green%20Tools%202015\Task%206.16%20-%20KC%20GHG%20Inventory\PC_2015_GHGInventory\PC15-80-0_Land_Use\assessor.data\appraisal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KING%20COUNTY\KC%20Green%20Tools%202015\Task%206.16%20-%20KC%20GHG%20Inventory\Kitsap_2015_GHGInventory\KT15-00-1_MasterSpreadsheet_2016-04-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rmon/Dropbox%20(Cascadia)/KC%202015%20GHG%20Inventory/KC_2015_GHGInventory/KC15-00-1_MasterSpreadshee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KING%20COUNTY\KC%20Green%20Tools%202015\Task%206.16%20-%20KC%20GHG%20Inventory\PC_2015_GHGInventory\PC15-00-1_MasterSpreadsheet_2016-04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aisal"/>
    </sheetNames>
    <sheetDataSet>
      <sheetData sheetId="0">
        <row r="3">
          <cell r="C3" t="str">
            <v>PI1</v>
          </cell>
        </row>
        <row r="4">
          <cell r="C4" t="str">
            <v>PI5</v>
          </cell>
        </row>
        <row r="6">
          <cell r="C6" t="str">
            <v>PI5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8_ReportTbl"/>
      <sheetName val="03-08_SectorTbl"/>
      <sheetName val="10_Trk_FW"/>
      <sheetName val="frontmatter"/>
      <sheetName val="revs"/>
      <sheetName val="USGPC_Scope"/>
      <sheetName val="Summary_RptTbls"/>
      <sheetName val="Electricity"/>
      <sheetName val="Res-Heat &amp; Hot Water"/>
      <sheetName val="Commercial- Heat &amp; Hot Water"/>
      <sheetName val="Commercial- Equip"/>
      <sheetName val="Res- Garden &amp; Rec"/>
      <sheetName val="Ind- Operations"/>
      <sheetName val="Ind- Process"/>
      <sheetName val="Ind- Small Equip"/>
      <sheetName val="Ind- Fug. Gases"/>
      <sheetName val="Trans- Road"/>
      <sheetName val="Trans- Marine"/>
      <sheetName val="Trans-Rail"/>
      <sheetName val="Trans- Air"/>
      <sheetName val="Waste- Management"/>
      <sheetName val="Waste- Landfills"/>
      <sheetName val="Water-Potable"/>
      <sheetName val="Water-Waste"/>
      <sheetName val="Agr"/>
      <sheetName val="Land_Use"/>
      <sheetName val="Emission Factors"/>
      <sheetName val="Emission Factors-mobile"/>
      <sheetName val="ref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C6">
            <v>34.830611975333802</v>
          </cell>
        </row>
        <row r="52">
          <cell r="C52">
            <v>2355.8986594140329</v>
          </cell>
        </row>
        <row r="53">
          <cell r="C53">
            <v>2368.0050245703233</v>
          </cell>
        </row>
        <row r="54">
          <cell r="C54">
            <v>2354.6880228984041</v>
          </cell>
        </row>
        <row r="55">
          <cell r="C55">
            <v>2343.7922942577429</v>
          </cell>
        </row>
        <row r="56">
          <cell r="C56">
            <v>2346.2135672890008</v>
          </cell>
        </row>
        <row r="57">
          <cell r="C57">
            <v>2343.7922942577429</v>
          </cell>
        </row>
        <row r="58">
          <cell r="C58">
            <v>2346.2135672890008</v>
          </cell>
        </row>
        <row r="59">
          <cell r="C59">
            <v>2341.371021226485</v>
          </cell>
        </row>
        <row r="60">
          <cell r="C60">
            <v>2340.1603847108554</v>
          </cell>
        </row>
        <row r="63">
          <cell r="C63">
            <v>8918.018785345881</v>
          </cell>
        </row>
        <row r="84">
          <cell r="C84">
            <v>38.517233002991439</v>
          </cell>
        </row>
        <row r="87">
          <cell r="C87">
            <v>2700.310113536194</v>
          </cell>
        </row>
        <row r="88">
          <cell r="C88">
            <v>10221.753903779909</v>
          </cell>
        </row>
        <row r="89">
          <cell r="E89">
            <v>1.5</v>
          </cell>
        </row>
        <row r="90">
          <cell r="E90">
            <v>0.1</v>
          </cell>
        </row>
        <row r="91">
          <cell r="E91">
            <v>1.5</v>
          </cell>
        </row>
        <row r="92">
          <cell r="E92">
            <v>0.1</v>
          </cell>
        </row>
        <row r="93">
          <cell r="E93">
            <v>0.4</v>
          </cell>
        </row>
        <row r="94">
          <cell r="E94">
            <v>0.1</v>
          </cell>
        </row>
        <row r="98">
          <cell r="C98">
            <v>41.885584589412453</v>
          </cell>
        </row>
        <row r="101">
          <cell r="C101">
            <v>2981.5850181191208</v>
          </cell>
        </row>
        <row r="111">
          <cell r="C111">
            <v>3.8233140174037596E-2</v>
          </cell>
        </row>
        <row r="112">
          <cell r="C112">
            <v>53060</v>
          </cell>
        </row>
        <row r="114">
          <cell r="E114">
            <v>0.1</v>
          </cell>
        </row>
        <row r="115">
          <cell r="E115">
            <v>1</v>
          </cell>
        </row>
        <row r="119">
          <cell r="C119">
            <v>25.435032845494089</v>
          </cell>
        </row>
        <row r="122">
          <cell r="C122">
            <v>1487.8840314606191</v>
          </cell>
        </row>
        <row r="133">
          <cell r="C133">
            <v>37.595577746077026</v>
          </cell>
        </row>
        <row r="136">
          <cell r="C136">
            <v>2574.2792339471457</v>
          </cell>
        </row>
        <row r="140">
          <cell r="C140">
            <v>33.471336236719019</v>
          </cell>
        </row>
        <row r="143">
          <cell r="C143">
            <v>2194.1555006412191</v>
          </cell>
        </row>
        <row r="146">
          <cell r="C146">
            <v>32.53641975308642</v>
          </cell>
        </row>
      </sheetData>
      <sheetData sheetId="27"/>
      <sheetData sheetId="28">
        <row r="4">
          <cell r="C4">
            <v>3.6640912818506139</v>
          </cell>
        </row>
        <row r="11">
          <cell r="C11">
            <v>1.8</v>
          </cell>
        </row>
        <row r="12">
          <cell r="C12">
            <v>32</v>
          </cell>
        </row>
        <row r="16">
          <cell r="C16">
            <v>12.011150000000001</v>
          </cell>
        </row>
        <row r="17">
          <cell r="C17">
            <v>1.0079400000000001</v>
          </cell>
        </row>
        <row r="18">
          <cell r="C18">
            <v>14.006740000000001</v>
          </cell>
        </row>
        <row r="19">
          <cell r="C19">
            <v>15.9994</v>
          </cell>
        </row>
        <row r="20">
          <cell r="C20">
            <v>32.066000000000003</v>
          </cell>
        </row>
        <row r="24">
          <cell r="C24">
            <v>16.042909999999999</v>
          </cell>
        </row>
        <row r="26">
          <cell r="C26">
            <v>44.009950000000003</v>
          </cell>
        </row>
        <row r="32">
          <cell r="C32">
            <v>8.20578E-2</v>
          </cell>
        </row>
        <row r="33">
          <cell r="C33">
            <v>273.14999999999998</v>
          </cell>
        </row>
        <row r="34">
          <cell r="C34">
            <v>288.14999999999998</v>
          </cell>
        </row>
        <row r="35">
          <cell r="C35">
            <v>288.70555555555552</v>
          </cell>
        </row>
        <row r="37">
          <cell r="C37">
            <v>23.644955069999998</v>
          </cell>
        </row>
        <row r="38">
          <cell r="C38">
            <v>23.690542736666664</v>
          </cell>
        </row>
        <row r="42">
          <cell r="C42">
            <v>0.67849187924043708</v>
          </cell>
        </row>
        <row r="66">
          <cell r="C66">
            <v>21</v>
          </cell>
        </row>
        <row r="67">
          <cell r="C67">
            <v>310</v>
          </cell>
        </row>
        <row r="80">
          <cell r="C80">
            <v>23900</v>
          </cell>
        </row>
        <row r="85">
          <cell r="C85">
            <v>253900</v>
          </cell>
        </row>
        <row r="86">
          <cell r="C86">
            <v>258200</v>
          </cell>
        </row>
        <row r="89">
          <cell r="C89">
            <v>6777</v>
          </cell>
        </row>
        <row r="92">
          <cell r="C92">
            <v>50528</v>
          </cell>
        </row>
        <row r="94">
          <cell r="C94">
            <v>484157</v>
          </cell>
        </row>
        <row r="95">
          <cell r="C95">
            <v>568733</v>
          </cell>
        </row>
        <row r="98">
          <cell r="C98">
            <v>2019721</v>
          </cell>
        </row>
        <row r="104">
          <cell r="C104">
            <v>6767900</v>
          </cell>
        </row>
        <row r="108">
          <cell r="C108">
            <v>7061410</v>
          </cell>
        </row>
        <row r="119">
          <cell r="C119">
            <v>0</v>
          </cell>
        </row>
      </sheetData>
      <sheetData sheetId="29">
        <row r="10">
          <cell r="D10">
            <v>0.62150403977625857</v>
          </cell>
        </row>
        <row r="11">
          <cell r="D11">
            <v>1.609</v>
          </cell>
        </row>
        <row r="18">
          <cell r="D18">
            <v>453.6</v>
          </cell>
        </row>
        <row r="19">
          <cell r="D19">
            <v>0.4536</v>
          </cell>
        </row>
        <row r="22">
          <cell r="D22">
            <v>1.1023170704821534</v>
          </cell>
        </row>
        <row r="23">
          <cell r="D23">
            <v>16</v>
          </cell>
        </row>
        <row r="26">
          <cell r="D26">
            <v>907.18</v>
          </cell>
        </row>
        <row r="27">
          <cell r="D27">
            <v>0.90717999999999999</v>
          </cell>
        </row>
        <row r="30">
          <cell r="D30">
            <v>1440</v>
          </cell>
        </row>
        <row r="31">
          <cell r="D31">
            <v>2.7379257474537291E-3</v>
          </cell>
        </row>
        <row r="34">
          <cell r="D34">
            <v>1.1415525114155251E-4</v>
          </cell>
        </row>
        <row r="35">
          <cell r="D35">
            <v>6.9444444444444447E-4</v>
          </cell>
        </row>
        <row r="40">
          <cell r="D40">
            <v>365.24</v>
          </cell>
        </row>
        <row r="42">
          <cell r="D42">
            <v>12</v>
          </cell>
        </row>
        <row r="47">
          <cell r="D47">
            <v>4.0468600000000002E-3</v>
          </cell>
        </row>
        <row r="52">
          <cell r="D52">
            <v>2.4710455240716898</v>
          </cell>
        </row>
        <row r="68">
          <cell r="D68">
            <v>42</v>
          </cell>
        </row>
        <row r="69">
          <cell r="D69">
            <v>158.98680000000002</v>
          </cell>
        </row>
        <row r="71">
          <cell r="D71">
            <v>28.316870000000002</v>
          </cell>
        </row>
        <row r="72">
          <cell r="D72">
            <v>2.8320000000000001E-2</v>
          </cell>
        </row>
        <row r="76">
          <cell r="D76">
            <v>3.7854000000000001</v>
          </cell>
        </row>
        <row r="79">
          <cell r="D79">
            <v>0.2641728747292228</v>
          </cell>
        </row>
        <row r="80">
          <cell r="D80">
            <v>1E-3</v>
          </cell>
        </row>
        <row r="99">
          <cell r="D99">
            <v>1054.18</v>
          </cell>
        </row>
        <row r="100">
          <cell r="D100">
            <v>1.0541800000000001</v>
          </cell>
        </row>
        <row r="101">
          <cell r="D101">
            <v>2.92875E-4</v>
          </cell>
        </row>
        <row r="102">
          <cell r="D102">
            <v>1.05418E-3</v>
          </cell>
        </row>
        <row r="109">
          <cell r="D109">
            <v>0.94860460262953183</v>
          </cell>
        </row>
        <row r="110">
          <cell r="D110">
            <v>9.4860460262953179</v>
          </cell>
        </row>
        <row r="115">
          <cell r="D115">
            <v>0.94860460262953183</v>
          </cell>
        </row>
        <row r="119">
          <cell r="D119">
            <v>0.2778233099313499</v>
          </cell>
        </row>
        <row r="122">
          <cell r="D122">
            <v>9.4860460262953181E-3</v>
          </cell>
        </row>
        <row r="123">
          <cell r="D123">
            <v>1054.18</v>
          </cell>
        </row>
        <row r="125">
          <cell r="D125">
            <v>10</v>
          </cell>
        </row>
        <row r="126">
          <cell r="D126">
            <v>1.05418E-3</v>
          </cell>
        </row>
        <row r="130">
          <cell r="D130">
            <v>3.5994099999999998</v>
          </cell>
        </row>
        <row r="133">
          <cell r="D133">
            <v>1.0541772037499999</v>
          </cell>
        </row>
        <row r="134">
          <cell r="D134">
            <v>292.875</v>
          </cell>
        </row>
        <row r="135">
          <cell r="D135">
            <v>100000</v>
          </cell>
        </row>
        <row r="138">
          <cell r="D138">
            <v>105.41800000000002</v>
          </cell>
        </row>
        <row r="139">
          <cell r="D139">
            <v>1.0541800000000003E-4</v>
          </cell>
        </row>
        <row r="140">
          <cell r="D140">
            <v>3.5994099999999999E-3</v>
          </cell>
        </row>
        <row r="143">
          <cell r="D143">
            <v>3599.41</v>
          </cell>
        </row>
        <row r="146">
          <cell r="D146">
            <v>0.27777777777777779</v>
          </cell>
        </row>
        <row r="160">
          <cell r="D160">
            <v>15.85037248375337</v>
          </cell>
        </row>
        <row r="188">
          <cell r="D188">
            <v>2E-3</v>
          </cell>
        </row>
        <row r="190">
          <cell r="D190">
            <v>430.28704775275571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8_ReportTbl"/>
      <sheetName val="03-08_SectorTbl"/>
      <sheetName val="10_Trk_FW"/>
      <sheetName val="frontmatter"/>
      <sheetName val="revs"/>
      <sheetName val="USGPC_Scope"/>
      <sheetName val="Summary_RptTbls"/>
      <sheetName val="QC Tracker"/>
      <sheetName val="Electricity"/>
      <sheetName val="Res-Heat &amp; Hot Water"/>
      <sheetName val="Commercial- Heat &amp; Hot Water"/>
      <sheetName val="Commercial- Equip"/>
      <sheetName val="Res- Garden &amp; Rec"/>
      <sheetName val="Ind- Operations"/>
      <sheetName val="Ind- Process"/>
      <sheetName val="Ind- Small Equip"/>
      <sheetName val="Ind- Fug. Gases"/>
      <sheetName val="Trans- Road"/>
      <sheetName val="Trans- Marine"/>
      <sheetName val="Trans-Rail"/>
      <sheetName val="Trans- Air"/>
      <sheetName val="Waste- Management"/>
      <sheetName val="Waste- Landfills"/>
      <sheetName val="Water-Potable"/>
      <sheetName val="Water-Waste"/>
      <sheetName val="Agr"/>
      <sheetName val="Land_Use"/>
      <sheetName val="Emission Factors"/>
      <sheetName val="Emission Factors-mobile"/>
      <sheetName val="ref"/>
      <sheetName val="un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6">
          <cell r="C6">
            <v>34.830611975333802</v>
          </cell>
        </row>
        <row r="52">
          <cell r="C52">
            <v>2355.8986594140329</v>
          </cell>
        </row>
        <row r="53">
          <cell r="C53">
            <v>2368.0050245703233</v>
          </cell>
        </row>
        <row r="54">
          <cell r="C54">
            <v>2354.6880228984041</v>
          </cell>
        </row>
        <row r="55">
          <cell r="C55">
            <v>2343.7922942577429</v>
          </cell>
        </row>
        <row r="56">
          <cell r="C56">
            <v>2346.2135672890008</v>
          </cell>
        </row>
        <row r="57">
          <cell r="C57">
            <v>2343.7922942577429</v>
          </cell>
        </row>
        <row r="58">
          <cell r="C58">
            <v>2346.2135672890008</v>
          </cell>
        </row>
        <row r="59">
          <cell r="C59">
            <v>2341.371021226485</v>
          </cell>
        </row>
        <row r="60">
          <cell r="C60">
            <v>2340.1603847108554</v>
          </cell>
        </row>
        <row r="63">
          <cell r="C63">
            <v>8918.018785345881</v>
          </cell>
        </row>
        <row r="68">
          <cell r="C68">
            <v>8918.018785345881</v>
          </cell>
        </row>
        <row r="84">
          <cell r="C84">
            <v>38.517233002991439</v>
          </cell>
        </row>
        <row r="87">
          <cell r="C87">
            <v>2700.310113536194</v>
          </cell>
        </row>
        <row r="88">
          <cell r="C88">
            <v>10221.753903779909</v>
          </cell>
        </row>
        <row r="89">
          <cell r="E89">
            <v>1.5</v>
          </cell>
        </row>
        <row r="90">
          <cell r="E90">
            <v>0.1</v>
          </cell>
        </row>
        <row r="91">
          <cell r="E91">
            <v>1.5</v>
          </cell>
        </row>
        <row r="92">
          <cell r="E92">
            <v>0.1</v>
          </cell>
        </row>
        <row r="93">
          <cell r="E93">
            <v>0.4</v>
          </cell>
        </row>
        <row r="94">
          <cell r="E94">
            <v>0.1</v>
          </cell>
        </row>
        <row r="98">
          <cell r="C98">
            <v>41.885584589412453</v>
          </cell>
        </row>
        <row r="101">
          <cell r="C101">
            <v>2981.5850181191208</v>
          </cell>
        </row>
        <row r="102">
          <cell r="C102">
            <v>11286.49192758812</v>
          </cell>
        </row>
        <row r="107">
          <cell r="E107">
            <v>0.5</v>
          </cell>
        </row>
        <row r="108">
          <cell r="E108">
            <v>0.1</v>
          </cell>
        </row>
        <row r="111">
          <cell r="C111">
            <v>3.8233140174037596E-2</v>
          </cell>
        </row>
        <row r="113">
          <cell r="C113">
            <v>407.68834000000004</v>
          </cell>
        </row>
        <row r="114">
          <cell r="E114">
            <v>0.1</v>
          </cell>
        </row>
        <row r="115">
          <cell r="E115">
            <v>1</v>
          </cell>
        </row>
        <row r="119">
          <cell r="C119">
            <v>25.435032845494089</v>
          </cell>
        </row>
        <row r="122">
          <cell r="C122">
            <v>1487.8840314606191</v>
          </cell>
        </row>
        <row r="123">
          <cell r="C123">
            <v>5632.2362126910275</v>
          </cell>
        </row>
        <row r="133">
          <cell r="C133">
            <v>37.595577746077026</v>
          </cell>
        </row>
        <row r="136">
          <cell r="C136">
            <v>2574.2792339471457</v>
          </cell>
        </row>
        <row r="137">
          <cell r="C137">
            <v>9744.6766121835262</v>
          </cell>
        </row>
        <row r="140">
          <cell r="C140">
            <v>33.471336236719019</v>
          </cell>
        </row>
        <row r="143">
          <cell r="C143">
            <v>2194.1555006412191</v>
          </cell>
        </row>
        <row r="146">
          <cell r="C146">
            <v>32.53641975308642</v>
          </cell>
        </row>
        <row r="149">
          <cell r="C149">
            <v>2919.9718471004103</v>
          </cell>
        </row>
        <row r="152">
          <cell r="C152">
            <v>2546.3634559844795</v>
          </cell>
        </row>
      </sheetData>
      <sheetData sheetId="28" refreshError="1"/>
      <sheetData sheetId="29">
        <row r="4">
          <cell r="C4">
            <v>3.6640912818506139</v>
          </cell>
        </row>
        <row r="11">
          <cell r="C11">
            <v>1.8</v>
          </cell>
        </row>
        <row r="12">
          <cell r="C12">
            <v>32</v>
          </cell>
        </row>
        <row r="16">
          <cell r="C16">
            <v>12.011150000000001</v>
          </cell>
        </row>
        <row r="17">
          <cell r="C17">
            <v>1.0079400000000001</v>
          </cell>
        </row>
        <row r="18">
          <cell r="C18">
            <v>14.006740000000001</v>
          </cell>
        </row>
        <row r="19">
          <cell r="C19">
            <v>15.9994</v>
          </cell>
        </row>
        <row r="20">
          <cell r="C20">
            <v>32.066000000000003</v>
          </cell>
        </row>
        <row r="24">
          <cell r="C24">
            <v>16.042909999999999</v>
          </cell>
        </row>
        <row r="26">
          <cell r="C26">
            <v>44.009950000000003</v>
          </cell>
        </row>
        <row r="32">
          <cell r="C32">
            <v>8.20578E-2</v>
          </cell>
        </row>
        <row r="33">
          <cell r="C33">
            <v>273.14999999999998</v>
          </cell>
        </row>
        <row r="34">
          <cell r="C34">
            <v>288.14999999999998</v>
          </cell>
        </row>
        <row r="35">
          <cell r="C35">
            <v>288.70555555555552</v>
          </cell>
        </row>
        <row r="37">
          <cell r="C37">
            <v>23.644955069999998</v>
          </cell>
        </row>
        <row r="38">
          <cell r="C38">
            <v>23.690542736666664</v>
          </cell>
        </row>
        <row r="42">
          <cell r="C42">
            <v>0.67849187924043708</v>
          </cell>
        </row>
        <row r="66">
          <cell r="C66">
            <v>21</v>
          </cell>
        </row>
        <row r="67">
          <cell r="C67">
            <v>310</v>
          </cell>
        </row>
        <row r="80">
          <cell r="C80">
            <v>23900</v>
          </cell>
        </row>
        <row r="94">
          <cell r="C94">
            <v>167</v>
          </cell>
        </row>
        <row r="95">
          <cell r="C95">
            <v>209</v>
          </cell>
        </row>
        <row r="98">
          <cell r="C98">
            <v>31</v>
          </cell>
        </row>
        <row r="99">
          <cell r="C99">
            <v>108</v>
          </cell>
        </row>
        <row r="105">
          <cell r="C105">
            <v>570789</v>
          </cell>
        </row>
        <row r="107">
          <cell r="C107">
            <v>602934</v>
          </cell>
        </row>
        <row r="108">
          <cell r="C108">
            <v>662400</v>
          </cell>
        </row>
        <row r="118">
          <cell r="C118">
            <v>1769753</v>
          </cell>
        </row>
        <row r="120">
          <cell r="C120">
            <v>1803691</v>
          </cell>
        </row>
        <row r="123">
          <cell r="C123">
            <v>1884242</v>
          </cell>
        </row>
        <row r="124">
          <cell r="C124">
            <v>1916441</v>
          </cell>
        </row>
        <row r="125">
          <cell r="C125">
            <v>1937961</v>
          </cell>
        </row>
        <row r="129">
          <cell r="C129">
            <v>2017250</v>
          </cell>
        </row>
        <row r="130">
          <cell r="C130">
            <v>2052800</v>
          </cell>
        </row>
        <row r="132">
          <cell r="C132">
            <v>926409</v>
          </cell>
        </row>
        <row r="133">
          <cell r="C133">
            <v>104316</v>
          </cell>
        </row>
        <row r="134">
          <cell r="C134">
            <v>860583</v>
          </cell>
        </row>
        <row r="135">
          <cell r="C135">
            <v>223167</v>
          </cell>
        </row>
        <row r="136">
          <cell r="C136">
            <v>969702</v>
          </cell>
        </row>
        <row r="138">
          <cell r="C138">
            <v>211235</v>
          </cell>
        </row>
        <row r="141">
          <cell r="C141">
            <v>2180230</v>
          </cell>
        </row>
        <row r="142">
          <cell r="C142">
            <v>283569</v>
          </cell>
        </row>
        <row r="143">
          <cell r="C143">
            <v>1921999</v>
          </cell>
        </row>
        <row r="144">
          <cell r="C144">
            <v>600388</v>
          </cell>
        </row>
        <row r="145">
          <cell r="C145">
            <v>2328292</v>
          </cell>
        </row>
        <row r="148">
          <cell r="C148">
            <v>568733</v>
          </cell>
        </row>
        <row r="149">
          <cell r="C149">
            <v>6113262</v>
          </cell>
        </row>
        <row r="151">
          <cell r="C151">
            <v>6566073</v>
          </cell>
        </row>
        <row r="162">
          <cell r="C162">
            <v>295753151</v>
          </cell>
        </row>
        <row r="166">
          <cell r="C166">
            <v>307006550</v>
          </cell>
        </row>
        <row r="167">
          <cell r="C167">
            <v>320896618</v>
          </cell>
        </row>
      </sheetData>
      <sheetData sheetId="30">
        <row r="10">
          <cell r="D10">
            <v>0.62150403977625857</v>
          </cell>
        </row>
        <row r="18">
          <cell r="D18">
            <v>453.6</v>
          </cell>
        </row>
        <row r="19">
          <cell r="D19">
            <v>0.4536</v>
          </cell>
        </row>
        <row r="20">
          <cell r="D20">
            <v>4.5360000000000002E-4</v>
          </cell>
        </row>
        <row r="22">
          <cell r="D22">
            <v>1.1023170704821534</v>
          </cell>
        </row>
        <row r="23">
          <cell r="D23">
            <v>16</v>
          </cell>
        </row>
        <row r="26">
          <cell r="D26">
            <v>907.18</v>
          </cell>
        </row>
        <row r="27">
          <cell r="D27">
            <v>0.90717999999999999</v>
          </cell>
        </row>
        <row r="30">
          <cell r="D30">
            <v>1440</v>
          </cell>
        </row>
        <row r="31">
          <cell r="D31">
            <v>2.7379257474537291E-3</v>
          </cell>
        </row>
        <row r="34">
          <cell r="D34">
            <v>1.1415525114155251E-4</v>
          </cell>
        </row>
        <row r="35">
          <cell r="D35">
            <v>6.9444444444444447E-4</v>
          </cell>
        </row>
        <row r="40">
          <cell r="D40">
            <v>365.24</v>
          </cell>
        </row>
        <row r="42">
          <cell r="D42">
            <v>12</v>
          </cell>
        </row>
        <row r="47">
          <cell r="D47">
            <v>4.0468600000000002E-3</v>
          </cell>
        </row>
        <row r="52">
          <cell r="D52">
            <v>2.4710455240716898</v>
          </cell>
        </row>
        <row r="68">
          <cell r="D68">
            <v>42</v>
          </cell>
        </row>
        <row r="69">
          <cell r="D69">
            <v>158.98680000000002</v>
          </cell>
        </row>
        <row r="71">
          <cell r="D71">
            <v>28.316870000000002</v>
          </cell>
        </row>
        <row r="72">
          <cell r="D72">
            <v>2.8320000000000001E-2</v>
          </cell>
        </row>
        <row r="76">
          <cell r="D76">
            <v>3.7854000000000001</v>
          </cell>
        </row>
        <row r="79">
          <cell r="D79">
            <v>0.2641728747292228</v>
          </cell>
        </row>
        <row r="80">
          <cell r="D80">
            <v>1E-3</v>
          </cell>
        </row>
        <row r="99">
          <cell r="D99">
            <v>1054.18</v>
          </cell>
        </row>
        <row r="100">
          <cell r="D100">
            <v>1.0541800000000001</v>
          </cell>
        </row>
        <row r="101">
          <cell r="D101">
            <v>2.92875E-4</v>
          </cell>
        </row>
        <row r="102">
          <cell r="D102">
            <v>1.05418E-3</v>
          </cell>
        </row>
        <row r="109">
          <cell r="D109">
            <v>0.94860460262953183</v>
          </cell>
        </row>
        <row r="110">
          <cell r="D110">
            <v>9.4860460262953179</v>
          </cell>
        </row>
        <row r="115">
          <cell r="D115">
            <v>0.94860460262953183</v>
          </cell>
        </row>
        <row r="119">
          <cell r="D119">
            <v>0.2778233099313499</v>
          </cell>
        </row>
        <row r="122">
          <cell r="D122">
            <v>9.4860460262953181E-3</v>
          </cell>
        </row>
        <row r="123">
          <cell r="D123">
            <v>1054.18</v>
          </cell>
        </row>
        <row r="125">
          <cell r="D125">
            <v>10</v>
          </cell>
        </row>
        <row r="130">
          <cell r="D130">
            <v>3.5994099999999998</v>
          </cell>
        </row>
        <row r="133">
          <cell r="D133">
            <v>1.0541772037499999</v>
          </cell>
        </row>
        <row r="134">
          <cell r="D134">
            <v>292.875</v>
          </cell>
        </row>
        <row r="135">
          <cell r="D135">
            <v>100000</v>
          </cell>
        </row>
        <row r="138">
          <cell r="D138">
            <v>105.41800000000002</v>
          </cell>
        </row>
        <row r="139">
          <cell r="D139">
            <v>1.0541800000000003E-4</v>
          </cell>
        </row>
        <row r="140">
          <cell r="D140">
            <v>3.5994099999999999E-3</v>
          </cell>
        </row>
        <row r="143">
          <cell r="D143">
            <v>3599.41</v>
          </cell>
        </row>
        <row r="146">
          <cell r="D146">
            <v>0.27777777777777779</v>
          </cell>
        </row>
        <row r="160">
          <cell r="D160">
            <v>15.85037248375337</v>
          </cell>
        </row>
        <row r="188">
          <cell r="D188">
            <v>2E-3</v>
          </cell>
        </row>
        <row r="190">
          <cell r="D190">
            <v>430.28704775275571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8_ReportTbl"/>
      <sheetName val="03-08_SectorTbl"/>
      <sheetName val="10_Trk_FW"/>
      <sheetName val="frontmatter"/>
      <sheetName val="revs"/>
      <sheetName val="USGPC_Scope"/>
      <sheetName val="Summary_RptTbls"/>
      <sheetName val="Electricity"/>
      <sheetName val="Res-Heat &amp; Hot Water"/>
      <sheetName val="Commercial- Heat &amp; Hot Water"/>
      <sheetName val="Commercial- Equip"/>
      <sheetName val="Res- Garden &amp; Rec"/>
      <sheetName val="Ind- Operations"/>
      <sheetName val="Ind- Process"/>
      <sheetName val="Ind- Small Equip"/>
      <sheetName val="Ind- Fug. Gases"/>
      <sheetName val="Trans- Road"/>
      <sheetName val="Trans- Marine"/>
      <sheetName val="Trans-Rail"/>
      <sheetName val="Trans- Air"/>
      <sheetName val="Waste- Management"/>
      <sheetName val="Waste- Landfills"/>
      <sheetName val="Water-Potable"/>
      <sheetName val="Water-Waste"/>
      <sheetName val="Agr"/>
      <sheetName val="Land_Use"/>
      <sheetName val="Emission Factors"/>
      <sheetName val="Emission Factors-mobile"/>
      <sheetName val="ref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86">
          <cell r="C86">
            <v>802150</v>
          </cell>
        </row>
        <row r="87">
          <cell r="C87">
            <v>830120</v>
          </cell>
        </row>
        <row r="90">
          <cell r="C90">
            <v>48142</v>
          </cell>
        </row>
        <row r="92">
          <cell r="C92">
            <v>178471</v>
          </cell>
        </row>
        <row r="93">
          <cell r="C93">
            <v>196435</v>
          </cell>
        </row>
        <row r="96">
          <cell r="C96">
            <v>568733</v>
          </cell>
        </row>
        <row r="98">
          <cell r="C98">
            <v>1857856</v>
          </cell>
        </row>
        <row r="99">
          <cell r="C99">
            <v>2019721</v>
          </cell>
        </row>
        <row r="105">
          <cell r="C105">
            <v>6767900</v>
          </cell>
        </row>
        <row r="109">
          <cell r="C109">
            <v>7061410</v>
          </cell>
        </row>
      </sheetData>
      <sheetData sheetId="29">
        <row r="117">
          <cell r="D117">
            <v>3.5994099999999998</v>
          </cell>
        </row>
        <row r="126">
          <cell r="D126">
            <v>1.05418E-3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ascadia_2016b">
      <a:dk1>
        <a:sysClr val="windowText" lastClr="000000"/>
      </a:dk1>
      <a:lt1>
        <a:sysClr val="window" lastClr="FFFFFF"/>
      </a:lt1>
      <a:dk2>
        <a:srgbClr val="5E695E"/>
      </a:dk2>
      <a:lt2>
        <a:srgbClr val="CED665"/>
      </a:lt2>
      <a:accent1>
        <a:srgbClr val="9D9272"/>
      </a:accent1>
      <a:accent2>
        <a:srgbClr val="9FAFA5"/>
      </a:accent2>
      <a:accent3>
        <a:srgbClr val="94B7BC"/>
      </a:accent3>
      <a:accent4>
        <a:srgbClr val="6E5E52"/>
      </a:accent4>
      <a:accent5>
        <a:srgbClr val="CD7E3E"/>
      </a:accent5>
      <a:accent6>
        <a:srgbClr val="F1B828"/>
      </a:accent6>
      <a:hlink>
        <a:srgbClr val="5E695E"/>
      </a:hlink>
      <a:folHlink>
        <a:srgbClr val="5E695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34998626667073579"/>
    <pageSetUpPr autoPageBreaks="0"/>
  </sheetPr>
  <dimension ref="B1:AG124"/>
  <sheetViews>
    <sheetView showGridLines="0" topLeftCell="A4" zoomScaleNormal="100" workbookViewId="0">
      <selection activeCell="H12" sqref="H12"/>
    </sheetView>
  </sheetViews>
  <sheetFormatPr defaultColWidth="6.42578125" defaultRowHeight="12" x14ac:dyDescent="0.2"/>
  <cols>
    <col min="1" max="1" width="2.7109375" customWidth="1"/>
    <col min="2" max="2" width="2.42578125" customWidth="1"/>
    <col min="3" max="3" width="2.85546875" customWidth="1"/>
    <col min="4" max="4" width="30.28515625" bestFit="1" customWidth="1"/>
    <col min="5" max="5" width="11.5703125" customWidth="1"/>
    <col min="6" max="7" width="13.7109375" style="315" customWidth="1"/>
    <col min="8" max="8" width="7.85546875" style="847" bestFit="1" customWidth="1"/>
    <col min="9" max="10" width="6" style="847" customWidth="1"/>
    <col min="11" max="11" width="2.42578125" customWidth="1"/>
    <col min="12" max="12" width="2.85546875" customWidth="1"/>
    <col min="13" max="13" width="30.28515625" bestFit="1" customWidth="1"/>
    <col min="14" max="14" width="11.5703125" customWidth="1"/>
    <col min="15" max="16" width="13.7109375" style="315" customWidth="1"/>
    <col min="17" max="19" width="6" style="847" customWidth="1"/>
    <col min="20" max="20" width="2.42578125" customWidth="1"/>
    <col min="21" max="21" width="2.85546875" customWidth="1"/>
    <col min="22" max="22" width="30.28515625" bestFit="1" customWidth="1"/>
    <col min="23" max="23" width="11.5703125" customWidth="1"/>
    <col min="24" max="25" width="13.7109375" style="315" customWidth="1"/>
    <col min="26" max="26" width="6" style="847" customWidth="1"/>
    <col min="27" max="27" width="6.28515625" customWidth="1"/>
    <col min="28" max="28" width="2.42578125" customWidth="1"/>
    <col min="29" max="29" width="5.28515625" customWidth="1"/>
    <col min="30" max="30" width="1.42578125" customWidth="1"/>
    <col min="31" max="31" width="13.5703125" bestFit="1" customWidth="1"/>
    <col min="32" max="32" width="8.85546875" bestFit="1" customWidth="1"/>
    <col min="37" max="38" width="11.5703125" bestFit="1" customWidth="1"/>
  </cols>
  <sheetData>
    <row r="1" spans="2:33" ht="12" customHeight="1" thickBot="1" x14ac:dyDescent="0.25">
      <c r="B1" t="s">
        <v>1005</v>
      </c>
      <c r="K1" t="s">
        <v>1005</v>
      </c>
      <c r="T1" t="s">
        <v>1006</v>
      </c>
      <c r="AE1" s="5"/>
      <c r="AF1" s="5"/>
    </row>
    <row r="2" spans="2:33" s="348" customFormat="1" ht="35.25" customHeight="1" thickBot="1" x14ac:dyDescent="0.35">
      <c r="B2" s="1776" t="s">
        <v>24</v>
      </c>
      <c r="C2" s="1777"/>
      <c r="D2" s="1777"/>
      <c r="E2" s="1777"/>
      <c r="F2" s="409">
        <v>2003</v>
      </c>
      <c r="G2" s="746">
        <v>2008</v>
      </c>
      <c r="H2" s="847"/>
      <c r="I2" s="847"/>
      <c r="J2" s="847"/>
      <c r="K2" s="1776" t="s">
        <v>24</v>
      </c>
      <c r="L2" s="1777"/>
      <c r="M2" s="1777"/>
      <c r="N2" s="1777"/>
      <c r="O2" s="409">
        <v>2003</v>
      </c>
      <c r="P2" s="746">
        <v>2008</v>
      </c>
      <c r="Q2" s="847"/>
      <c r="R2" s="847"/>
      <c r="S2" s="847"/>
      <c r="T2" s="1776" t="s">
        <v>24</v>
      </c>
      <c r="U2" s="1777"/>
      <c r="V2" s="1777"/>
      <c r="W2" s="1777"/>
      <c r="X2" s="409">
        <v>2003</v>
      </c>
      <c r="Y2" s="746">
        <v>2008</v>
      </c>
      <c r="Z2" s="847"/>
      <c r="AA2" s="354" t="s">
        <v>924</v>
      </c>
      <c r="AE2" s="363"/>
      <c r="AG2" s="362"/>
    </row>
    <row r="3" spans="2:33" ht="6.75" customHeight="1" thickBot="1" x14ac:dyDescent="0.25">
      <c r="B3" s="747"/>
      <c r="C3" s="373"/>
      <c r="D3" s="374"/>
      <c r="E3" s="374"/>
      <c r="F3" s="375"/>
      <c r="G3" s="748"/>
      <c r="K3" s="747"/>
      <c r="L3" s="373"/>
      <c r="M3" s="374"/>
      <c r="N3" s="374"/>
      <c r="O3" s="375"/>
      <c r="P3" s="748"/>
      <c r="T3" s="747"/>
      <c r="U3" s="373"/>
      <c r="V3" s="374"/>
      <c r="W3" s="374"/>
      <c r="X3" s="375"/>
      <c r="Y3" s="748"/>
      <c r="AE3" s="5"/>
      <c r="AF3" s="5"/>
    </row>
    <row r="4" spans="2:33" s="348" customFormat="1" ht="16.5" customHeight="1" thickTop="1" thickBot="1" x14ac:dyDescent="0.25">
      <c r="B4" s="410" t="s">
        <v>699</v>
      </c>
      <c r="C4" s="411"/>
      <c r="D4" s="411"/>
      <c r="E4" s="411"/>
      <c r="F4" s="823">
        <v>11329727.54526259</v>
      </c>
      <c r="G4" s="824">
        <v>11353735.827275094</v>
      </c>
      <c r="H4" s="847">
        <v>0.46383935031355561</v>
      </c>
      <c r="I4" s="847"/>
      <c r="J4" s="847"/>
      <c r="K4" s="410" t="s">
        <v>699</v>
      </c>
      <c r="L4" s="411"/>
      <c r="M4" s="411"/>
      <c r="N4" s="411"/>
      <c r="O4" s="823">
        <v>11330000</v>
      </c>
      <c r="P4" s="824">
        <v>11354000</v>
      </c>
      <c r="Q4" s="847"/>
      <c r="R4" s="847"/>
      <c r="S4" s="847"/>
      <c r="T4" s="410" t="s">
        <v>699</v>
      </c>
      <c r="U4" s="411"/>
      <c r="V4" s="411"/>
      <c r="W4" s="411"/>
      <c r="X4" s="889">
        <v>11.33</v>
      </c>
      <c r="Y4" s="890">
        <v>11.353999999999999</v>
      </c>
      <c r="Z4" s="847"/>
      <c r="AA4" s="847">
        <v>0.78104902839989676</v>
      </c>
      <c r="AE4" s="358"/>
      <c r="AF4" s="357"/>
    </row>
    <row r="5" spans="2:33" s="319" customFormat="1" ht="15" customHeight="1" thickTop="1" x14ac:dyDescent="0.25">
      <c r="B5" s="750"/>
      <c r="C5" s="380" t="s">
        <v>713</v>
      </c>
      <c r="D5" s="381"/>
      <c r="E5" s="382"/>
      <c r="F5" s="825">
        <v>9168576.8379433844</v>
      </c>
      <c r="G5" s="826">
        <v>8867824.3366023097</v>
      </c>
      <c r="H5" s="847">
        <v>0.36228127389604192</v>
      </c>
      <c r="I5" s="847">
        <v>0.78104902839989676</v>
      </c>
      <c r="J5" s="847"/>
      <c r="K5" s="750"/>
      <c r="L5" s="380" t="s">
        <v>713</v>
      </c>
      <c r="M5" s="381"/>
      <c r="N5" s="382"/>
      <c r="O5" s="825">
        <v>9169000</v>
      </c>
      <c r="P5" s="826">
        <v>8868000</v>
      </c>
      <c r="Q5" s="847"/>
      <c r="R5" s="847"/>
      <c r="S5" s="847"/>
      <c r="T5" s="750"/>
      <c r="U5" s="380" t="s">
        <v>713</v>
      </c>
      <c r="V5" s="381"/>
      <c r="W5" s="382"/>
      <c r="X5" s="891">
        <v>9.1690000000000005</v>
      </c>
      <c r="Y5" s="892">
        <v>8.8680000000000003</v>
      </c>
      <c r="Z5" s="847"/>
    </row>
    <row r="6" spans="2:33" s="345" customFormat="1" ht="12.75" x14ac:dyDescent="0.2">
      <c r="B6" s="751"/>
      <c r="C6" s="376"/>
      <c r="D6" s="376" t="s">
        <v>3</v>
      </c>
      <c r="E6" s="377"/>
      <c r="F6" s="827">
        <v>5963832.73751067</v>
      </c>
      <c r="G6" s="828">
        <v>5633434.8276841715</v>
      </c>
      <c r="H6" s="846"/>
      <c r="I6" s="846"/>
      <c r="J6" s="846"/>
      <c r="K6" s="751"/>
      <c r="L6" s="376"/>
      <c r="M6" s="376" t="s">
        <v>3</v>
      </c>
      <c r="N6" s="377"/>
      <c r="O6" s="827">
        <v>5964000</v>
      </c>
      <c r="P6" s="828">
        <v>5633000</v>
      </c>
      <c r="Q6" s="958"/>
      <c r="R6" s="958"/>
      <c r="S6" s="846"/>
      <c r="T6" s="751"/>
      <c r="U6" s="376"/>
      <c r="V6" s="376" t="s">
        <v>3</v>
      </c>
      <c r="W6" s="377"/>
      <c r="X6" s="887">
        <v>5.9640000000000004</v>
      </c>
      <c r="Y6" s="888">
        <v>5.633</v>
      </c>
      <c r="Z6" s="846"/>
      <c r="AE6" s="351"/>
      <c r="AF6" s="359"/>
    </row>
    <row r="7" spans="2:33" s="345" customFormat="1" ht="12.75" x14ac:dyDescent="0.2">
      <c r="B7" s="751"/>
      <c r="C7" s="376"/>
      <c r="D7" s="376" t="s">
        <v>4</v>
      </c>
      <c r="E7" s="377"/>
      <c r="F7" s="827">
        <v>3076682.7195889056</v>
      </c>
      <c r="G7" s="828">
        <v>3115451.630561586</v>
      </c>
      <c r="H7" s="846"/>
      <c r="I7" s="846"/>
      <c r="J7" s="846"/>
      <c r="K7" s="751"/>
      <c r="L7" s="376"/>
      <c r="M7" s="376" t="s">
        <v>4</v>
      </c>
      <c r="N7" s="377"/>
      <c r="O7" s="827">
        <v>3077000</v>
      </c>
      <c r="P7" s="828">
        <v>3115000</v>
      </c>
      <c r="Q7" s="846"/>
      <c r="R7" s="846"/>
      <c r="S7" s="846"/>
      <c r="T7" s="751"/>
      <c r="U7" s="376"/>
      <c r="V7" s="376" t="s">
        <v>4</v>
      </c>
      <c r="W7" s="377"/>
      <c r="X7" s="887">
        <v>3.077</v>
      </c>
      <c r="Y7" s="888">
        <v>3.1150000000000002</v>
      </c>
      <c r="Z7" s="846"/>
      <c r="AE7" s="351"/>
      <c r="AF7" s="359"/>
    </row>
    <row r="8" spans="2:33" s="345" customFormat="1" ht="12.75" x14ac:dyDescent="0.2">
      <c r="B8" s="751"/>
      <c r="C8" s="376"/>
      <c r="D8" s="376" t="s">
        <v>5</v>
      </c>
      <c r="E8" s="377"/>
      <c r="F8" s="827">
        <v>128061.38084380902</v>
      </c>
      <c r="G8" s="828">
        <v>118937.87835655267</v>
      </c>
      <c r="H8" s="846"/>
      <c r="I8" s="846"/>
      <c r="J8" s="846"/>
      <c r="K8" s="751"/>
      <c r="L8" s="376"/>
      <c r="M8" s="376" t="s">
        <v>5</v>
      </c>
      <c r="N8" s="377"/>
      <c r="O8" s="827">
        <v>128000</v>
      </c>
      <c r="P8" s="828">
        <v>119000</v>
      </c>
      <c r="Q8" s="846"/>
      <c r="R8" s="846"/>
      <c r="S8" s="846"/>
      <c r="T8" s="751"/>
      <c r="U8" s="376"/>
      <c r="V8" s="376" t="s">
        <v>5</v>
      </c>
      <c r="W8" s="377"/>
      <c r="X8" s="887">
        <v>0.128</v>
      </c>
      <c r="Y8" s="888">
        <v>0.11899999999999999</v>
      </c>
      <c r="Z8" s="846"/>
      <c r="AE8" s="351"/>
      <c r="AF8" s="359"/>
    </row>
    <row r="9" spans="2:33" s="319" customFormat="1" ht="15" customHeight="1" x14ac:dyDescent="0.25">
      <c r="B9" s="750"/>
      <c r="C9" s="383" t="s">
        <v>8</v>
      </c>
      <c r="D9" s="384"/>
      <c r="E9" s="384"/>
      <c r="F9" s="829">
        <v>266120.67308702657</v>
      </c>
      <c r="G9" s="830">
        <v>308876.38855566649</v>
      </c>
      <c r="H9" s="847">
        <v>1.2618668037940636E-2</v>
      </c>
      <c r="I9" s="847"/>
      <c r="J9" s="847"/>
      <c r="K9" s="750"/>
      <c r="L9" s="383" t="s">
        <v>8</v>
      </c>
      <c r="M9" s="384"/>
      <c r="N9" s="384"/>
      <c r="O9" s="829">
        <v>266000</v>
      </c>
      <c r="P9" s="830">
        <v>309000</v>
      </c>
      <c r="Q9" s="847"/>
      <c r="R9" s="847"/>
      <c r="S9" s="847"/>
      <c r="T9" s="750"/>
      <c r="U9" s="383" t="s">
        <v>8</v>
      </c>
      <c r="V9" s="384"/>
      <c r="W9" s="384"/>
      <c r="X9" s="893">
        <v>0.26600000000000001</v>
      </c>
      <c r="Y9" s="894">
        <v>0.309</v>
      </c>
      <c r="Z9" s="847"/>
      <c r="AB9" s="347"/>
      <c r="AC9" s="347"/>
      <c r="AD9" s="347"/>
      <c r="AE9" s="351"/>
      <c r="AF9" s="346"/>
    </row>
    <row r="10" spans="2:33" ht="12.75" x14ac:dyDescent="0.2">
      <c r="B10" s="752"/>
      <c r="C10" s="385"/>
      <c r="D10" s="378" t="s">
        <v>6</v>
      </c>
      <c r="E10" s="374"/>
      <c r="F10" s="827">
        <v>166762.4305792783</v>
      </c>
      <c r="G10" s="828">
        <v>199562.66777927591</v>
      </c>
      <c r="K10" s="752"/>
      <c r="L10" s="385"/>
      <c r="M10" s="378" t="s">
        <v>6</v>
      </c>
      <c r="N10" s="374"/>
      <c r="O10" s="827">
        <v>167000</v>
      </c>
      <c r="P10" s="828">
        <v>200000</v>
      </c>
      <c r="T10" s="752"/>
      <c r="U10" s="385"/>
      <c r="V10" s="378" t="s">
        <v>6</v>
      </c>
      <c r="W10" s="374"/>
      <c r="X10" s="887">
        <v>0.16700000000000001</v>
      </c>
      <c r="Y10" s="888">
        <v>0.2</v>
      </c>
      <c r="AA10" s="340"/>
      <c r="AB10" s="341"/>
      <c r="AC10" s="341"/>
      <c r="AD10" s="341"/>
      <c r="AE10" s="351"/>
      <c r="AF10" s="5"/>
    </row>
    <row r="11" spans="2:33" ht="12.75" customHeight="1" x14ac:dyDescent="0.2">
      <c r="B11" s="752"/>
      <c r="C11" s="385"/>
      <c r="D11" s="378" t="s">
        <v>7</v>
      </c>
      <c r="E11" s="374"/>
      <c r="F11" s="827">
        <v>50518.578380974206</v>
      </c>
      <c r="G11" s="828">
        <v>39489.073049157698</v>
      </c>
      <c r="K11" s="752"/>
      <c r="L11" s="385"/>
      <c r="M11" s="378" t="s">
        <v>7</v>
      </c>
      <c r="N11" s="374"/>
      <c r="O11" s="827">
        <v>51000</v>
      </c>
      <c r="P11" s="828">
        <v>39000</v>
      </c>
      <c r="T11" s="752"/>
      <c r="U11" s="385"/>
      <c r="V11" s="378" t="s">
        <v>7</v>
      </c>
      <c r="W11" s="374"/>
      <c r="X11" s="887">
        <v>5.0999999999999997E-2</v>
      </c>
      <c r="Y11" s="888" t="s">
        <v>1296</v>
      </c>
      <c r="AA11" s="340"/>
      <c r="AB11" s="340"/>
      <c r="AC11" s="340"/>
      <c r="AD11" s="340"/>
      <c r="AE11" s="351"/>
      <c r="AF11" s="5"/>
    </row>
    <row r="12" spans="2:33" ht="12.75" x14ac:dyDescent="0.2">
      <c r="B12" s="752"/>
      <c r="C12" s="385"/>
      <c r="D12" s="378" t="s">
        <v>116</v>
      </c>
      <c r="E12" s="374"/>
      <c r="F12" s="827">
        <v>48839.664126774034</v>
      </c>
      <c r="G12" s="828">
        <v>69824.647727232878</v>
      </c>
      <c r="K12" s="752"/>
      <c r="L12" s="385"/>
      <c r="M12" s="378" t="s">
        <v>116</v>
      </c>
      <c r="N12" s="374"/>
      <c r="O12" s="827">
        <v>49000</v>
      </c>
      <c r="P12" s="828">
        <v>70000</v>
      </c>
      <c r="T12" s="752"/>
      <c r="U12" s="385"/>
      <c r="V12" s="378" t="s">
        <v>116</v>
      </c>
      <c r="W12" s="374"/>
      <c r="X12" s="887" t="s">
        <v>1296</v>
      </c>
      <c r="Y12" s="888">
        <v>7.0000000000000007E-2</v>
      </c>
      <c r="AA12" s="340"/>
      <c r="AB12" s="340"/>
      <c r="AC12" s="340"/>
      <c r="AD12" s="340"/>
      <c r="AE12" s="351"/>
      <c r="AF12" s="5"/>
    </row>
    <row r="13" spans="2:33" s="319" customFormat="1" ht="15.75" x14ac:dyDescent="0.25">
      <c r="B13" s="750"/>
      <c r="C13" s="383" t="s">
        <v>2</v>
      </c>
      <c r="D13" s="393"/>
      <c r="E13" s="393"/>
      <c r="F13" s="829">
        <v>1895030.034232178</v>
      </c>
      <c r="G13" s="830">
        <v>2177035.102117118</v>
      </c>
      <c r="H13" s="847">
        <v>8.8939408379573051E-2</v>
      </c>
      <c r="I13" s="847"/>
      <c r="J13" s="847"/>
      <c r="K13" s="750"/>
      <c r="L13" s="383" t="s">
        <v>2</v>
      </c>
      <c r="M13" s="393"/>
      <c r="N13" s="393"/>
      <c r="O13" s="829">
        <v>1895000</v>
      </c>
      <c r="P13" s="830">
        <v>2177000</v>
      </c>
      <c r="Q13" s="847"/>
      <c r="R13" s="847"/>
      <c r="S13" s="847"/>
      <c r="T13" s="750"/>
      <c r="U13" s="383" t="s">
        <v>2</v>
      </c>
      <c r="V13" s="393"/>
      <c r="W13" s="393"/>
      <c r="X13" s="893">
        <v>1.895</v>
      </c>
      <c r="Y13" s="894">
        <v>2.177</v>
      </c>
      <c r="Z13" s="847"/>
      <c r="AE13" s="351"/>
      <c r="AF13" s="346"/>
    </row>
    <row r="14" spans="2:33" s="349" customFormat="1" ht="12.75" x14ac:dyDescent="0.2">
      <c r="B14" s="751"/>
      <c r="C14" s="379"/>
      <c r="D14" s="378" t="s">
        <v>10</v>
      </c>
      <c r="E14" s="378"/>
      <c r="F14" s="827">
        <v>1756698.2214198047</v>
      </c>
      <c r="G14" s="828">
        <v>2043450.2112939602</v>
      </c>
      <c r="H14" s="846"/>
      <c r="I14" s="846"/>
      <c r="J14" s="846"/>
      <c r="K14" s="751"/>
      <c r="L14" s="379"/>
      <c r="M14" s="378" t="s">
        <v>10</v>
      </c>
      <c r="N14" s="378"/>
      <c r="O14" s="827">
        <v>1757000</v>
      </c>
      <c r="P14" s="828">
        <v>2043000</v>
      </c>
      <c r="Q14" s="846"/>
      <c r="R14" s="846"/>
      <c r="S14" s="846"/>
      <c r="T14" s="751"/>
      <c r="U14" s="379"/>
      <c r="V14" s="378" t="s">
        <v>10</v>
      </c>
      <c r="W14" s="378"/>
      <c r="X14" s="887">
        <v>1.7569999999999999</v>
      </c>
      <c r="Y14" s="888">
        <v>2.0430000000000001</v>
      </c>
      <c r="Z14" s="846"/>
      <c r="AE14" s="351"/>
      <c r="AF14" s="342"/>
    </row>
    <row r="15" spans="2:33" s="349" customFormat="1" ht="12.75" x14ac:dyDescent="0.2">
      <c r="B15" s="751"/>
      <c r="C15" s="379"/>
      <c r="D15" s="378" t="s">
        <v>9</v>
      </c>
      <c r="E15" s="378"/>
      <c r="F15" s="831">
        <v>138331.8128123733</v>
      </c>
      <c r="G15" s="832">
        <v>133584.89082315794</v>
      </c>
      <c r="H15" s="846"/>
      <c r="I15" s="846"/>
      <c r="J15" s="846"/>
      <c r="K15" s="751"/>
      <c r="L15" s="379"/>
      <c r="M15" s="378" t="s">
        <v>9</v>
      </c>
      <c r="N15" s="378"/>
      <c r="O15" s="831">
        <v>138000</v>
      </c>
      <c r="P15" s="832">
        <v>134000</v>
      </c>
      <c r="Q15" s="846"/>
      <c r="R15" s="846"/>
      <c r="S15" s="846"/>
      <c r="T15" s="751"/>
      <c r="U15" s="379"/>
      <c r="V15" s="378" t="s">
        <v>9</v>
      </c>
      <c r="W15" s="378"/>
      <c r="X15" s="895">
        <v>0.13800000000000001</v>
      </c>
      <c r="Y15" s="896">
        <v>0.13400000000000001</v>
      </c>
      <c r="Z15" s="846"/>
      <c r="AE15" s="351"/>
      <c r="AF15" s="342"/>
    </row>
    <row r="16" spans="2:33" s="349" customFormat="1" ht="6" customHeight="1" thickBot="1" x14ac:dyDescent="0.25">
      <c r="B16" s="751"/>
      <c r="C16" s="379"/>
      <c r="D16" s="378"/>
      <c r="E16" s="378"/>
      <c r="F16" s="831"/>
      <c r="G16" s="832"/>
      <c r="H16" s="846"/>
      <c r="I16" s="846"/>
      <c r="J16" s="846"/>
      <c r="K16" s="751"/>
      <c r="L16" s="379"/>
      <c r="M16" s="378"/>
      <c r="N16" s="378"/>
      <c r="O16" s="831"/>
      <c r="P16" s="832"/>
      <c r="Q16" s="846"/>
      <c r="R16" s="846"/>
      <c r="S16" s="846"/>
      <c r="T16" s="751"/>
      <c r="U16" s="379"/>
      <c r="V16" s="378"/>
      <c r="W16" s="378"/>
      <c r="X16" s="895" t="s">
        <v>1296</v>
      </c>
      <c r="Y16" s="896"/>
      <c r="Z16" s="846"/>
      <c r="AE16" s="342"/>
      <c r="AF16" s="342"/>
    </row>
    <row r="17" spans="2:32" s="348" customFormat="1" ht="17.25" customHeight="1" thickTop="1" thickBot="1" x14ac:dyDescent="0.25">
      <c r="B17" s="399" t="s">
        <v>680</v>
      </c>
      <c r="C17" s="397"/>
      <c r="D17" s="397"/>
      <c r="E17" s="397"/>
      <c r="F17" s="833">
        <v>7342374.0058241235</v>
      </c>
      <c r="G17" s="834">
        <v>8180475.4057288356</v>
      </c>
      <c r="H17" s="847">
        <v>0.33420069439469674</v>
      </c>
      <c r="I17" s="847"/>
      <c r="J17" s="847"/>
      <c r="K17" s="399" t="s">
        <v>680</v>
      </c>
      <c r="L17" s="397"/>
      <c r="M17" s="397"/>
      <c r="N17" s="397"/>
      <c r="O17" s="833">
        <v>7342000</v>
      </c>
      <c r="P17" s="834">
        <v>8180000</v>
      </c>
      <c r="Q17" s="847"/>
      <c r="R17" s="847"/>
      <c r="S17" s="847"/>
      <c r="T17" s="399" t="s">
        <v>680</v>
      </c>
      <c r="U17" s="397"/>
      <c r="V17" s="397"/>
      <c r="W17" s="397"/>
      <c r="X17" s="897">
        <v>7.3419999999999996</v>
      </c>
      <c r="Y17" s="898">
        <v>8.18</v>
      </c>
      <c r="Z17" s="847"/>
      <c r="AE17" s="351"/>
      <c r="AF17" s="357"/>
    </row>
    <row r="18" spans="2:32" s="344" customFormat="1" ht="16.5" thickTop="1" x14ac:dyDescent="0.25">
      <c r="B18" s="754"/>
      <c r="C18" s="380" t="s">
        <v>29</v>
      </c>
      <c r="D18" s="381"/>
      <c r="E18" s="381"/>
      <c r="F18" s="825">
        <v>3762582.2038882524</v>
      </c>
      <c r="G18" s="826">
        <v>4136066.4948832104</v>
      </c>
      <c r="H18" s="847">
        <v>0.16897261174877343</v>
      </c>
      <c r="I18" s="847"/>
      <c r="J18" s="847"/>
      <c r="K18" s="754"/>
      <c r="L18" s="380" t="s">
        <v>29</v>
      </c>
      <c r="M18" s="381"/>
      <c r="N18" s="381"/>
      <c r="O18" s="825">
        <v>3763000</v>
      </c>
      <c r="P18" s="826">
        <v>4136000</v>
      </c>
      <c r="Q18" s="847"/>
      <c r="R18" s="847"/>
      <c r="S18" s="847"/>
      <c r="T18" s="754"/>
      <c r="U18" s="380" t="s">
        <v>29</v>
      </c>
      <c r="V18" s="381"/>
      <c r="W18" s="381"/>
      <c r="X18" s="891">
        <v>3.7629999999999999</v>
      </c>
      <c r="Y18" s="892">
        <v>4.1360000000000001</v>
      </c>
      <c r="Z18" s="847"/>
      <c r="AE18" s="351"/>
      <c r="AF18" s="343"/>
    </row>
    <row r="19" spans="2:32" s="345" customFormat="1" ht="12.75" x14ac:dyDescent="0.2">
      <c r="B19" s="755"/>
      <c r="C19" s="376"/>
      <c r="D19" s="376" t="s">
        <v>678</v>
      </c>
      <c r="E19" s="376"/>
      <c r="F19" s="827">
        <v>1866534.1063584599</v>
      </c>
      <c r="G19" s="828">
        <v>2056709.8333594454</v>
      </c>
      <c r="H19" s="846"/>
      <c r="I19" s="846"/>
      <c r="J19" s="846"/>
      <c r="K19" s="755"/>
      <c r="L19" s="376"/>
      <c r="M19" s="376" t="s">
        <v>678</v>
      </c>
      <c r="N19" s="376"/>
      <c r="O19" s="827">
        <v>1867000</v>
      </c>
      <c r="P19" s="828">
        <v>2057000</v>
      </c>
      <c r="Q19" s="846"/>
      <c r="R19" s="846"/>
      <c r="S19" s="846"/>
      <c r="T19" s="755"/>
      <c r="U19" s="376"/>
      <c r="V19" s="376" t="s">
        <v>678</v>
      </c>
      <c r="W19" s="376"/>
      <c r="X19" s="887">
        <v>1.867</v>
      </c>
      <c r="Y19" s="888">
        <v>2.0569999999999999</v>
      </c>
      <c r="Z19" s="846"/>
      <c r="AA19"/>
      <c r="AE19" s="351"/>
      <c r="AF19" s="359"/>
    </row>
    <row r="20" spans="2:32" s="345" customFormat="1" ht="12.75" x14ac:dyDescent="0.2">
      <c r="B20" s="755"/>
      <c r="C20" s="376"/>
      <c r="D20" s="376" t="s">
        <v>133</v>
      </c>
      <c r="E20" s="376"/>
      <c r="F20" s="827">
        <v>1565449.9609237434</v>
      </c>
      <c r="G20" s="828">
        <v>1815163.1470527851</v>
      </c>
      <c r="H20" s="846"/>
      <c r="I20" s="846"/>
      <c r="J20" s="846"/>
      <c r="K20" s="755"/>
      <c r="L20" s="376"/>
      <c r="M20" s="376" t="s">
        <v>133</v>
      </c>
      <c r="N20" s="376"/>
      <c r="O20" s="827">
        <v>1565000</v>
      </c>
      <c r="P20" s="828">
        <v>1815000</v>
      </c>
      <c r="Q20" s="958"/>
      <c r="R20" s="846"/>
      <c r="S20" s="846"/>
      <c r="T20" s="755"/>
      <c r="U20" s="376"/>
      <c r="V20" s="376" t="s">
        <v>133</v>
      </c>
      <c r="W20" s="376"/>
      <c r="X20" s="887">
        <v>1.5649999999999999</v>
      </c>
      <c r="Y20" s="888">
        <v>1.8149999999999999</v>
      </c>
      <c r="Z20" s="846"/>
      <c r="AA20"/>
      <c r="AE20" s="351"/>
      <c r="AF20" s="359"/>
    </row>
    <row r="21" spans="2:32" s="345" customFormat="1" ht="12.75" x14ac:dyDescent="0.2">
      <c r="B21" s="755"/>
      <c r="C21" s="376"/>
      <c r="D21" s="376" t="s">
        <v>900</v>
      </c>
      <c r="E21" s="376"/>
      <c r="F21" s="827">
        <v>284427.46213974222</v>
      </c>
      <c r="G21" s="828">
        <v>215035.96310774286</v>
      </c>
      <c r="H21" s="846"/>
      <c r="I21" s="846"/>
      <c r="J21" s="846"/>
      <c r="K21" s="755"/>
      <c r="L21" s="376"/>
      <c r="M21" s="376" t="s">
        <v>900</v>
      </c>
      <c r="N21" s="376"/>
      <c r="O21" s="827">
        <v>284000</v>
      </c>
      <c r="P21" s="828">
        <v>215000</v>
      </c>
      <c r="Q21" s="846"/>
      <c r="R21" s="846"/>
      <c r="S21" s="846"/>
      <c r="T21" s="755"/>
      <c r="U21" s="376"/>
      <c r="V21" s="376" t="s">
        <v>900</v>
      </c>
      <c r="W21" s="376"/>
      <c r="X21" s="887">
        <v>0.28399999999999997</v>
      </c>
      <c r="Y21" s="888">
        <v>0.215</v>
      </c>
      <c r="Z21" s="846"/>
      <c r="AA21"/>
      <c r="AE21" s="351"/>
      <c r="AF21" s="359"/>
    </row>
    <row r="22" spans="2:32" s="345" customFormat="1" ht="15.75" x14ac:dyDescent="0.2">
      <c r="B22" s="755"/>
      <c r="C22" s="376"/>
      <c r="D22" s="376" t="s">
        <v>926</v>
      </c>
      <c r="E22" s="376"/>
      <c r="F22" s="827">
        <v>46170.674466306366</v>
      </c>
      <c r="G22" s="828">
        <v>49157.551363236584</v>
      </c>
      <c r="H22" s="846"/>
      <c r="I22" s="846"/>
      <c r="J22" s="846"/>
      <c r="K22" s="755"/>
      <c r="L22" s="376"/>
      <c r="M22" s="376" t="s">
        <v>926</v>
      </c>
      <c r="N22" s="376"/>
      <c r="O22" s="827">
        <v>46000</v>
      </c>
      <c r="P22" s="828">
        <v>49000</v>
      </c>
      <c r="Q22" s="846"/>
      <c r="R22" s="962"/>
      <c r="S22" s="846"/>
      <c r="T22" s="755"/>
      <c r="U22" s="376"/>
      <c r="V22" s="376" t="s">
        <v>926</v>
      </c>
      <c r="W22" s="376"/>
      <c r="X22" s="887" t="s">
        <v>1296</v>
      </c>
      <c r="Y22" s="888" t="s">
        <v>1296</v>
      </c>
      <c r="Z22" s="846"/>
      <c r="AA22"/>
      <c r="AE22" s="360"/>
      <c r="AF22" s="359"/>
    </row>
    <row r="23" spans="2:32" s="344" customFormat="1" ht="15.75" x14ac:dyDescent="0.25">
      <c r="B23" s="756"/>
      <c r="C23" s="383" t="s">
        <v>30</v>
      </c>
      <c r="D23" s="386"/>
      <c r="E23" s="386"/>
      <c r="F23" s="829">
        <v>3579791.8019358711</v>
      </c>
      <c r="G23" s="830">
        <v>4044408.9108456257</v>
      </c>
      <c r="H23" s="847">
        <v>0.16522808264592334</v>
      </c>
      <c r="I23" s="847"/>
      <c r="J23" s="847"/>
      <c r="K23" s="756"/>
      <c r="L23" s="383" t="s">
        <v>30</v>
      </c>
      <c r="M23" s="386"/>
      <c r="N23" s="386"/>
      <c r="O23" s="829">
        <v>3580000</v>
      </c>
      <c r="P23" s="830">
        <v>4044000</v>
      </c>
      <c r="Q23" s="847"/>
      <c r="R23" s="847"/>
      <c r="S23" s="847"/>
      <c r="T23" s="756"/>
      <c r="U23" s="383" t="s">
        <v>30</v>
      </c>
      <c r="V23" s="386"/>
      <c r="W23" s="386"/>
      <c r="X23" s="893">
        <v>3.58</v>
      </c>
      <c r="Y23" s="894">
        <v>4.0439999999999996</v>
      </c>
      <c r="Z23" s="847"/>
      <c r="AA23" s="350"/>
      <c r="AE23" s="351"/>
      <c r="AF23" s="343"/>
    </row>
    <row r="24" spans="2:32" s="345" customFormat="1" ht="12.75" x14ac:dyDescent="0.2">
      <c r="B24" s="757"/>
      <c r="C24" s="376"/>
      <c r="D24" s="376" t="s">
        <v>678</v>
      </c>
      <c r="E24" s="376"/>
      <c r="F24" s="827">
        <v>2001481.2703278386</v>
      </c>
      <c r="G24" s="828">
        <v>2278281.9927048925</v>
      </c>
      <c r="H24" s="846"/>
      <c r="I24" s="846"/>
      <c r="J24" s="846"/>
      <c r="K24" s="757"/>
      <c r="L24" s="376"/>
      <c r="M24" s="376" t="s">
        <v>678</v>
      </c>
      <c r="N24" s="376"/>
      <c r="O24" s="827">
        <v>2001000</v>
      </c>
      <c r="P24" s="828">
        <v>2278000</v>
      </c>
      <c r="Q24" s="846"/>
      <c r="R24" s="962"/>
      <c r="S24" s="846"/>
      <c r="T24" s="757"/>
      <c r="U24" s="376"/>
      <c r="V24" s="376" t="s">
        <v>678</v>
      </c>
      <c r="W24" s="376"/>
      <c r="X24" s="887">
        <v>2.0009999999999999</v>
      </c>
      <c r="Y24" s="888">
        <v>2.278</v>
      </c>
      <c r="Z24" s="846"/>
      <c r="AA24"/>
      <c r="AE24" s="352"/>
      <c r="AF24" s="359"/>
    </row>
    <row r="25" spans="2:32" s="345" customFormat="1" ht="12" customHeight="1" x14ac:dyDescent="0.2">
      <c r="B25" s="757"/>
      <c r="C25" s="376"/>
      <c r="D25" s="376" t="s">
        <v>927</v>
      </c>
      <c r="E25" s="376"/>
      <c r="F25" s="827">
        <v>36325.163697133365</v>
      </c>
      <c r="G25" s="828">
        <v>39431.632971401414</v>
      </c>
      <c r="H25" s="846"/>
      <c r="I25" s="846"/>
      <c r="J25" s="846"/>
      <c r="K25" s="757"/>
      <c r="L25" s="376"/>
      <c r="M25" s="376" t="s">
        <v>927</v>
      </c>
      <c r="N25" s="376"/>
      <c r="O25" s="827">
        <v>36000</v>
      </c>
      <c r="P25" s="828">
        <v>39000</v>
      </c>
      <c r="Q25" s="846"/>
      <c r="R25" s="846"/>
      <c r="S25" s="846"/>
      <c r="T25" s="757"/>
      <c r="U25" s="376"/>
      <c r="V25" s="376" t="s">
        <v>927</v>
      </c>
      <c r="W25" s="376"/>
      <c r="X25" s="887" t="s">
        <v>1296</v>
      </c>
      <c r="Y25" s="888" t="s">
        <v>1296</v>
      </c>
      <c r="Z25" s="846"/>
      <c r="AA25"/>
      <c r="AE25" s="352"/>
      <c r="AF25" s="359"/>
    </row>
    <row r="26" spans="2:32" s="345" customFormat="1" ht="12" customHeight="1" x14ac:dyDescent="0.2">
      <c r="B26" s="757"/>
      <c r="C26" s="376"/>
      <c r="D26" s="376" t="s">
        <v>928</v>
      </c>
      <c r="E26" s="376"/>
      <c r="F26" s="827">
        <v>831954.80783429567</v>
      </c>
      <c r="G26" s="828">
        <v>952343.16711714945</v>
      </c>
      <c r="H26" s="846"/>
      <c r="I26" s="846"/>
      <c r="J26" s="846"/>
      <c r="K26" s="757"/>
      <c r="L26" s="376"/>
      <c r="M26" s="376" t="s">
        <v>928</v>
      </c>
      <c r="N26" s="376"/>
      <c r="O26" s="827">
        <v>832000</v>
      </c>
      <c r="P26" s="828">
        <v>952000</v>
      </c>
      <c r="Q26" s="846"/>
      <c r="R26" s="846"/>
      <c r="S26" s="846"/>
      <c r="T26" s="757"/>
      <c r="U26" s="376"/>
      <c r="V26" s="376" t="s">
        <v>928</v>
      </c>
      <c r="W26" s="376"/>
      <c r="X26" s="887">
        <v>0.83199999999999996</v>
      </c>
      <c r="Y26" s="888">
        <v>0.95199999999999996</v>
      </c>
      <c r="Z26" s="846"/>
      <c r="AA26"/>
      <c r="AE26" s="352"/>
      <c r="AF26" s="359"/>
    </row>
    <row r="27" spans="2:32" s="345" customFormat="1" ht="12.75" customHeight="1" x14ac:dyDescent="0.2">
      <c r="B27" s="757"/>
      <c r="C27" s="376"/>
      <c r="D27" s="376" t="s">
        <v>929</v>
      </c>
      <c r="E27" s="376"/>
      <c r="F27" s="827">
        <v>341168.41129029868</v>
      </c>
      <c r="G27" s="828">
        <v>370344.58227360505</v>
      </c>
      <c r="H27" s="846"/>
      <c r="I27" s="846"/>
      <c r="J27" s="846"/>
      <c r="K27" s="757"/>
      <c r="L27" s="376"/>
      <c r="M27" s="376" t="s">
        <v>929</v>
      </c>
      <c r="N27" s="376"/>
      <c r="O27" s="827">
        <v>341000</v>
      </c>
      <c r="P27" s="828">
        <v>370000</v>
      </c>
      <c r="Q27" s="846"/>
      <c r="R27" s="846"/>
      <c r="S27" s="846"/>
      <c r="T27" s="757"/>
      <c r="U27" s="376"/>
      <c r="V27" s="376" t="s">
        <v>929</v>
      </c>
      <c r="W27" s="376"/>
      <c r="X27" s="887">
        <v>0.34100000000000003</v>
      </c>
      <c r="Y27" s="888">
        <v>0.37</v>
      </c>
      <c r="Z27" s="846"/>
      <c r="AA27"/>
      <c r="AE27" s="352"/>
      <c r="AF27" s="359"/>
    </row>
    <row r="28" spans="2:32" s="345" customFormat="1" ht="12.75" customHeight="1" x14ac:dyDescent="0.2">
      <c r="B28" s="757"/>
      <c r="C28" s="376"/>
      <c r="D28" s="376" t="s">
        <v>901</v>
      </c>
      <c r="E28" s="376"/>
      <c r="F28" s="827">
        <v>208780.99475738493</v>
      </c>
      <c r="G28" s="828">
        <v>227202.69931051467</v>
      </c>
      <c r="H28" s="846"/>
      <c r="I28" s="846"/>
      <c r="J28" s="846"/>
      <c r="K28" s="757"/>
      <c r="L28" s="376"/>
      <c r="M28" s="376" t="s">
        <v>901</v>
      </c>
      <c r="N28" s="376"/>
      <c r="O28" s="827">
        <v>209000</v>
      </c>
      <c r="P28" s="828">
        <v>227000</v>
      </c>
      <c r="Q28" s="846"/>
      <c r="R28" s="846"/>
      <c r="S28" s="846"/>
      <c r="T28" s="757"/>
      <c r="U28" s="376"/>
      <c r="V28" s="376" t="s">
        <v>901</v>
      </c>
      <c r="W28" s="376"/>
      <c r="X28" s="887">
        <v>0.20899999999999999</v>
      </c>
      <c r="Y28" s="888">
        <v>0.22700000000000001</v>
      </c>
      <c r="Z28" s="846"/>
      <c r="AA28"/>
      <c r="AE28" s="352"/>
      <c r="AF28" s="359"/>
    </row>
    <row r="29" spans="2:32" s="345" customFormat="1" ht="12.75" x14ac:dyDescent="0.2">
      <c r="B29" s="757"/>
      <c r="C29" s="376"/>
      <c r="D29" s="376" t="s">
        <v>11</v>
      </c>
      <c r="E29" s="376"/>
      <c r="F29" s="827">
        <v>160081.15402892014</v>
      </c>
      <c r="G29" s="828">
        <v>176804.83646806242</v>
      </c>
      <c r="H29" s="846"/>
      <c r="I29" s="846"/>
      <c r="J29" s="846"/>
      <c r="K29" s="757"/>
      <c r="L29" s="376"/>
      <c r="M29" s="376" t="s">
        <v>11</v>
      </c>
      <c r="N29" s="376"/>
      <c r="O29" s="827">
        <v>160000</v>
      </c>
      <c r="P29" s="828">
        <v>177000</v>
      </c>
      <c r="Q29" s="846"/>
      <c r="R29" s="846"/>
      <c r="S29" s="846"/>
      <c r="T29" s="757"/>
      <c r="U29" s="376"/>
      <c r="V29" s="376" t="s">
        <v>11</v>
      </c>
      <c r="W29" s="376"/>
      <c r="X29" s="887">
        <v>0.16</v>
      </c>
      <c r="Y29" s="888">
        <v>0.17699999999999999</v>
      </c>
      <c r="Z29" s="846"/>
      <c r="AA29"/>
      <c r="AE29" s="352"/>
      <c r="AF29" s="359"/>
    </row>
    <row r="30" spans="2:32" s="345" customFormat="1" ht="6" customHeight="1" thickBot="1" x14ac:dyDescent="0.25">
      <c r="B30" s="757"/>
      <c r="C30" s="376"/>
      <c r="D30" s="376"/>
      <c r="E30" s="376"/>
      <c r="F30" s="827"/>
      <c r="G30" s="828"/>
      <c r="H30" s="846"/>
      <c r="I30" s="846"/>
      <c r="J30" s="846"/>
      <c r="K30" s="757"/>
      <c r="L30" s="376"/>
      <c r="M30" s="376"/>
      <c r="N30" s="376"/>
      <c r="O30" s="827"/>
      <c r="P30" s="828"/>
      <c r="Q30" s="846"/>
      <c r="R30" s="846"/>
      <c r="S30" s="846"/>
      <c r="T30" s="757"/>
      <c r="U30" s="376"/>
      <c r="V30" s="376"/>
      <c r="W30" s="376"/>
      <c r="X30" s="887" t="s">
        <v>1296</v>
      </c>
      <c r="Y30" s="888"/>
      <c r="Z30" s="846"/>
      <c r="AE30" s="352"/>
      <c r="AF30" s="359"/>
    </row>
    <row r="31" spans="2:32" s="348" customFormat="1" ht="16.5" customHeight="1" thickTop="1" thickBot="1" x14ac:dyDescent="0.25">
      <c r="B31" s="759" t="s">
        <v>871</v>
      </c>
      <c r="C31" s="760"/>
      <c r="D31" s="760"/>
      <c r="E31" s="760"/>
      <c r="F31" s="835">
        <v>3214704.3894087281</v>
      </c>
      <c r="G31" s="836">
        <v>4516016.5217166375</v>
      </c>
      <c r="H31" s="847">
        <v>0.18449488356125154</v>
      </c>
      <c r="I31" s="847"/>
      <c r="J31" s="847"/>
      <c r="K31" s="759" t="s">
        <v>871</v>
      </c>
      <c r="L31" s="760"/>
      <c r="M31" s="760"/>
      <c r="N31" s="760"/>
      <c r="O31" s="835">
        <v>3215000</v>
      </c>
      <c r="P31" s="836">
        <v>4516000</v>
      </c>
      <c r="Q31" s="847"/>
      <c r="R31" s="847"/>
      <c r="S31" s="847"/>
      <c r="T31" s="759" t="s">
        <v>871</v>
      </c>
      <c r="U31" s="760"/>
      <c r="V31" s="760"/>
      <c r="W31" s="760"/>
      <c r="X31" s="899">
        <v>3.2149999999999999</v>
      </c>
      <c r="Y31" s="900">
        <v>4.516</v>
      </c>
      <c r="Z31" s="847"/>
      <c r="AE31" s="360"/>
      <c r="AF31" s="357"/>
    </row>
    <row r="32" spans="2:32" s="319" customFormat="1" ht="17.25" customHeight="1" thickTop="1" x14ac:dyDescent="0.2">
      <c r="B32" s="750"/>
      <c r="C32" s="381" t="s">
        <v>876</v>
      </c>
      <c r="D32" s="381"/>
      <c r="E32" s="387"/>
      <c r="F32" s="825">
        <v>2170588.037865777</v>
      </c>
      <c r="G32" s="826">
        <v>3349250.4500484993</v>
      </c>
      <c r="H32" s="847">
        <v>0.13682845685522035</v>
      </c>
      <c r="I32" s="847"/>
      <c r="J32" s="847"/>
      <c r="K32" s="750"/>
      <c r="L32" s="381" t="s">
        <v>876</v>
      </c>
      <c r="M32" s="381"/>
      <c r="N32" s="387"/>
      <c r="O32" s="825">
        <v>2171000</v>
      </c>
      <c r="P32" s="826">
        <v>3349000</v>
      </c>
      <c r="Q32" s="847"/>
      <c r="R32" s="916">
        <v>5.7779999999999996</v>
      </c>
      <c r="S32" s="847"/>
      <c r="T32" s="750"/>
      <c r="U32" s="381" t="s">
        <v>876</v>
      </c>
      <c r="V32" s="381"/>
      <c r="W32" s="387"/>
      <c r="X32" s="891">
        <v>2.1709999999999998</v>
      </c>
      <c r="Y32" s="892">
        <v>3.3490000000000002</v>
      </c>
      <c r="Z32" s="847"/>
      <c r="AA32"/>
      <c r="AB32" s="350"/>
      <c r="AE32" s="351"/>
      <c r="AF32" s="346"/>
    </row>
    <row r="33" spans="2:32" s="345" customFormat="1" ht="12" customHeight="1" x14ac:dyDescent="0.2">
      <c r="B33" s="757"/>
      <c r="C33" s="376"/>
      <c r="D33" s="376" t="s">
        <v>678</v>
      </c>
      <c r="E33" s="376"/>
      <c r="F33" s="827">
        <v>534708.13401730801</v>
      </c>
      <c r="G33" s="828">
        <v>503629.9844031235</v>
      </c>
      <c r="H33" s="846"/>
      <c r="I33" s="846"/>
      <c r="J33" s="846"/>
      <c r="K33" s="757"/>
      <c r="L33" s="376"/>
      <c r="M33" s="376" t="s">
        <v>678</v>
      </c>
      <c r="N33" s="376"/>
      <c r="O33" s="827">
        <v>535000</v>
      </c>
      <c r="P33" s="828">
        <v>504000</v>
      </c>
      <c r="Q33" s="846"/>
      <c r="R33" s="958"/>
      <c r="S33" s="846"/>
      <c r="T33" s="757"/>
      <c r="U33" s="376"/>
      <c r="V33" s="376" t="s">
        <v>678</v>
      </c>
      <c r="W33" s="376"/>
      <c r="X33" s="887">
        <v>0.53500000000000003</v>
      </c>
      <c r="Y33" s="888">
        <v>0.504</v>
      </c>
      <c r="Z33" s="846"/>
      <c r="AA33" s="350"/>
      <c r="AB33"/>
      <c r="AE33" s="352"/>
      <c r="AF33" s="359"/>
    </row>
    <row r="34" spans="2:32" s="345" customFormat="1" ht="12.75" x14ac:dyDescent="0.2">
      <c r="B34" s="757"/>
      <c r="C34" s="376"/>
      <c r="D34" s="376" t="s">
        <v>932</v>
      </c>
      <c r="E34" s="413"/>
      <c r="F34" s="837">
        <v>47729.205888466466</v>
      </c>
      <c r="G34" s="828">
        <v>51810.930414581555</v>
      </c>
      <c r="H34" s="846"/>
      <c r="I34" s="846"/>
      <c r="J34" s="846"/>
      <c r="K34" s="757"/>
      <c r="L34" s="376"/>
      <c r="M34" s="376" t="s">
        <v>932</v>
      </c>
      <c r="N34" s="413"/>
      <c r="O34" s="837">
        <v>48000</v>
      </c>
      <c r="P34" s="828">
        <v>52000</v>
      </c>
      <c r="Q34" s="846"/>
      <c r="R34" s="846"/>
      <c r="S34" s="846"/>
      <c r="T34" s="757"/>
      <c r="U34" s="376"/>
      <c r="V34" s="376" t="s">
        <v>932</v>
      </c>
      <c r="W34" s="413"/>
      <c r="X34" s="901" t="s">
        <v>1296</v>
      </c>
      <c r="Y34" s="888">
        <v>5.1999999999999998E-2</v>
      </c>
      <c r="Z34" s="846"/>
      <c r="AA34" s="350"/>
      <c r="AB34"/>
      <c r="AE34" s="352"/>
      <c r="AF34" s="359"/>
    </row>
    <row r="35" spans="2:32" s="345" customFormat="1" ht="12.75" x14ac:dyDescent="0.2">
      <c r="B35" s="757"/>
      <c r="C35" s="376"/>
      <c r="D35" s="376" t="s">
        <v>928</v>
      </c>
      <c r="E35" s="413"/>
      <c r="F35" s="837">
        <v>524162.0912656599</v>
      </c>
      <c r="G35" s="828">
        <v>510643.34432334267</v>
      </c>
      <c r="H35" s="846"/>
      <c r="I35" s="846"/>
      <c r="J35" s="846"/>
      <c r="K35" s="757"/>
      <c r="L35" s="376"/>
      <c r="M35" s="376" t="s">
        <v>928</v>
      </c>
      <c r="N35" s="413"/>
      <c r="O35" s="837">
        <v>524000</v>
      </c>
      <c r="P35" s="828">
        <v>511000</v>
      </c>
      <c r="Q35" s="846"/>
      <c r="R35" s="846"/>
      <c r="S35" s="846"/>
      <c r="T35" s="757"/>
      <c r="U35" s="376"/>
      <c r="V35" s="376" t="s">
        <v>928</v>
      </c>
      <c r="W35" s="413"/>
      <c r="X35" s="901">
        <v>0.52400000000000002</v>
      </c>
      <c r="Y35" s="888">
        <v>0.51100000000000001</v>
      </c>
      <c r="Z35" s="846"/>
      <c r="AA35" s="350"/>
      <c r="AB35"/>
      <c r="AE35" s="352"/>
      <c r="AF35" s="359"/>
    </row>
    <row r="36" spans="2:32" s="345" customFormat="1" ht="12.75" customHeight="1" x14ac:dyDescent="0.2">
      <c r="B36" s="757"/>
      <c r="C36" s="376"/>
      <c r="D36" s="376" t="s">
        <v>933</v>
      </c>
      <c r="E36" s="413"/>
      <c r="F36" s="837">
        <v>671729.28250810574</v>
      </c>
      <c r="G36" s="828">
        <v>729174.4847964088</v>
      </c>
      <c r="H36" s="846"/>
      <c r="I36" s="846"/>
      <c r="J36" s="846"/>
      <c r="K36" s="757"/>
      <c r="L36" s="376"/>
      <c r="M36" s="376" t="s">
        <v>933</v>
      </c>
      <c r="N36" s="413"/>
      <c r="O36" s="837">
        <v>672000</v>
      </c>
      <c r="P36" s="828">
        <v>729000</v>
      </c>
      <c r="Q36" s="846"/>
      <c r="R36" s="846"/>
      <c r="S36" s="846"/>
      <c r="T36" s="757"/>
      <c r="U36" s="376"/>
      <c r="V36" s="376" t="s">
        <v>933</v>
      </c>
      <c r="W36" s="413"/>
      <c r="X36" s="901">
        <v>0.67200000000000004</v>
      </c>
      <c r="Y36" s="888">
        <v>0.72899999999999998</v>
      </c>
      <c r="Z36" s="846"/>
      <c r="AA36" s="350"/>
      <c r="AB36"/>
      <c r="AE36" s="352"/>
      <c r="AF36" s="359"/>
    </row>
    <row r="37" spans="2:32" s="345" customFormat="1" ht="12.75" customHeight="1" x14ac:dyDescent="0.2">
      <c r="B37" s="757"/>
      <c r="C37" s="376"/>
      <c r="D37" s="376" t="s">
        <v>901</v>
      </c>
      <c r="E37" s="413"/>
      <c r="F37" s="837">
        <v>89059.205223995261</v>
      </c>
      <c r="G37" s="828">
        <v>1198922.2301042632</v>
      </c>
      <c r="H37" s="846"/>
      <c r="I37" s="846"/>
      <c r="J37" s="846"/>
      <c r="K37" s="757"/>
      <c r="L37" s="376"/>
      <c r="M37" s="376" t="s">
        <v>901</v>
      </c>
      <c r="N37" s="413"/>
      <c r="O37" s="837">
        <v>89000</v>
      </c>
      <c r="P37" s="828">
        <v>1199000</v>
      </c>
      <c r="Q37" s="846"/>
      <c r="R37" s="846"/>
      <c r="S37" s="846"/>
      <c r="T37" s="757"/>
      <c r="U37" s="376"/>
      <c r="V37" s="376" t="s">
        <v>901</v>
      </c>
      <c r="W37" s="413"/>
      <c r="X37" s="901">
        <v>8.8999999999999996E-2</v>
      </c>
      <c r="Y37" s="888">
        <v>1.1990000000000001</v>
      </c>
      <c r="Z37" s="846"/>
      <c r="AA37" s="350"/>
      <c r="AB37"/>
      <c r="AE37" s="352"/>
      <c r="AF37" s="359"/>
    </row>
    <row r="38" spans="2:32" s="345" customFormat="1" ht="12.75" customHeight="1" x14ac:dyDescent="0.2">
      <c r="B38" s="757"/>
      <c r="C38" s="376"/>
      <c r="D38" s="376" t="s">
        <v>49</v>
      </c>
      <c r="E38" s="413"/>
      <c r="F38" s="837">
        <v>286186.18622956501</v>
      </c>
      <c r="G38" s="828">
        <v>337941.17712677934</v>
      </c>
      <c r="H38" s="846"/>
      <c r="I38" s="846"/>
      <c r="J38" s="846"/>
      <c r="K38" s="757"/>
      <c r="L38" s="376"/>
      <c r="M38" s="376" t="s">
        <v>49</v>
      </c>
      <c r="N38" s="413"/>
      <c r="O38" s="837">
        <v>286000</v>
      </c>
      <c r="P38" s="828">
        <v>338000</v>
      </c>
      <c r="Q38" s="846"/>
      <c r="R38" s="846"/>
      <c r="S38" s="846"/>
      <c r="T38" s="757"/>
      <c r="U38" s="376"/>
      <c r="V38" s="376" t="s">
        <v>49</v>
      </c>
      <c r="W38" s="413"/>
      <c r="X38" s="901">
        <v>0.28599999999999998</v>
      </c>
      <c r="Y38" s="888">
        <v>0.33800000000000002</v>
      </c>
      <c r="Z38" s="846"/>
      <c r="AA38" s="350"/>
      <c r="AB38"/>
      <c r="AE38" s="352"/>
      <c r="AF38" s="359"/>
    </row>
    <row r="39" spans="2:32" s="345" customFormat="1" ht="12.75" customHeight="1" x14ac:dyDescent="0.2">
      <c r="B39" s="757"/>
      <c r="C39" s="376"/>
      <c r="D39" s="376" t="s">
        <v>902</v>
      </c>
      <c r="E39" s="413"/>
      <c r="F39" s="837">
        <v>17013.932732676825</v>
      </c>
      <c r="G39" s="828">
        <v>17128.298879999998</v>
      </c>
      <c r="H39" s="846"/>
      <c r="I39" s="846"/>
      <c r="J39" s="846"/>
      <c r="K39" s="757"/>
      <c r="L39" s="376"/>
      <c r="M39" s="376" t="s">
        <v>902</v>
      </c>
      <c r="N39" s="413"/>
      <c r="O39" s="837">
        <v>17000</v>
      </c>
      <c r="P39" s="828">
        <v>17000</v>
      </c>
      <c r="Q39" s="846"/>
      <c r="R39" s="846"/>
      <c r="S39" s="846"/>
      <c r="T39" s="757"/>
      <c r="U39" s="376"/>
      <c r="V39" s="376" t="s">
        <v>902</v>
      </c>
      <c r="W39" s="413"/>
      <c r="X39" s="901" t="s">
        <v>1296</v>
      </c>
      <c r="Y39" s="888" t="s">
        <v>1296</v>
      </c>
      <c r="Z39" s="846"/>
      <c r="AA39" s="350"/>
      <c r="AB39"/>
      <c r="AE39" s="352"/>
      <c r="AF39" s="359"/>
    </row>
    <row r="40" spans="2:32" s="319" customFormat="1" ht="15.75" x14ac:dyDescent="0.2">
      <c r="B40" s="750"/>
      <c r="C40" s="386" t="s">
        <v>877</v>
      </c>
      <c r="D40" s="386"/>
      <c r="E40" s="384"/>
      <c r="F40" s="829">
        <v>451499.23418948852</v>
      </c>
      <c r="G40" s="830">
        <v>435007.8194521399</v>
      </c>
      <c r="H40" s="847">
        <v>1.7771572936484549E-2</v>
      </c>
      <c r="I40" s="847"/>
      <c r="J40" s="847"/>
      <c r="K40" s="750"/>
      <c r="L40" s="386" t="s">
        <v>877</v>
      </c>
      <c r="M40" s="386"/>
      <c r="N40" s="384"/>
      <c r="O40" s="829">
        <v>451000</v>
      </c>
      <c r="P40" s="830">
        <v>435000</v>
      </c>
      <c r="Q40" s="847"/>
      <c r="R40" s="847"/>
      <c r="S40" s="847"/>
      <c r="T40" s="750"/>
      <c r="U40" s="386" t="s">
        <v>877</v>
      </c>
      <c r="V40" s="386"/>
      <c r="W40" s="384"/>
      <c r="X40" s="893">
        <v>0.45100000000000001</v>
      </c>
      <c r="Y40" s="894">
        <v>0.435</v>
      </c>
      <c r="Z40" s="847"/>
      <c r="AA40" s="350"/>
      <c r="AB40"/>
      <c r="AE40" s="352"/>
      <c r="AF40" s="346"/>
    </row>
    <row r="41" spans="2:32" s="345" customFormat="1" ht="12.75" x14ac:dyDescent="0.2">
      <c r="B41" s="751"/>
      <c r="C41" s="379"/>
      <c r="D41" s="376" t="s">
        <v>903</v>
      </c>
      <c r="E41" s="378"/>
      <c r="F41" s="827">
        <v>411380.49062961666</v>
      </c>
      <c r="G41" s="828">
        <v>394643.51949045953</v>
      </c>
      <c r="H41" s="846"/>
      <c r="I41" s="846"/>
      <c r="J41" s="846"/>
      <c r="K41" s="751"/>
      <c r="L41" s="379"/>
      <c r="M41" s="376" t="s">
        <v>903</v>
      </c>
      <c r="N41" s="378"/>
      <c r="O41" s="827">
        <v>411000</v>
      </c>
      <c r="P41" s="828">
        <v>395000</v>
      </c>
      <c r="Q41" s="846"/>
      <c r="R41" s="846"/>
      <c r="S41" s="846"/>
      <c r="T41" s="751"/>
      <c r="U41" s="379"/>
      <c r="V41" s="376" t="s">
        <v>903</v>
      </c>
      <c r="W41" s="378"/>
      <c r="X41" s="887">
        <v>0.41099999999999998</v>
      </c>
      <c r="Y41" s="888">
        <v>0.39500000000000002</v>
      </c>
      <c r="Z41" s="846"/>
      <c r="AA41"/>
      <c r="AB41"/>
      <c r="AE41" s="352"/>
      <c r="AF41" s="359"/>
    </row>
    <row r="42" spans="2:32" s="345" customFormat="1" ht="12.75" x14ac:dyDescent="0.2">
      <c r="B42" s="751"/>
      <c r="C42" s="379"/>
      <c r="D42" s="376" t="s">
        <v>12</v>
      </c>
      <c r="E42" s="378"/>
      <c r="F42" s="827">
        <v>3078.5219532432993</v>
      </c>
      <c r="G42" s="827">
        <v>3175.320706613707</v>
      </c>
      <c r="H42" s="846"/>
      <c r="I42" s="846"/>
      <c r="J42" s="846"/>
      <c r="K42" s="751"/>
      <c r="L42" s="379"/>
      <c r="M42" s="376" t="s">
        <v>12</v>
      </c>
      <c r="N42" s="378"/>
      <c r="O42" s="827">
        <v>3000</v>
      </c>
      <c r="P42" s="828">
        <v>3000</v>
      </c>
      <c r="Q42" s="846"/>
      <c r="R42" s="846"/>
      <c r="S42" s="846"/>
      <c r="T42" s="751"/>
      <c r="U42" s="379"/>
      <c r="V42" s="376" t="s">
        <v>12</v>
      </c>
      <c r="W42" s="378"/>
      <c r="X42" s="887" t="s">
        <v>1296</v>
      </c>
      <c r="Y42" s="888" t="s">
        <v>1296</v>
      </c>
      <c r="Z42" s="846"/>
      <c r="AA42" s="350"/>
      <c r="AB42"/>
      <c r="AE42" s="352"/>
      <c r="AF42" s="359"/>
    </row>
    <row r="43" spans="2:32" s="345" customFormat="1" ht="12.75" x14ac:dyDescent="0.2">
      <c r="B43" s="751"/>
      <c r="C43" s="379"/>
      <c r="D43" s="376" t="s">
        <v>878</v>
      </c>
      <c r="E43" s="378"/>
      <c r="F43" s="827">
        <v>37040.221606628576</v>
      </c>
      <c r="G43" s="828">
        <v>37188.979255066668</v>
      </c>
      <c r="H43" s="846"/>
      <c r="I43" s="846"/>
      <c r="J43" s="846"/>
      <c r="K43" s="751"/>
      <c r="L43" s="379"/>
      <c r="M43" s="376" t="s">
        <v>878</v>
      </c>
      <c r="N43" s="378"/>
      <c r="O43" s="827">
        <v>37000</v>
      </c>
      <c r="P43" s="828">
        <v>37000</v>
      </c>
      <c r="Q43" s="846"/>
      <c r="R43" s="846"/>
      <c r="S43" s="846"/>
      <c r="T43" s="751"/>
      <c r="U43" s="379"/>
      <c r="V43" s="376" t="s">
        <v>878</v>
      </c>
      <c r="W43" s="378"/>
      <c r="X43" s="887" t="s">
        <v>1296</v>
      </c>
      <c r="Y43" s="888" t="s">
        <v>1296</v>
      </c>
      <c r="Z43" s="846"/>
      <c r="AA43" s="350"/>
      <c r="AB43"/>
      <c r="AE43" s="352"/>
      <c r="AF43" s="359"/>
    </row>
    <row r="44" spans="2:32" s="339" customFormat="1" ht="15.75" x14ac:dyDescent="0.2">
      <c r="B44" s="752"/>
      <c r="C44" s="386" t="s">
        <v>707</v>
      </c>
      <c r="D44" s="386"/>
      <c r="E44" s="384"/>
      <c r="F44" s="829">
        <v>592617.11735346261</v>
      </c>
      <c r="G44" s="830">
        <v>731758.25221599825</v>
      </c>
      <c r="H44" s="849">
        <v>2.9894853769546641E-2</v>
      </c>
      <c r="I44" s="849"/>
      <c r="J44" s="849"/>
      <c r="K44" s="752"/>
      <c r="L44" s="386" t="s">
        <v>707</v>
      </c>
      <c r="M44" s="386"/>
      <c r="N44" s="384"/>
      <c r="O44" s="829">
        <v>593000</v>
      </c>
      <c r="P44" s="830">
        <v>732000</v>
      </c>
      <c r="Q44" s="849"/>
      <c r="R44" s="849"/>
      <c r="S44" s="849"/>
      <c r="T44" s="752"/>
      <c r="U44" s="386" t="s">
        <v>707</v>
      </c>
      <c r="V44" s="386"/>
      <c r="W44" s="384"/>
      <c r="X44" s="893">
        <v>0.59299999999999997</v>
      </c>
      <c r="Y44" s="894">
        <v>0.73199999999999998</v>
      </c>
      <c r="Z44" s="849"/>
      <c r="AA44" s="350"/>
      <c r="AB44"/>
      <c r="AE44" s="352"/>
    </row>
    <row r="45" spans="2:32" s="339" customFormat="1" ht="12.75" x14ac:dyDescent="0.2">
      <c r="B45" s="751"/>
      <c r="C45" s="379"/>
      <c r="D45" s="376" t="s">
        <v>930</v>
      </c>
      <c r="E45" s="378"/>
      <c r="F45" s="827">
        <v>541770.95647584868</v>
      </c>
      <c r="G45" s="828">
        <v>675579.35552460991</v>
      </c>
      <c r="H45" s="849"/>
      <c r="I45" s="849"/>
      <c r="J45" s="849"/>
      <c r="K45" s="751"/>
      <c r="L45" s="379"/>
      <c r="M45" s="376" t="s">
        <v>930</v>
      </c>
      <c r="N45" s="378"/>
      <c r="O45" s="827">
        <v>542000</v>
      </c>
      <c r="P45" s="828">
        <v>676000</v>
      </c>
      <c r="Q45" s="849"/>
      <c r="R45" s="849"/>
      <c r="S45" s="849"/>
      <c r="T45" s="751"/>
      <c r="U45" s="379"/>
      <c r="V45" s="376" t="s">
        <v>930</v>
      </c>
      <c r="W45" s="378"/>
      <c r="X45" s="887">
        <v>0.54200000000000004</v>
      </c>
      <c r="Y45" s="888">
        <v>0.67600000000000005</v>
      </c>
      <c r="Z45" s="849"/>
      <c r="AA45" s="350"/>
      <c r="AB45"/>
      <c r="AE45" s="352"/>
    </row>
    <row r="46" spans="2:32" s="339" customFormat="1" ht="12.75" x14ac:dyDescent="0.2">
      <c r="B46" s="751"/>
      <c r="C46" s="379"/>
      <c r="D46" s="376" t="s">
        <v>931</v>
      </c>
      <c r="E46" s="378"/>
      <c r="F46" s="827">
        <v>50846.160877613882</v>
      </c>
      <c r="G46" s="828">
        <v>56178.896691388327</v>
      </c>
      <c r="H46" s="849"/>
      <c r="I46" s="849"/>
      <c r="J46" s="849"/>
      <c r="K46" s="751"/>
      <c r="L46" s="379"/>
      <c r="M46" s="376" t="s">
        <v>931</v>
      </c>
      <c r="N46" s="378"/>
      <c r="O46" s="827">
        <v>51000</v>
      </c>
      <c r="P46" s="828">
        <v>56000</v>
      </c>
      <c r="Q46" s="849"/>
      <c r="R46" s="849"/>
      <c r="S46" s="849"/>
      <c r="T46" s="751"/>
      <c r="U46" s="379"/>
      <c r="V46" s="376" t="s">
        <v>931</v>
      </c>
      <c r="W46" s="378"/>
      <c r="X46" s="887">
        <v>5.0999999999999997E-2</v>
      </c>
      <c r="Y46" s="888">
        <v>5.6000000000000001E-2</v>
      </c>
      <c r="Z46" s="849"/>
      <c r="AA46" s="350"/>
      <c r="AB46"/>
      <c r="AE46" s="352"/>
    </row>
    <row r="47" spans="2:32" s="345" customFormat="1" ht="6" customHeight="1" thickBot="1" x14ac:dyDescent="0.25">
      <c r="B47" s="757"/>
      <c r="C47" s="376"/>
      <c r="D47" s="376"/>
      <c r="E47" s="376"/>
      <c r="F47" s="827"/>
      <c r="G47" s="828"/>
      <c r="H47" s="846"/>
      <c r="I47" s="846"/>
      <c r="J47" s="846"/>
      <c r="K47" s="757"/>
      <c r="L47" s="376"/>
      <c r="M47" s="376"/>
      <c r="N47" s="376"/>
      <c r="O47" s="827"/>
      <c r="P47" s="828"/>
      <c r="Q47" s="846"/>
      <c r="R47" s="846"/>
      <c r="S47" s="846"/>
      <c r="T47" s="757"/>
      <c r="U47" s="376"/>
      <c r="V47" s="376"/>
      <c r="W47" s="376"/>
      <c r="X47" s="887"/>
      <c r="Y47" s="888"/>
      <c r="Z47" s="846"/>
      <c r="AE47" s="352"/>
      <c r="AF47" s="359"/>
    </row>
    <row r="48" spans="2:32" s="319" customFormat="1" ht="18.75" thickTop="1" thickBot="1" x14ac:dyDescent="0.25">
      <c r="B48" s="761" t="s">
        <v>710</v>
      </c>
      <c r="C48" s="762"/>
      <c r="D48" s="762"/>
      <c r="E48" s="762"/>
      <c r="F48" s="838">
        <v>217928.54525733899</v>
      </c>
      <c r="G48" s="839">
        <v>216716.8016784559</v>
      </c>
      <c r="H48" s="847">
        <v>8.8536303840259407E-3</v>
      </c>
      <c r="I48" s="847"/>
      <c r="J48" s="847"/>
      <c r="K48" s="761" t="s">
        <v>710</v>
      </c>
      <c r="L48" s="762"/>
      <c r="M48" s="762"/>
      <c r="N48" s="762"/>
      <c r="O48" s="838">
        <v>218000</v>
      </c>
      <c r="P48" s="839">
        <v>217000</v>
      </c>
      <c r="Q48" s="847"/>
      <c r="R48" s="847"/>
      <c r="S48" s="847"/>
      <c r="T48" s="761" t="s">
        <v>710</v>
      </c>
      <c r="U48" s="762"/>
      <c r="V48" s="762"/>
      <c r="W48" s="762"/>
      <c r="X48" s="902">
        <v>0.218</v>
      </c>
      <c r="Y48" s="903">
        <v>0.217</v>
      </c>
      <c r="Z48" s="847"/>
      <c r="AA48" s="350"/>
      <c r="AB48"/>
      <c r="AC48" s="821"/>
      <c r="AE48" s="353"/>
      <c r="AF48" s="346"/>
    </row>
    <row r="49" spans="2:32" s="345" customFormat="1" ht="12.75" customHeight="1" thickTop="1" x14ac:dyDescent="0.2">
      <c r="B49" s="751"/>
      <c r="C49" s="376"/>
      <c r="D49" s="376" t="s">
        <v>870</v>
      </c>
      <c r="E49" s="378"/>
      <c r="F49" s="827">
        <v>214235.46650713612</v>
      </c>
      <c r="G49" s="828">
        <v>212784.80998784158</v>
      </c>
      <c r="H49" s="846"/>
      <c r="I49" s="846"/>
      <c r="J49" s="846"/>
      <c r="K49" s="751"/>
      <c r="L49" s="376"/>
      <c r="M49" s="376" t="s">
        <v>870</v>
      </c>
      <c r="N49" s="378"/>
      <c r="O49" s="827">
        <v>214000</v>
      </c>
      <c r="P49" s="828">
        <v>213000</v>
      </c>
      <c r="Q49" s="846"/>
      <c r="R49" s="846"/>
      <c r="S49" s="846"/>
      <c r="T49" s="751"/>
      <c r="U49" s="376"/>
      <c r="V49" s="376" t="s">
        <v>870</v>
      </c>
      <c r="W49" s="378"/>
      <c r="X49" s="887">
        <v>0.214</v>
      </c>
      <c r="Y49" s="888">
        <v>0.21299999999999999</v>
      </c>
      <c r="Z49" s="846"/>
      <c r="AA49"/>
      <c r="AB49" s="350"/>
      <c r="AE49" s="353"/>
      <c r="AF49" s="359"/>
    </row>
    <row r="50" spans="2:32" s="345" customFormat="1" ht="15.75" x14ac:dyDescent="0.2">
      <c r="B50" s="751"/>
      <c r="C50" s="376"/>
      <c r="D50" s="376" t="s">
        <v>13</v>
      </c>
      <c r="E50" s="378"/>
      <c r="F50" s="827">
        <v>3693.0787502028761</v>
      </c>
      <c r="G50" s="828">
        <v>3931.9916906143217</v>
      </c>
      <c r="H50" s="846"/>
      <c r="I50" s="846"/>
      <c r="J50" s="846"/>
      <c r="K50" s="751"/>
      <c r="L50" s="376"/>
      <c r="M50" s="376" t="s">
        <v>13</v>
      </c>
      <c r="N50" s="378"/>
      <c r="O50" s="827">
        <v>4000</v>
      </c>
      <c r="P50" s="828">
        <v>4000</v>
      </c>
      <c r="Q50" s="846"/>
      <c r="R50" s="846"/>
      <c r="S50" s="846"/>
      <c r="T50" s="751"/>
      <c r="U50" s="376"/>
      <c r="V50" s="376" t="s">
        <v>13</v>
      </c>
      <c r="W50" s="378"/>
      <c r="X50" s="887" t="s">
        <v>1296</v>
      </c>
      <c r="Y50" s="888" t="s">
        <v>1296</v>
      </c>
      <c r="Z50" s="846"/>
      <c r="AE50" s="360"/>
      <c r="AF50" s="359"/>
    </row>
    <row r="51" spans="2:32" s="345" customFormat="1" ht="6" customHeight="1" thickBot="1" x14ac:dyDescent="0.25">
      <c r="B51" s="757"/>
      <c r="C51" s="376"/>
      <c r="D51" s="376"/>
      <c r="E51" s="376"/>
      <c r="F51" s="827"/>
      <c r="G51" s="828"/>
      <c r="H51" s="846"/>
      <c r="I51" s="846"/>
      <c r="J51" s="846"/>
      <c r="K51" s="757"/>
      <c r="L51" s="376"/>
      <c r="M51" s="376"/>
      <c r="N51" s="376"/>
      <c r="O51" s="827"/>
      <c r="P51" s="828"/>
      <c r="Q51" s="846"/>
      <c r="R51" s="846"/>
      <c r="S51" s="846"/>
      <c r="T51" s="757"/>
      <c r="U51" s="376"/>
      <c r="V51" s="376"/>
      <c r="W51" s="376"/>
      <c r="X51" s="887"/>
      <c r="Y51" s="888"/>
      <c r="Z51" s="846"/>
      <c r="AE51" s="352"/>
      <c r="AF51" s="359"/>
    </row>
    <row r="52" spans="2:32" s="345" customFormat="1" ht="18.75" thickTop="1" thickBot="1" x14ac:dyDescent="0.25">
      <c r="B52" s="765" t="s">
        <v>755</v>
      </c>
      <c r="C52" s="766"/>
      <c r="D52" s="766"/>
      <c r="E52" s="766"/>
      <c r="F52" s="840">
        <v>144507.11507820163</v>
      </c>
      <c r="G52" s="841">
        <v>157511.06932401942</v>
      </c>
      <c r="H52" s="846">
        <v>6.4348715853450511E-3</v>
      </c>
      <c r="I52" s="846"/>
      <c r="J52" s="846"/>
      <c r="K52" s="765" t="s">
        <v>755</v>
      </c>
      <c r="L52" s="766"/>
      <c r="M52" s="766"/>
      <c r="N52" s="766"/>
      <c r="O52" s="840">
        <v>145000</v>
      </c>
      <c r="P52" s="841">
        <v>158000</v>
      </c>
      <c r="Q52" s="846"/>
      <c r="R52" s="846"/>
      <c r="S52" s="846"/>
      <c r="T52" s="765" t="s">
        <v>755</v>
      </c>
      <c r="U52" s="766"/>
      <c r="V52" s="766"/>
      <c r="W52" s="766"/>
      <c r="X52" s="904">
        <v>0.14499999999999999</v>
      </c>
      <c r="Y52" s="905">
        <v>0.158</v>
      </c>
      <c r="Z52" s="846"/>
      <c r="AE52" s="360"/>
      <c r="AF52" s="359"/>
    </row>
    <row r="53" spans="2:32" s="345" customFormat="1" ht="13.5" customHeight="1" thickTop="1" x14ac:dyDescent="0.2">
      <c r="B53" s="751"/>
      <c r="C53" s="376"/>
      <c r="D53" s="376" t="s">
        <v>732</v>
      </c>
      <c r="E53" s="378"/>
      <c r="F53" s="827">
        <v>52395.657299999999</v>
      </c>
      <c r="G53" s="828">
        <v>56590.1578128275</v>
      </c>
      <c r="H53" s="846"/>
      <c r="I53" s="846"/>
      <c r="J53" s="846"/>
      <c r="K53" s="751"/>
      <c r="L53" s="376"/>
      <c r="M53" s="376" t="s">
        <v>732</v>
      </c>
      <c r="N53" s="378"/>
      <c r="O53" s="827">
        <v>52000</v>
      </c>
      <c r="P53" s="828">
        <v>57000</v>
      </c>
      <c r="Q53" s="846"/>
      <c r="R53" s="846"/>
      <c r="S53" s="846"/>
      <c r="T53" s="751"/>
      <c r="U53" s="376"/>
      <c r="V53" s="376" t="s">
        <v>732</v>
      </c>
      <c r="W53" s="378"/>
      <c r="X53" s="887">
        <v>5.1999999999999998E-2</v>
      </c>
      <c r="Y53" s="888">
        <v>5.7000000000000002E-2</v>
      </c>
      <c r="Z53" s="846"/>
      <c r="AE53" s="360"/>
      <c r="AF53" s="359"/>
    </row>
    <row r="54" spans="2:32" s="345" customFormat="1" ht="12.75" customHeight="1" x14ac:dyDescent="0.2">
      <c r="B54" s="751"/>
      <c r="C54" s="376"/>
      <c r="D54" s="376" t="s">
        <v>731</v>
      </c>
      <c r="E54" s="378"/>
      <c r="F54" s="827">
        <v>84659.819800961515</v>
      </c>
      <c r="G54" s="828">
        <v>94432.705838738912</v>
      </c>
      <c r="H54" s="846"/>
      <c r="I54" s="846"/>
      <c r="J54" s="846"/>
      <c r="K54" s="751"/>
      <c r="L54" s="376"/>
      <c r="M54" s="376" t="s">
        <v>731</v>
      </c>
      <c r="N54" s="378"/>
      <c r="O54" s="827">
        <v>85000</v>
      </c>
      <c r="P54" s="828">
        <v>94000</v>
      </c>
      <c r="Q54" s="846"/>
      <c r="R54" s="846"/>
      <c r="S54" s="846"/>
      <c r="T54" s="751"/>
      <c r="U54" s="376"/>
      <c r="V54" s="376" t="s">
        <v>731</v>
      </c>
      <c r="W54" s="378"/>
      <c r="X54" s="887">
        <v>8.5000000000000006E-2</v>
      </c>
      <c r="Y54" s="888">
        <v>9.4E-2</v>
      </c>
      <c r="Z54" s="846"/>
      <c r="AE54" s="360"/>
      <c r="AF54" s="359"/>
    </row>
    <row r="55" spans="2:32" s="345" customFormat="1" ht="12.75" customHeight="1" x14ac:dyDescent="0.2">
      <c r="B55" s="751"/>
      <c r="C55" s="376"/>
      <c r="D55" s="376" t="s">
        <v>850</v>
      </c>
      <c r="E55" s="378"/>
      <c r="F55" s="827">
        <v>7451.6379772401069</v>
      </c>
      <c r="G55" s="828">
        <v>6488.2056724530139</v>
      </c>
      <c r="H55" s="1249">
        <v>2.6506562682052564E-4</v>
      </c>
      <c r="I55" s="846"/>
      <c r="J55" s="846"/>
      <c r="K55" s="751"/>
      <c r="L55" s="376"/>
      <c r="M55" s="376" t="s">
        <v>850</v>
      </c>
      <c r="N55" s="378"/>
      <c r="O55" s="827">
        <v>7000</v>
      </c>
      <c r="P55" s="828">
        <v>6000</v>
      </c>
      <c r="Q55" s="846"/>
      <c r="R55" s="846"/>
      <c r="S55" s="846"/>
      <c r="T55" s="751"/>
      <c r="U55" s="376"/>
      <c r="V55" s="376" t="s">
        <v>850</v>
      </c>
      <c r="W55" s="378"/>
      <c r="X55" s="887" t="s">
        <v>1296</v>
      </c>
      <c r="Y55" s="888" t="s">
        <v>1296</v>
      </c>
      <c r="Z55" s="846"/>
      <c r="AE55" s="360"/>
      <c r="AF55" s="359"/>
    </row>
    <row r="56" spans="2:32" s="345" customFormat="1" ht="6" customHeight="1" thickBot="1" x14ac:dyDescent="0.25">
      <c r="B56" s="757"/>
      <c r="C56" s="376"/>
      <c r="D56" s="376"/>
      <c r="E56" s="376"/>
      <c r="F56" s="827"/>
      <c r="G56" s="828"/>
      <c r="H56" s="846"/>
      <c r="I56" s="846"/>
      <c r="J56" s="846"/>
      <c r="K56" s="757"/>
      <c r="L56" s="376"/>
      <c r="M56" s="376"/>
      <c r="N56" s="376"/>
      <c r="O56" s="827"/>
      <c r="P56" s="828"/>
      <c r="Q56" s="846"/>
      <c r="R56" s="846"/>
      <c r="S56" s="846"/>
      <c r="T56" s="757"/>
      <c r="U56" s="376"/>
      <c r="V56" s="376"/>
      <c r="W56" s="376"/>
      <c r="X56" s="887"/>
      <c r="Y56" s="888"/>
      <c r="Z56" s="846"/>
      <c r="AE56" s="352"/>
      <c r="AF56" s="359"/>
    </row>
    <row r="57" spans="2:32" s="345" customFormat="1" ht="18.75" thickTop="1" thickBot="1" x14ac:dyDescent="0.25">
      <c r="B57" s="763" t="s">
        <v>959</v>
      </c>
      <c r="C57" s="764"/>
      <c r="D57" s="764"/>
      <c r="E57" s="764"/>
      <c r="F57" s="842">
        <v>122780.83821320487</v>
      </c>
      <c r="G57" s="843">
        <v>53277.493728684618</v>
      </c>
      <c r="H57" s="846">
        <v>2.1765697611249206E-3</v>
      </c>
      <c r="I57" s="846"/>
      <c r="J57" s="846"/>
      <c r="K57" s="763" t="s">
        <v>959</v>
      </c>
      <c r="L57" s="764"/>
      <c r="M57" s="764"/>
      <c r="N57" s="764"/>
      <c r="O57" s="842">
        <v>123000</v>
      </c>
      <c r="P57" s="843">
        <v>53000</v>
      </c>
      <c r="Q57" s="846"/>
      <c r="R57" s="846"/>
      <c r="S57" s="846"/>
      <c r="T57" s="763" t="s">
        <v>959</v>
      </c>
      <c r="U57" s="764"/>
      <c r="V57" s="764"/>
      <c r="W57" s="764"/>
      <c r="X57" s="906">
        <v>0.123</v>
      </c>
      <c r="Y57" s="907">
        <v>5.2999999999999999E-2</v>
      </c>
      <c r="Z57" s="846"/>
      <c r="AC57" s="822"/>
      <c r="AE57" s="360"/>
      <c r="AF57" s="359"/>
    </row>
    <row r="58" spans="2:32" s="345" customFormat="1" ht="17.25" thickTop="1" thickBot="1" x14ac:dyDescent="0.25">
      <c r="B58" s="751"/>
      <c r="C58" s="376"/>
      <c r="D58" s="376" t="s">
        <v>958</v>
      </c>
      <c r="E58" s="378"/>
      <c r="F58" s="827">
        <v>122780.83821320487</v>
      </c>
      <c r="G58" s="828">
        <v>53277.493728684618</v>
      </c>
      <c r="H58" s="1249">
        <v>2.1765697611249206E-3</v>
      </c>
      <c r="I58" s="846"/>
      <c r="J58" s="846"/>
      <c r="K58" s="751"/>
      <c r="L58" s="376"/>
      <c r="M58" s="376" t="s">
        <v>958</v>
      </c>
      <c r="N58" s="378"/>
      <c r="O58" s="827">
        <v>123000</v>
      </c>
      <c r="P58" s="828">
        <v>53000</v>
      </c>
      <c r="Q58" s="846"/>
      <c r="R58" s="846"/>
      <c r="S58" s="846"/>
      <c r="T58" s="751"/>
      <c r="U58" s="376"/>
      <c r="V58" s="376" t="s">
        <v>958</v>
      </c>
      <c r="W58" s="378"/>
      <c r="X58" s="887">
        <v>0.123</v>
      </c>
      <c r="Y58" s="888">
        <v>5.2999999999999999E-2</v>
      </c>
      <c r="Z58" s="846"/>
      <c r="AE58" s="360"/>
      <c r="AF58" s="359"/>
    </row>
    <row r="59" spans="2:32" s="345" customFormat="1" ht="18.75" thickTop="1" thickBot="1" x14ac:dyDescent="0.25">
      <c r="B59" s="767" t="s">
        <v>15</v>
      </c>
      <c r="C59" s="768"/>
      <c r="D59" s="768"/>
      <c r="E59" s="768"/>
      <c r="F59" s="844">
        <v>22372022.439044185</v>
      </c>
      <c r="G59" s="845">
        <v>24477733.119451731</v>
      </c>
      <c r="H59" s="846"/>
      <c r="I59" s="846"/>
      <c r="J59" s="846"/>
      <c r="K59" s="767" t="s">
        <v>15</v>
      </c>
      <c r="L59" s="768"/>
      <c r="M59" s="768"/>
      <c r="N59" s="768"/>
      <c r="O59" s="844">
        <v>22372000</v>
      </c>
      <c r="P59" s="845">
        <v>24478000</v>
      </c>
      <c r="Q59" s="846"/>
      <c r="R59" s="846"/>
      <c r="S59" s="846"/>
      <c r="T59" s="767" t="s">
        <v>15</v>
      </c>
      <c r="U59" s="768"/>
      <c r="V59" s="768"/>
      <c r="W59" s="768"/>
      <c r="X59" s="908">
        <v>22.372</v>
      </c>
      <c r="Y59" s="909">
        <v>24.478000000000002</v>
      </c>
      <c r="Z59" s="846"/>
      <c r="AE59" s="352"/>
      <c r="AF59" s="359"/>
    </row>
    <row r="60" spans="2:32" ht="6.75" customHeight="1" thickTop="1" x14ac:dyDescent="0.2">
      <c r="B60" s="865"/>
      <c r="C60" s="863"/>
      <c r="D60" s="863"/>
      <c r="E60" s="863"/>
      <c r="F60" s="864"/>
      <c r="G60" s="865"/>
      <c r="K60" s="865"/>
      <c r="L60" s="863"/>
      <c r="M60" s="863"/>
      <c r="N60" s="863"/>
      <c r="O60" s="864"/>
      <c r="P60" s="865"/>
      <c r="T60" s="865"/>
      <c r="U60" s="863"/>
      <c r="V60" s="863"/>
      <c r="W60" s="863"/>
      <c r="X60" s="864"/>
      <c r="Y60" s="865"/>
      <c r="AE60" s="352"/>
      <c r="AF60" s="5"/>
    </row>
    <row r="61" spans="2:32" s="348" customFormat="1" ht="16.5" customHeight="1" x14ac:dyDescent="0.2">
      <c r="B61" s="865"/>
      <c r="C61" s="865"/>
      <c r="D61" s="865"/>
      <c r="E61" s="865"/>
      <c r="F61" s="866"/>
      <c r="G61" s="866"/>
      <c r="H61" s="847"/>
      <c r="I61" s="847"/>
      <c r="J61" s="847"/>
      <c r="K61" s="865"/>
      <c r="L61" s="865"/>
      <c r="M61" s="865"/>
      <c r="N61" s="865"/>
      <c r="O61" s="866"/>
      <c r="P61" s="866"/>
      <c r="Q61" s="847"/>
      <c r="R61" s="847"/>
      <c r="S61" s="847"/>
      <c r="T61" s="865"/>
      <c r="U61" s="865"/>
      <c r="V61" s="865"/>
      <c r="W61" s="865"/>
      <c r="X61" s="866"/>
      <c r="Y61" s="878"/>
      <c r="Z61" s="847"/>
      <c r="AE61" s="352"/>
      <c r="AF61" s="357"/>
    </row>
    <row r="62" spans="2:32" s="319" customFormat="1" ht="15" customHeight="1" x14ac:dyDescent="0.2">
      <c r="B62" s="861"/>
      <c r="C62" s="861"/>
      <c r="D62" s="413"/>
      <c r="E62" s="861"/>
      <c r="F62" s="837"/>
      <c r="G62" s="837"/>
      <c r="H62" s="850"/>
      <c r="I62" s="850"/>
      <c r="J62" s="850"/>
      <c r="K62" s="861"/>
      <c r="L62" s="861"/>
      <c r="M62" s="413"/>
      <c r="N62" s="861"/>
      <c r="O62" s="837"/>
      <c r="P62" s="837">
        <v>2106000</v>
      </c>
      <c r="Q62" s="850"/>
      <c r="R62" s="850"/>
      <c r="S62" s="850"/>
      <c r="T62" s="861"/>
      <c r="U62" s="861"/>
      <c r="V62" s="413"/>
      <c r="W62" s="861"/>
      <c r="X62" s="837"/>
      <c r="Y62" s="923"/>
      <c r="Z62" s="850"/>
      <c r="AC62" s="203"/>
      <c r="AE62" s="352"/>
      <c r="AF62" s="346"/>
    </row>
    <row r="63" spans="2:32" s="319" customFormat="1" ht="13.5" customHeight="1" x14ac:dyDescent="0.2">
      <c r="B63" s="861"/>
      <c r="C63" s="861"/>
      <c r="D63" s="413"/>
      <c r="E63" s="861"/>
      <c r="F63" s="837"/>
      <c r="G63" s="959">
        <v>1.0941224999279731</v>
      </c>
      <c r="H63" s="850"/>
      <c r="I63" s="850"/>
      <c r="J63" s="850"/>
      <c r="K63" s="861"/>
      <c r="L63" s="861"/>
      <c r="M63" s="413"/>
      <c r="N63" s="861"/>
      <c r="O63" s="837"/>
      <c r="P63" s="959">
        <v>1.094135526551046</v>
      </c>
      <c r="Q63" s="850"/>
      <c r="R63" s="850"/>
      <c r="S63" s="850"/>
      <c r="T63" s="861"/>
      <c r="U63" s="861"/>
      <c r="V63" s="413"/>
      <c r="W63" s="861"/>
      <c r="X63" s="837"/>
      <c r="Y63" s="923"/>
      <c r="Z63" s="850"/>
      <c r="AC63" s="286"/>
      <c r="AE63" s="352"/>
      <c r="AF63" s="346"/>
    </row>
    <row r="64" spans="2:32" s="319" customFormat="1" ht="12.75" customHeight="1" x14ac:dyDescent="0.2">
      <c r="B64" s="861"/>
      <c r="C64" s="861"/>
      <c r="D64" s="413"/>
      <c r="E64" s="861"/>
      <c r="F64" s="837"/>
      <c r="G64" s="837"/>
      <c r="H64" s="850"/>
      <c r="I64" s="850"/>
      <c r="J64" s="850"/>
      <c r="K64" s="861"/>
      <c r="L64" s="861"/>
      <c r="M64" s="413"/>
      <c r="N64" s="861"/>
      <c r="O64" s="837"/>
      <c r="P64" s="1014">
        <v>1.094135526551046</v>
      </c>
      <c r="Q64" s="850"/>
      <c r="R64" s="850"/>
      <c r="S64" s="850"/>
      <c r="T64" s="861"/>
      <c r="U64" s="861"/>
      <c r="V64" s="413"/>
      <c r="W64" s="861"/>
      <c r="X64" s="837"/>
      <c r="Y64" s="923"/>
      <c r="Z64" s="850"/>
      <c r="AC64" s="286"/>
      <c r="AE64" s="352"/>
      <c r="AF64" s="346"/>
    </row>
    <row r="65" spans="2:32" s="319" customFormat="1" ht="15" customHeight="1" x14ac:dyDescent="0.2">
      <c r="B65" s="861"/>
      <c r="C65" s="861"/>
      <c r="D65" s="413"/>
      <c r="E65" s="861"/>
      <c r="F65" s="837"/>
      <c r="G65" s="837"/>
      <c r="H65" s="850"/>
      <c r="I65" s="850"/>
      <c r="J65" s="850"/>
      <c r="K65" s="861"/>
      <c r="L65" s="861"/>
      <c r="M65" s="413"/>
      <c r="N65" s="861"/>
      <c r="O65" s="837"/>
      <c r="P65" s="837"/>
      <c r="Q65" s="850"/>
      <c r="R65" s="850"/>
      <c r="S65" s="850"/>
      <c r="T65" s="861"/>
      <c r="U65" s="861"/>
      <c r="V65" s="413"/>
      <c r="W65" s="861"/>
      <c r="X65" s="837"/>
      <c r="Y65" s="923"/>
      <c r="Z65" s="850"/>
      <c r="AC65" s="286"/>
      <c r="AE65" s="352"/>
      <c r="AF65" s="346"/>
    </row>
    <row r="66" spans="2:32" s="319" customFormat="1" ht="6.75" customHeight="1" x14ac:dyDescent="0.2">
      <c r="B66" s="861"/>
      <c r="C66" s="861"/>
      <c r="D66" s="861"/>
      <c r="E66" s="861"/>
      <c r="F66" s="862"/>
      <c r="G66" s="862"/>
      <c r="H66" s="850"/>
      <c r="I66" s="850"/>
      <c r="J66" s="850"/>
      <c r="K66" s="861"/>
      <c r="L66" s="861"/>
      <c r="M66" s="861"/>
      <c r="N66" s="861"/>
      <c r="O66" s="862"/>
      <c r="P66" s="862"/>
      <c r="Q66" s="850"/>
      <c r="R66" s="850"/>
      <c r="S66" s="850"/>
      <c r="T66" s="861"/>
      <c r="U66" s="861"/>
      <c r="V66" s="861"/>
      <c r="W66" s="861"/>
      <c r="X66" s="862"/>
      <c r="Y66" s="924"/>
      <c r="Z66" s="850"/>
      <c r="AE66" s="352"/>
      <c r="AF66" s="346"/>
    </row>
    <row r="67" spans="2:32" s="348" customFormat="1" ht="16.5" customHeight="1" x14ac:dyDescent="0.2">
      <c r="B67" s="867"/>
      <c r="C67" s="868"/>
      <c r="D67" s="868"/>
      <c r="E67" s="868"/>
      <c r="F67" s="869"/>
      <c r="G67" s="869"/>
      <c r="H67" s="847"/>
      <c r="I67" s="847"/>
      <c r="J67" s="847"/>
      <c r="K67" s="867"/>
      <c r="L67" s="868"/>
      <c r="M67" s="868"/>
      <c r="N67" s="868"/>
      <c r="O67" s="869"/>
      <c r="P67" s="869"/>
      <c r="Q67" s="847"/>
      <c r="R67" s="847"/>
      <c r="S67" s="847"/>
      <c r="T67" s="867"/>
      <c r="U67" s="868"/>
      <c r="V67" s="868"/>
      <c r="W67" s="868"/>
      <c r="X67" s="869"/>
      <c r="Y67" s="879"/>
      <c r="Z67" s="847"/>
      <c r="AE67" s="352"/>
      <c r="AF67" s="357"/>
    </row>
    <row r="68" spans="2:32" ht="13.5" thickBot="1" x14ac:dyDescent="0.25">
      <c r="G68" s="860"/>
      <c r="P68" s="860"/>
      <c r="Y68" s="925"/>
      <c r="AE68" s="351"/>
      <c r="AF68" s="5"/>
    </row>
    <row r="69" spans="2:32" ht="34.5" customHeight="1" thickBot="1" x14ac:dyDescent="0.35">
      <c r="B69" s="1776" t="s">
        <v>24</v>
      </c>
      <c r="C69" s="1777"/>
      <c r="D69" s="1777"/>
      <c r="E69" s="1777"/>
      <c r="F69" s="409">
        <v>2003</v>
      </c>
      <c r="G69" s="746">
        <v>2008</v>
      </c>
      <c r="K69" s="1776" t="s">
        <v>24</v>
      </c>
      <c r="L69" s="1777"/>
      <c r="M69" s="1777"/>
      <c r="N69" s="1777"/>
      <c r="O69" s="409">
        <v>2003</v>
      </c>
      <c r="P69" s="746">
        <v>2008</v>
      </c>
      <c r="T69" s="1776" t="s">
        <v>24</v>
      </c>
      <c r="U69" s="1777"/>
      <c r="V69" s="1777"/>
      <c r="W69" s="1777"/>
      <c r="X69" s="409">
        <v>2003</v>
      </c>
      <c r="Y69" s="926">
        <v>2008</v>
      </c>
      <c r="AE69" s="351"/>
      <c r="AF69" s="5"/>
    </row>
    <row r="70" spans="2:32" ht="6" customHeight="1" thickBot="1" x14ac:dyDescent="0.25">
      <c r="B70" s="401"/>
      <c r="C70" s="402"/>
      <c r="D70" s="403"/>
      <c r="E70" s="403"/>
      <c r="F70" s="404"/>
      <c r="G70" s="758"/>
      <c r="K70" s="401"/>
      <c r="L70" s="402"/>
      <c r="M70" s="403"/>
      <c r="N70" s="403"/>
      <c r="O70" s="404"/>
      <c r="P70" s="758"/>
      <c r="T70" s="401"/>
      <c r="U70" s="402"/>
      <c r="V70" s="403"/>
      <c r="W70" s="403"/>
      <c r="X70" s="404"/>
      <c r="Y70" s="927"/>
      <c r="AE70" s="355"/>
      <c r="AF70" s="5"/>
    </row>
    <row r="71" spans="2:32" ht="18.75" thickTop="1" thickBot="1" x14ac:dyDescent="0.25">
      <c r="B71" s="410" t="s">
        <v>699</v>
      </c>
      <c r="C71" s="411"/>
      <c r="D71" s="411"/>
      <c r="E71" s="411"/>
      <c r="F71" s="412">
        <v>11329727.54526259</v>
      </c>
      <c r="G71" s="749">
        <v>11353735.827275094</v>
      </c>
      <c r="K71" s="410" t="s">
        <v>699</v>
      </c>
      <c r="L71" s="411"/>
      <c r="M71" s="411"/>
      <c r="N71" s="411"/>
      <c r="O71" s="412">
        <v>11330000</v>
      </c>
      <c r="P71" s="749">
        <v>11354000</v>
      </c>
      <c r="T71" s="410" t="s">
        <v>699</v>
      </c>
      <c r="U71" s="411"/>
      <c r="V71" s="411"/>
      <c r="W71" s="411"/>
      <c r="X71" s="412">
        <v>11.33</v>
      </c>
      <c r="Y71" s="890">
        <v>11.353999999999999</v>
      </c>
      <c r="AE71" s="315"/>
      <c r="AF71" s="5"/>
    </row>
    <row r="72" spans="2:32" s="350" customFormat="1" ht="16.5" thickTop="1" x14ac:dyDescent="0.25">
      <c r="B72" s="400"/>
      <c r="C72" s="388" t="s">
        <v>713</v>
      </c>
      <c r="D72" s="389"/>
      <c r="E72" s="390"/>
      <c r="F72" s="391">
        <v>9168576.8379433844</v>
      </c>
      <c r="G72" s="769">
        <v>8867824.3366023097</v>
      </c>
      <c r="H72" s="847"/>
      <c r="I72" s="847"/>
      <c r="J72" s="847"/>
      <c r="K72" s="400"/>
      <c r="L72" s="388" t="s">
        <v>713</v>
      </c>
      <c r="M72" s="389"/>
      <c r="N72" s="390"/>
      <c r="O72" s="391">
        <v>9169000</v>
      </c>
      <c r="P72" s="769">
        <v>8868000</v>
      </c>
      <c r="Q72" s="847"/>
      <c r="R72" s="847"/>
      <c r="S72" s="847"/>
      <c r="T72" s="400"/>
      <c r="U72" s="388" t="s">
        <v>713</v>
      </c>
      <c r="V72" s="389"/>
      <c r="W72" s="390"/>
      <c r="X72" s="391">
        <v>9.1690000000000005</v>
      </c>
      <c r="Y72" s="910">
        <v>8.8680000000000003</v>
      </c>
      <c r="Z72" s="847"/>
      <c r="AE72" s="315"/>
      <c r="AF72" s="361"/>
    </row>
    <row r="73" spans="2:32" s="350" customFormat="1" ht="15.75" x14ac:dyDescent="0.25">
      <c r="B73" s="400"/>
      <c r="C73" s="392" t="s">
        <v>8</v>
      </c>
      <c r="D73" s="393"/>
      <c r="E73" s="393"/>
      <c r="F73" s="394">
        <v>266120.67308702657</v>
      </c>
      <c r="G73" s="770">
        <v>308876.38855566649</v>
      </c>
      <c r="H73" s="847"/>
      <c r="I73" s="847"/>
      <c r="J73" s="847"/>
      <c r="K73" s="400"/>
      <c r="L73" s="392" t="s">
        <v>8</v>
      </c>
      <c r="M73" s="393"/>
      <c r="N73" s="393"/>
      <c r="O73" s="394">
        <v>266000</v>
      </c>
      <c r="P73" s="770">
        <v>309000</v>
      </c>
      <c r="Q73" s="847"/>
      <c r="R73" s="847"/>
      <c r="S73" s="847"/>
      <c r="T73" s="400"/>
      <c r="U73" s="392" t="s">
        <v>8</v>
      </c>
      <c r="V73" s="393"/>
      <c r="W73" s="393"/>
      <c r="X73" s="394">
        <v>0.26600000000000001</v>
      </c>
      <c r="Y73" s="911">
        <v>0.309</v>
      </c>
      <c r="Z73" s="847"/>
      <c r="AE73" s="860"/>
      <c r="AF73" s="361"/>
    </row>
    <row r="74" spans="2:32" s="350" customFormat="1" ht="15.75" x14ac:dyDescent="0.25">
      <c r="B74" s="400"/>
      <c r="C74" s="392" t="s">
        <v>2</v>
      </c>
      <c r="D74" s="393"/>
      <c r="E74" s="393"/>
      <c r="F74" s="394">
        <v>1895030.034232178</v>
      </c>
      <c r="G74" s="770">
        <v>2177035.102117118</v>
      </c>
      <c r="H74" s="847"/>
      <c r="I74" s="847"/>
      <c r="J74" s="847"/>
      <c r="K74" s="400"/>
      <c r="L74" s="392" t="s">
        <v>2</v>
      </c>
      <c r="M74" s="393"/>
      <c r="N74" s="393"/>
      <c r="O74" s="394">
        <v>1895000</v>
      </c>
      <c r="P74" s="770">
        <v>2177000</v>
      </c>
      <c r="Q74" s="847"/>
      <c r="R74" s="847"/>
      <c r="S74" s="847"/>
      <c r="T74" s="400"/>
      <c r="U74" s="392" t="s">
        <v>2</v>
      </c>
      <c r="V74" s="393"/>
      <c r="W74" s="393"/>
      <c r="X74" s="394">
        <v>1.895</v>
      </c>
      <c r="Y74" s="911">
        <v>2.177</v>
      </c>
      <c r="Z74" s="847"/>
      <c r="AC74" s="859"/>
      <c r="AE74" s="315"/>
      <c r="AF74" s="361"/>
    </row>
    <row r="75" spans="2:32" s="350" customFormat="1" ht="6.75" customHeight="1" thickBot="1" x14ac:dyDescent="0.3">
      <c r="B75" s="400"/>
      <c r="C75" s="405"/>
      <c r="D75" s="396"/>
      <c r="E75" s="396"/>
      <c r="F75" s="771"/>
      <c r="G75" s="772"/>
      <c r="H75" s="847"/>
      <c r="I75" s="847"/>
      <c r="J75" s="847"/>
      <c r="K75" s="400"/>
      <c r="L75" s="405"/>
      <c r="M75" s="396"/>
      <c r="N75" s="396"/>
      <c r="O75" s="771"/>
      <c r="P75" s="772"/>
      <c r="Q75" s="847"/>
      <c r="R75" s="847"/>
      <c r="S75" s="847"/>
      <c r="T75" s="400"/>
      <c r="U75" s="405"/>
      <c r="V75" s="396"/>
      <c r="W75" s="396"/>
      <c r="X75" s="771"/>
      <c r="Y75" s="772"/>
      <c r="Z75" s="847"/>
      <c r="AE75" s="315"/>
      <c r="AF75" s="361"/>
    </row>
    <row r="76" spans="2:32" ht="18.75" thickTop="1" thickBot="1" x14ac:dyDescent="0.25">
      <c r="B76" s="399" t="s">
        <v>680</v>
      </c>
      <c r="C76" s="397"/>
      <c r="D76" s="397"/>
      <c r="E76" s="397"/>
      <c r="F76" s="398">
        <v>7342374.0058241235</v>
      </c>
      <c r="G76" s="753">
        <v>8180475.4057288356</v>
      </c>
      <c r="K76" s="399" t="s">
        <v>680</v>
      </c>
      <c r="L76" s="397"/>
      <c r="M76" s="397"/>
      <c r="N76" s="397"/>
      <c r="O76" s="398">
        <v>7343000</v>
      </c>
      <c r="P76" s="753">
        <v>8180000</v>
      </c>
      <c r="T76" s="399" t="s">
        <v>680</v>
      </c>
      <c r="U76" s="397"/>
      <c r="V76" s="397"/>
      <c r="W76" s="397"/>
      <c r="X76" s="398">
        <v>7.343</v>
      </c>
      <c r="Y76" s="898">
        <v>8.18</v>
      </c>
      <c r="AE76" s="356"/>
      <c r="AF76" s="5"/>
    </row>
    <row r="77" spans="2:32" s="350" customFormat="1" ht="16.5" thickTop="1" x14ac:dyDescent="0.25">
      <c r="B77" s="406"/>
      <c r="C77" s="388" t="s">
        <v>29</v>
      </c>
      <c r="D77" s="389"/>
      <c r="E77" s="389"/>
      <c r="F77" s="391">
        <v>3762582.2038882524</v>
      </c>
      <c r="G77" s="769">
        <v>4136066.4948832104</v>
      </c>
      <c r="H77" s="847"/>
      <c r="I77" s="847"/>
      <c r="J77" s="847"/>
      <c r="K77" s="406"/>
      <c r="L77" s="388" t="s">
        <v>29</v>
      </c>
      <c r="M77" s="389"/>
      <c r="N77" s="389"/>
      <c r="O77" s="391">
        <v>3763000</v>
      </c>
      <c r="P77" s="769">
        <v>4136000</v>
      </c>
      <c r="Q77" s="847"/>
      <c r="R77" s="847"/>
      <c r="S77" s="847"/>
      <c r="T77" s="406"/>
      <c r="U77" s="388" t="s">
        <v>29</v>
      </c>
      <c r="V77" s="389"/>
      <c r="W77" s="389"/>
      <c r="X77" s="391">
        <v>3.7629999999999999</v>
      </c>
      <c r="Y77" s="910">
        <v>4.1360000000000001</v>
      </c>
      <c r="Z77" s="847"/>
      <c r="AE77" s="351"/>
      <c r="AF77" s="361"/>
    </row>
    <row r="78" spans="2:32" s="350" customFormat="1" ht="15.75" x14ac:dyDescent="0.25">
      <c r="B78" s="407"/>
      <c r="C78" s="392" t="s">
        <v>30</v>
      </c>
      <c r="D78" s="395"/>
      <c r="E78" s="395"/>
      <c r="F78" s="394">
        <v>3579791.8019358711</v>
      </c>
      <c r="G78" s="770">
        <v>4044408.9108456257</v>
      </c>
      <c r="H78" s="847"/>
      <c r="I78" s="847"/>
      <c r="J78" s="847"/>
      <c r="K78" s="407"/>
      <c r="L78" s="392" t="s">
        <v>30</v>
      </c>
      <c r="M78" s="395"/>
      <c r="N78" s="395"/>
      <c r="O78" s="394">
        <v>3580000</v>
      </c>
      <c r="P78" s="770">
        <v>4044000</v>
      </c>
      <c r="Q78" s="847"/>
      <c r="R78" s="847"/>
      <c r="S78" s="847"/>
      <c r="T78" s="407"/>
      <c r="U78" s="392" t="s">
        <v>30</v>
      </c>
      <c r="V78" s="395"/>
      <c r="W78" s="395"/>
      <c r="X78" s="394">
        <v>3.58</v>
      </c>
      <c r="Y78" s="911">
        <v>4.0439999999999996</v>
      </c>
      <c r="Z78" s="847"/>
      <c r="AE78" s="358"/>
      <c r="AF78" s="361"/>
    </row>
    <row r="79" spans="2:32" s="350" customFormat="1" ht="6.75" customHeight="1" thickBot="1" x14ac:dyDescent="0.3">
      <c r="B79" s="407"/>
      <c r="C79" s="405"/>
      <c r="D79" s="408"/>
      <c r="E79" s="408"/>
      <c r="F79" s="773"/>
      <c r="G79" s="774"/>
      <c r="H79" s="847"/>
      <c r="I79" s="847"/>
      <c r="J79" s="847"/>
      <c r="K79" s="407"/>
      <c r="L79" s="405"/>
      <c r="M79" s="408"/>
      <c r="N79" s="408"/>
      <c r="O79" s="773"/>
      <c r="P79" s="774"/>
      <c r="Q79" s="847"/>
      <c r="R79" s="847"/>
      <c r="S79" s="847"/>
      <c r="T79" s="407"/>
      <c r="U79" s="405"/>
      <c r="V79" s="408"/>
      <c r="W79" s="408"/>
      <c r="X79" s="773"/>
      <c r="Y79" s="772"/>
      <c r="Z79" s="847"/>
      <c r="AE79" s="352"/>
      <c r="AF79" s="361"/>
    </row>
    <row r="80" spans="2:32" ht="18.75" thickTop="1" thickBot="1" x14ac:dyDescent="0.25">
      <c r="B80" s="759" t="s">
        <v>871</v>
      </c>
      <c r="C80" s="760"/>
      <c r="D80" s="760"/>
      <c r="E80" s="760"/>
      <c r="F80" s="775">
        <v>3214704.3894087281</v>
      </c>
      <c r="G80" s="776">
        <v>4516016.5217166375</v>
      </c>
      <c r="K80" s="759" t="s">
        <v>871</v>
      </c>
      <c r="L80" s="760"/>
      <c r="M80" s="760"/>
      <c r="N80" s="760"/>
      <c r="O80" s="775">
        <v>3215000</v>
      </c>
      <c r="P80" s="776">
        <v>4516000</v>
      </c>
      <c r="T80" s="759" t="s">
        <v>871</v>
      </c>
      <c r="U80" s="760"/>
      <c r="V80" s="760"/>
      <c r="W80" s="760"/>
      <c r="X80" s="775">
        <v>3.2149999999999999</v>
      </c>
      <c r="Y80" s="900">
        <v>4.516</v>
      </c>
      <c r="AE80" s="360"/>
      <c r="AF80" s="5"/>
    </row>
    <row r="81" spans="2:32" s="338" customFormat="1" ht="16.5" thickTop="1" x14ac:dyDescent="0.2">
      <c r="B81" s="406"/>
      <c r="C81" s="389" t="s">
        <v>876</v>
      </c>
      <c r="D81" s="389"/>
      <c r="E81" s="389"/>
      <c r="F81" s="391">
        <v>2170588.037865777</v>
      </c>
      <c r="G81" s="769">
        <v>3349250.4500484993</v>
      </c>
      <c r="H81" s="848"/>
      <c r="I81" s="848"/>
      <c r="J81" s="848"/>
      <c r="K81" s="406"/>
      <c r="L81" s="389" t="s">
        <v>876</v>
      </c>
      <c r="M81" s="389"/>
      <c r="N81" s="389"/>
      <c r="O81" s="391">
        <v>2171000</v>
      </c>
      <c r="P81" s="769">
        <v>3349000</v>
      </c>
      <c r="Q81" s="848"/>
      <c r="R81" s="848"/>
      <c r="S81" s="848"/>
      <c r="T81" s="406"/>
      <c r="U81" s="389" t="s">
        <v>876</v>
      </c>
      <c r="V81" s="389"/>
      <c r="W81" s="389"/>
      <c r="X81" s="391">
        <v>2.1709999999999998</v>
      </c>
      <c r="Y81" s="910">
        <v>3.3490000000000002</v>
      </c>
      <c r="Z81" s="848"/>
    </row>
    <row r="82" spans="2:32" s="338" customFormat="1" ht="15.75" x14ac:dyDescent="0.2">
      <c r="B82" s="406"/>
      <c r="C82" s="395" t="s">
        <v>877</v>
      </c>
      <c r="D82" s="395"/>
      <c r="E82" s="395"/>
      <c r="F82" s="394">
        <v>451499.23418948852</v>
      </c>
      <c r="G82" s="770">
        <v>435007.8194521399</v>
      </c>
      <c r="H82" s="848"/>
      <c r="I82" s="848"/>
      <c r="J82" s="848"/>
      <c r="K82" s="406"/>
      <c r="L82" s="395" t="s">
        <v>877</v>
      </c>
      <c r="M82" s="395"/>
      <c r="N82" s="395"/>
      <c r="O82" s="394">
        <v>451000</v>
      </c>
      <c r="P82" s="770">
        <v>435000</v>
      </c>
      <c r="Q82" s="848"/>
      <c r="R82" s="848"/>
      <c r="S82" s="848"/>
      <c r="T82" s="406"/>
      <c r="U82" s="395" t="s">
        <v>877</v>
      </c>
      <c r="V82" s="395"/>
      <c r="W82" s="395"/>
      <c r="X82" s="394">
        <v>0.45100000000000001</v>
      </c>
      <c r="Y82" s="911">
        <v>0.435</v>
      </c>
      <c r="Z82" s="848"/>
    </row>
    <row r="83" spans="2:32" s="338" customFormat="1" ht="15.75" x14ac:dyDescent="0.2">
      <c r="B83" s="406"/>
      <c r="C83" s="395" t="s">
        <v>707</v>
      </c>
      <c r="D83" s="395"/>
      <c r="E83" s="395"/>
      <c r="F83" s="394">
        <v>592617.11735346261</v>
      </c>
      <c r="G83" s="770">
        <v>731758.25221599825</v>
      </c>
      <c r="H83" s="848"/>
      <c r="I83" s="848"/>
      <c r="J83" s="848"/>
      <c r="K83" s="406"/>
      <c r="L83" s="395" t="s">
        <v>707</v>
      </c>
      <c r="M83" s="395"/>
      <c r="N83" s="395"/>
      <c r="O83" s="394">
        <v>593000</v>
      </c>
      <c r="P83" s="770">
        <v>732000</v>
      </c>
      <c r="Q83" s="848"/>
      <c r="R83" s="848"/>
      <c r="S83" s="848"/>
      <c r="T83" s="406"/>
      <c r="U83" s="395" t="s">
        <v>707</v>
      </c>
      <c r="V83" s="395"/>
      <c r="W83" s="395"/>
      <c r="X83" s="394">
        <v>0.59299999999999997</v>
      </c>
      <c r="Y83" s="911">
        <v>0.73199999999999998</v>
      </c>
      <c r="Z83" s="848"/>
    </row>
    <row r="84" spans="2:32" s="350" customFormat="1" ht="6.75" customHeight="1" thickBot="1" x14ac:dyDescent="0.3">
      <c r="B84" s="407"/>
      <c r="C84" s="405"/>
      <c r="D84" s="408"/>
      <c r="E84" s="408"/>
      <c r="F84" s="773"/>
      <c r="G84" s="774"/>
      <c r="H84" s="847"/>
      <c r="I84" s="847"/>
      <c r="J84" s="847"/>
      <c r="K84" s="407"/>
      <c r="L84" s="405"/>
      <c r="M84" s="408"/>
      <c r="N84" s="408"/>
      <c r="O84" s="773"/>
      <c r="P84" s="774"/>
      <c r="Q84" s="847"/>
      <c r="R84" s="847"/>
      <c r="S84" s="847"/>
      <c r="T84" s="407"/>
      <c r="U84" s="405"/>
      <c r="V84" s="408"/>
      <c r="W84" s="408"/>
      <c r="X84" s="773"/>
      <c r="Y84" s="772"/>
      <c r="Z84" s="847"/>
      <c r="AE84" s="352"/>
      <c r="AF84" s="361"/>
    </row>
    <row r="85" spans="2:32" s="338" customFormat="1" ht="18.75" thickTop="1" thickBot="1" x14ac:dyDescent="0.25">
      <c r="B85" s="761" t="s">
        <v>710</v>
      </c>
      <c r="C85" s="762"/>
      <c r="D85" s="762"/>
      <c r="E85" s="762"/>
      <c r="F85" s="777">
        <v>217928.54525733899</v>
      </c>
      <c r="G85" s="778">
        <v>216716.8016784559</v>
      </c>
      <c r="H85" s="858"/>
      <c r="I85" s="858"/>
      <c r="J85" s="858"/>
      <c r="K85" s="761" t="s">
        <v>710</v>
      </c>
      <c r="L85" s="762"/>
      <c r="M85" s="762"/>
      <c r="N85" s="762"/>
      <c r="O85" s="777">
        <v>218000</v>
      </c>
      <c r="P85" s="778">
        <v>217000</v>
      </c>
      <c r="Q85" s="858"/>
      <c r="R85" s="858"/>
      <c r="S85" s="858"/>
      <c r="T85" s="761" t="s">
        <v>710</v>
      </c>
      <c r="U85" s="762"/>
      <c r="V85" s="762"/>
      <c r="W85" s="762"/>
      <c r="X85" s="777">
        <v>0.218</v>
      </c>
      <c r="Y85" s="912">
        <v>0.217</v>
      </c>
      <c r="Z85" s="858"/>
    </row>
    <row r="86" spans="2:32" s="350" customFormat="1" ht="6.75" customHeight="1" thickTop="1" thickBot="1" x14ac:dyDescent="0.3">
      <c r="B86" s="407"/>
      <c r="C86" s="405"/>
      <c r="D86" s="408"/>
      <c r="E86" s="408"/>
      <c r="F86" s="773"/>
      <c r="G86" s="774"/>
      <c r="H86" s="847"/>
      <c r="I86" s="847"/>
      <c r="J86" s="847"/>
      <c r="K86" s="407"/>
      <c r="L86" s="405"/>
      <c r="M86" s="408"/>
      <c r="N86" s="408"/>
      <c r="O86" s="773"/>
      <c r="P86" s="774"/>
      <c r="Q86" s="847"/>
      <c r="R86" s="847"/>
      <c r="S86" s="847"/>
      <c r="T86" s="407"/>
      <c r="U86" s="405"/>
      <c r="V86" s="408"/>
      <c r="W86" s="408"/>
      <c r="X86" s="773"/>
      <c r="Y86" s="772"/>
      <c r="Z86" s="847"/>
      <c r="AE86" s="352"/>
      <c r="AF86" s="361"/>
    </row>
    <row r="87" spans="2:32" s="338" customFormat="1" ht="18.75" thickTop="1" thickBot="1" x14ac:dyDescent="0.25">
      <c r="B87" s="765" t="s">
        <v>755</v>
      </c>
      <c r="C87" s="766"/>
      <c r="D87" s="766"/>
      <c r="E87" s="766"/>
      <c r="F87" s="779">
        <v>144507.11507820163</v>
      </c>
      <c r="G87" s="780">
        <v>157511.06932401942</v>
      </c>
      <c r="H87" s="848"/>
      <c r="I87" s="848"/>
      <c r="J87" s="848"/>
      <c r="K87" s="765" t="s">
        <v>755</v>
      </c>
      <c r="L87" s="766"/>
      <c r="M87" s="766"/>
      <c r="N87" s="766"/>
      <c r="O87" s="779">
        <v>145000</v>
      </c>
      <c r="P87" s="780">
        <v>158000</v>
      </c>
      <c r="Q87" s="848"/>
      <c r="R87" s="848"/>
      <c r="S87" s="848"/>
      <c r="T87" s="765" t="s">
        <v>755</v>
      </c>
      <c r="U87" s="766"/>
      <c r="V87" s="766"/>
      <c r="W87" s="766"/>
      <c r="X87" s="779">
        <v>0.14499999999999999</v>
      </c>
      <c r="Y87" s="913">
        <v>0.158</v>
      </c>
      <c r="Z87" s="848"/>
    </row>
    <row r="88" spans="2:32" s="350" customFormat="1" ht="6.75" customHeight="1" thickTop="1" thickBot="1" x14ac:dyDescent="0.3">
      <c r="B88" s="407"/>
      <c r="C88" s="405"/>
      <c r="D88" s="408"/>
      <c r="E88" s="408"/>
      <c r="F88" s="773"/>
      <c r="G88" s="774"/>
      <c r="H88" s="847"/>
      <c r="I88" s="847"/>
      <c r="J88" s="847"/>
      <c r="K88" s="407"/>
      <c r="L88" s="405"/>
      <c r="M88" s="408"/>
      <c r="N88" s="408"/>
      <c r="O88" s="773"/>
      <c r="P88" s="774"/>
      <c r="Q88" s="847"/>
      <c r="R88" s="847"/>
      <c r="S88" s="847"/>
      <c r="T88" s="407"/>
      <c r="U88" s="405"/>
      <c r="V88" s="408"/>
      <c r="W88" s="408"/>
      <c r="X88" s="773"/>
      <c r="Y88" s="772"/>
      <c r="Z88" s="847"/>
      <c r="AE88" s="352"/>
      <c r="AF88" s="361"/>
    </row>
    <row r="89" spans="2:32" s="338" customFormat="1" ht="18.75" thickTop="1" thickBot="1" x14ac:dyDescent="0.25">
      <c r="B89" s="763" t="s">
        <v>959</v>
      </c>
      <c r="C89" s="764"/>
      <c r="D89" s="764"/>
      <c r="E89" s="764"/>
      <c r="F89" s="781">
        <v>122780.83821320487</v>
      </c>
      <c r="G89" s="782">
        <v>53277.493728684618</v>
      </c>
      <c r="H89" s="848"/>
      <c r="I89" s="848"/>
      <c r="J89" s="848"/>
      <c r="K89" s="763" t="s">
        <v>959</v>
      </c>
      <c r="L89" s="764"/>
      <c r="M89" s="764"/>
      <c r="N89" s="764"/>
      <c r="O89" s="781">
        <v>123000</v>
      </c>
      <c r="P89" s="782">
        <v>53000</v>
      </c>
      <c r="Q89" s="848"/>
      <c r="R89" s="848"/>
      <c r="S89" s="848"/>
      <c r="T89" s="763" t="s">
        <v>959</v>
      </c>
      <c r="U89" s="764"/>
      <c r="V89" s="764"/>
      <c r="W89" s="764"/>
      <c r="X89" s="781">
        <v>0.123</v>
      </c>
      <c r="Y89" s="914">
        <v>5.2999999999999999E-2</v>
      </c>
      <c r="Z89" s="848"/>
    </row>
    <row r="90" spans="2:32" s="338" customFormat="1" ht="6.75" customHeight="1" thickTop="1" thickBot="1" x14ac:dyDescent="0.25">
      <c r="B90" s="406"/>
      <c r="C90" s="408"/>
      <c r="D90" s="408"/>
      <c r="E90" s="408"/>
      <c r="F90" s="773"/>
      <c r="G90" s="774"/>
      <c r="H90" s="848"/>
      <c r="I90" s="848"/>
      <c r="J90" s="848"/>
      <c r="K90" s="406"/>
      <c r="L90" s="408"/>
      <c r="M90" s="408"/>
      <c r="N90" s="408"/>
      <c r="O90" s="773"/>
      <c r="P90" s="774"/>
      <c r="Q90" s="848"/>
      <c r="R90" s="848"/>
      <c r="S90" s="848"/>
      <c r="T90" s="406"/>
      <c r="U90" s="408"/>
      <c r="V90" s="408"/>
      <c r="W90" s="408"/>
      <c r="X90" s="773"/>
      <c r="Y90" s="772"/>
      <c r="Z90" s="848"/>
    </row>
    <row r="91" spans="2:32" s="338" customFormat="1" ht="18" thickTop="1" x14ac:dyDescent="0.2">
      <c r="B91" s="873" t="s">
        <v>15</v>
      </c>
      <c r="C91" s="874"/>
      <c r="D91" s="874"/>
      <c r="E91" s="874"/>
      <c r="F91" s="875">
        <v>22372022.439044185</v>
      </c>
      <c r="G91" s="876">
        <v>24477733.119451731</v>
      </c>
      <c r="H91" s="848"/>
      <c r="I91" s="848"/>
      <c r="J91" s="848"/>
      <c r="K91" s="873" t="s">
        <v>15</v>
      </c>
      <c r="L91" s="874"/>
      <c r="M91" s="874"/>
      <c r="N91" s="874"/>
      <c r="O91" s="875">
        <v>22374000</v>
      </c>
      <c r="P91" s="876">
        <v>24478000</v>
      </c>
      <c r="Q91" s="848"/>
      <c r="R91" s="848"/>
      <c r="S91" s="848"/>
      <c r="T91" s="873" t="s">
        <v>15</v>
      </c>
      <c r="U91" s="874"/>
      <c r="V91" s="874"/>
      <c r="W91" s="874"/>
      <c r="X91" s="875">
        <v>22.374000000000002</v>
      </c>
      <c r="Y91" s="915">
        <v>24.478000000000002</v>
      </c>
      <c r="Z91" s="848"/>
    </row>
    <row r="92" spans="2:32" s="350" customFormat="1" ht="6.75" customHeight="1" x14ac:dyDescent="0.25">
      <c r="B92" s="877"/>
      <c r="C92" s="870"/>
      <c r="D92" s="871"/>
      <c r="E92" s="871"/>
      <c r="F92" s="872"/>
      <c r="G92" s="872"/>
      <c r="H92" s="847"/>
      <c r="I92" s="847"/>
      <c r="J92" s="847"/>
      <c r="K92" s="877"/>
      <c r="L92" s="870"/>
      <c r="M92" s="871"/>
      <c r="N92" s="871"/>
      <c r="O92" s="872"/>
      <c r="P92" s="872"/>
      <c r="Q92" s="847"/>
      <c r="R92" s="847"/>
      <c r="S92" s="847"/>
      <c r="T92" s="877"/>
      <c r="U92" s="870"/>
      <c r="V92" s="871"/>
      <c r="W92" s="871"/>
      <c r="X92" s="872"/>
      <c r="Y92" s="872"/>
      <c r="Z92" s="847"/>
      <c r="AE92" s="352"/>
      <c r="AF92" s="361"/>
    </row>
    <row r="93" spans="2:32" s="338" customFormat="1" ht="17.25" x14ac:dyDescent="0.2">
      <c r="B93" s="865"/>
      <c r="C93" s="865"/>
      <c r="D93" s="865"/>
      <c r="E93" s="865"/>
      <c r="F93" s="878"/>
      <c r="G93" s="878"/>
      <c r="H93" s="848"/>
      <c r="I93" s="848"/>
      <c r="J93" s="848"/>
      <c r="K93" s="865"/>
      <c r="L93" s="865"/>
      <c r="M93" s="865"/>
      <c r="N93" s="865"/>
      <c r="O93" s="878"/>
      <c r="P93" s="878"/>
      <c r="Q93" s="848"/>
      <c r="R93" s="848"/>
      <c r="S93" s="848"/>
      <c r="T93" s="865"/>
      <c r="U93" s="865"/>
      <c r="V93" s="865"/>
      <c r="W93" s="865"/>
      <c r="X93" s="878"/>
      <c r="Y93" s="878"/>
      <c r="Z93" s="848"/>
    </row>
    <row r="94" spans="2:32" s="338" customFormat="1" ht="6.75" customHeight="1" x14ac:dyDescent="0.2">
      <c r="B94" s="871"/>
      <c r="C94" s="871"/>
      <c r="D94" s="871"/>
      <c r="E94" s="871"/>
      <c r="F94" s="872"/>
      <c r="G94" s="872"/>
      <c r="H94" s="848"/>
      <c r="I94" s="848"/>
      <c r="J94" s="848"/>
      <c r="K94" s="871"/>
      <c r="L94" s="871"/>
      <c r="M94" s="871"/>
      <c r="N94" s="871"/>
      <c r="O94" s="872"/>
      <c r="P94" s="872"/>
      <c r="Q94" s="848"/>
      <c r="R94" s="848"/>
      <c r="S94" s="848"/>
      <c r="T94" s="871"/>
      <c r="U94" s="871"/>
      <c r="V94" s="871"/>
      <c r="W94" s="871"/>
      <c r="X94" s="872"/>
      <c r="Y94" s="872"/>
      <c r="Z94" s="848"/>
    </row>
    <row r="95" spans="2:32" s="338" customFormat="1" ht="17.25" x14ac:dyDescent="0.2">
      <c r="B95" s="867"/>
      <c r="C95" s="868"/>
      <c r="D95" s="868"/>
      <c r="E95" s="868"/>
      <c r="F95" s="879"/>
      <c r="G95" s="879"/>
      <c r="H95" s="848"/>
      <c r="I95" s="848"/>
      <c r="J95" s="848"/>
      <c r="K95" s="867"/>
      <c r="L95" s="868"/>
      <c r="M95" s="868"/>
      <c r="N95" s="868"/>
      <c r="O95" s="879"/>
      <c r="P95" s="879"/>
      <c r="Q95" s="848"/>
      <c r="R95" s="848"/>
      <c r="S95" s="848"/>
      <c r="T95" s="867"/>
      <c r="U95" s="868"/>
      <c r="V95" s="868"/>
      <c r="W95" s="868"/>
      <c r="X95" s="879"/>
      <c r="Y95" s="879"/>
      <c r="Z95" s="848"/>
    </row>
    <row r="96" spans="2:32" ht="17.25" customHeight="1" thickBot="1" x14ac:dyDescent="0.25">
      <c r="AE96" s="5"/>
      <c r="AF96" s="5"/>
    </row>
    <row r="97" spans="2:32" ht="34.5" customHeight="1" thickBot="1" x14ac:dyDescent="0.35">
      <c r="B97" s="1776" t="s">
        <v>925</v>
      </c>
      <c r="C97" s="1777"/>
      <c r="D97" s="1777"/>
      <c r="E97" s="1777"/>
      <c r="F97" s="409">
        <v>2003</v>
      </c>
      <c r="G97" s="746">
        <v>2008</v>
      </c>
      <c r="K97" s="1776" t="s">
        <v>925</v>
      </c>
      <c r="L97" s="1777"/>
      <c r="M97" s="1777"/>
      <c r="N97" s="1777"/>
      <c r="O97" s="409">
        <v>2003</v>
      </c>
      <c r="P97" s="746">
        <v>2008</v>
      </c>
      <c r="T97" s="1776" t="s">
        <v>925</v>
      </c>
      <c r="U97" s="1777"/>
      <c r="V97" s="1777"/>
      <c r="W97" s="1777"/>
      <c r="X97" s="409">
        <v>2003</v>
      </c>
      <c r="Y97" s="746">
        <v>2008</v>
      </c>
      <c r="AE97" s="351"/>
      <c r="AF97" s="5"/>
    </row>
    <row r="98" spans="2:32" ht="6" customHeight="1" thickBot="1" x14ac:dyDescent="0.25">
      <c r="B98" s="401"/>
      <c r="C98" s="402"/>
      <c r="D98" s="403"/>
      <c r="E98" s="403"/>
      <c r="F98" s="404"/>
      <c r="G98" s="758"/>
      <c r="K98" s="401"/>
      <c r="L98" s="402"/>
      <c r="M98" s="403"/>
      <c r="N98" s="403"/>
      <c r="O98" s="404"/>
      <c r="P98" s="758"/>
      <c r="T98" s="401"/>
      <c r="U98" s="402"/>
      <c r="V98" s="403"/>
      <c r="W98" s="403"/>
      <c r="X98" s="404"/>
      <c r="Y98" s="758"/>
      <c r="AE98" s="355"/>
      <c r="AF98" s="5"/>
    </row>
    <row r="99" spans="2:32" ht="18.75" thickTop="1" thickBot="1" x14ac:dyDescent="0.25">
      <c r="B99" s="410" t="s">
        <v>699</v>
      </c>
      <c r="C99" s="411"/>
      <c r="D99" s="411"/>
      <c r="E99" s="411"/>
      <c r="F99" s="783">
        <v>6.4018693824859119</v>
      </c>
      <c r="G99" s="784">
        <v>6.025625066883709</v>
      </c>
      <c r="K99" s="410" t="s">
        <v>699</v>
      </c>
      <c r="L99" s="411"/>
      <c r="M99" s="411"/>
      <c r="N99" s="411"/>
      <c r="O99" s="783">
        <v>6.4020233331996046</v>
      </c>
      <c r="P99" s="784">
        <v>6.0257652679432896</v>
      </c>
      <c r="T99" s="410" t="s">
        <v>699</v>
      </c>
      <c r="U99" s="411"/>
      <c r="V99" s="411"/>
      <c r="W99" s="411"/>
      <c r="X99" s="783">
        <v>6.4020233331996047E-6</v>
      </c>
      <c r="Y99" s="784">
        <v>6.0257652679432892E-6</v>
      </c>
      <c r="AE99" s="315"/>
      <c r="AF99" s="5"/>
    </row>
    <row r="100" spans="2:32" s="350" customFormat="1" ht="16.5" thickTop="1" x14ac:dyDescent="0.25">
      <c r="B100" s="400"/>
      <c r="C100" s="388" t="s">
        <v>713</v>
      </c>
      <c r="D100" s="389"/>
      <c r="E100" s="390"/>
      <c r="F100" s="785">
        <v>5.1807098719105911</v>
      </c>
      <c r="G100" s="786">
        <v>4.7063086039915838</v>
      </c>
      <c r="H100" s="847"/>
      <c r="I100" s="847"/>
      <c r="J100" s="847"/>
      <c r="K100" s="400"/>
      <c r="L100" s="388" t="s">
        <v>713</v>
      </c>
      <c r="M100" s="389"/>
      <c r="N100" s="390"/>
      <c r="O100" s="785">
        <v>5.1809489798858941</v>
      </c>
      <c r="P100" s="786">
        <v>4.7064018316118634</v>
      </c>
      <c r="Q100" s="847"/>
      <c r="R100" s="847"/>
      <c r="S100" s="847"/>
      <c r="T100" s="400"/>
      <c r="U100" s="388" t="s">
        <v>713</v>
      </c>
      <c r="V100" s="389"/>
      <c r="W100" s="390"/>
      <c r="X100" s="785">
        <v>5.1809489798858937E-6</v>
      </c>
      <c r="Y100" s="786">
        <v>4.7064018316118635E-6</v>
      </c>
      <c r="Z100" s="847"/>
      <c r="AE100" s="315"/>
      <c r="AF100" s="361"/>
    </row>
    <row r="101" spans="2:32" s="350" customFormat="1" ht="15.75" x14ac:dyDescent="0.25">
      <c r="B101" s="400"/>
      <c r="C101" s="392" t="s">
        <v>8</v>
      </c>
      <c r="D101" s="393"/>
      <c r="E101" s="393"/>
      <c r="F101" s="787">
        <v>0.1503716468270016</v>
      </c>
      <c r="G101" s="788">
        <v>0.16392607136220638</v>
      </c>
      <c r="H101" s="847"/>
      <c r="I101" s="847"/>
      <c r="J101" s="847"/>
      <c r="K101" s="400"/>
      <c r="L101" s="392" t="s">
        <v>8</v>
      </c>
      <c r="M101" s="393"/>
      <c r="N101" s="393"/>
      <c r="O101" s="787">
        <v>0.1503034604263985</v>
      </c>
      <c r="P101" s="788">
        <v>0.16399167410555546</v>
      </c>
      <c r="Q101" s="847"/>
      <c r="R101" s="847"/>
      <c r="S101" s="847"/>
      <c r="T101" s="400"/>
      <c r="U101" s="392" t="s">
        <v>8</v>
      </c>
      <c r="V101" s="393"/>
      <c r="W101" s="393"/>
      <c r="X101" s="787">
        <v>1.503034604263985E-7</v>
      </c>
      <c r="Y101" s="788">
        <v>1.6399167410555543E-7</v>
      </c>
      <c r="Z101" s="847"/>
      <c r="AE101" s="315"/>
      <c r="AF101" s="361"/>
    </row>
    <row r="102" spans="2:32" s="350" customFormat="1" ht="15.75" x14ac:dyDescent="0.25">
      <c r="B102" s="400"/>
      <c r="C102" s="392" t="s">
        <v>2</v>
      </c>
      <c r="D102" s="393"/>
      <c r="E102" s="393"/>
      <c r="F102" s="787">
        <v>1.0707878637483186</v>
      </c>
      <c r="G102" s="788">
        <v>1.1553903915299191</v>
      </c>
      <c r="H102" s="847"/>
      <c r="I102" s="847"/>
      <c r="J102" s="847"/>
      <c r="K102" s="400"/>
      <c r="L102" s="392" t="s">
        <v>2</v>
      </c>
      <c r="M102" s="393"/>
      <c r="N102" s="393"/>
      <c r="O102" s="787">
        <v>1.0707708928873125</v>
      </c>
      <c r="P102" s="788">
        <v>1.1553717622258712</v>
      </c>
      <c r="Q102" s="847"/>
      <c r="R102" s="847"/>
      <c r="S102" s="847"/>
      <c r="T102" s="400"/>
      <c r="U102" s="392" t="s">
        <v>2</v>
      </c>
      <c r="V102" s="393"/>
      <c r="W102" s="393"/>
      <c r="X102" s="787">
        <v>1.0707708928873126E-6</v>
      </c>
      <c r="Y102" s="788">
        <v>1.1553717622258713E-6</v>
      </c>
      <c r="Z102" s="847"/>
      <c r="AE102" s="315"/>
      <c r="AF102" s="361"/>
    </row>
    <row r="103" spans="2:32" s="350" customFormat="1" ht="6.75" customHeight="1" thickBot="1" x14ac:dyDescent="0.3">
      <c r="B103" s="400"/>
      <c r="C103" s="405"/>
      <c r="D103" s="396"/>
      <c r="E103" s="396"/>
      <c r="F103" s="789"/>
      <c r="G103" s="790"/>
      <c r="H103" s="847"/>
      <c r="I103" s="847"/>
      <c r="J103" s="847"/>
      <c r="K103" s="400"/>
      <c r="L103" s="405"/>
      <c r="M103" s="396"/>
      <c r="N103" s="396"/>
      <c r="O103" s="789"/>
      <c r="P103" s="790"/>
      <c r="Q103" s="847"/>
      <c r="R103" s="847"/>
      <c r="S103" s="847"/>
      <c r="T103" s="400"/>
      <c r="U103" s="405"/>
      <c r="V103" s="396"/>
      <c r="W103" s="396"/>
      <c r="X103" s="789"/>
      <c r="Y103" s="790"/>
      <c r="Z103" s="847"/>
      <c r="AE103" s="315"/>
      <c r="AF103" s="361"/>
    </row>
    <row r="104" spans="2:32" ht="18.75" thickTop="1" thickBot="1" x14ac:dyDescent="0.25">
      <c r="B104" s="399" t="s">
        <v>680</v>
      </c>
      <c r="C104" s="397"/>
      <c r="D104" s="397"/>
      <c r="E104" s="397"/>
      <c r="F104" s="791">
        <v>4.148812860226327</v>
      </c>
      <c r="G104" s="792">
        <v>4.3415205720543515</v>
      </c>
      <c r="K104" s="399" t="s">
        <v>680</v>
      </c>
      <c r="L104" s="397"/>
      <c r="M104" s="397"/>
      <c r="N104" s="397"/>
      <c r="O104" s="791">
        <v>4.1491665786129479</v>
      </c>
      <c r="P104" s="792">
        <v>4.3412682659658364</v>
      </c>
      <c r="T104" s="399" t="s">
        <v>680</v>
      </c>
      <c r="U104" s="397"/>
      <c r="V104" s="397"/>
      <c r="W104" s="397"/>
      <c r="X104" s="791">
        <v>4.1491665786129475E-6</v>
      </c>
      <c r="Y104" s="792">
        <v>4.3412682659658368E-6</v>
      </c>
      <c r="AE104" s="356"/>
      <c r="AF104" s="5"/>
    </row>
    <row r="105" spans="2:32" s="350" customFormat="1" ht="16.5" thickTop="1" x14ac:dyDescent="0.25">
      <c r="B105" s="406"/>
      <c r="C105" s="388" t="s">
        <v>29</v>
      </c>
      <c r="D105" s="389"/>
      <c r="E105" s="389"/>
      <c r="F105" s="785">
        <v>2.1260493435458239</v>
      </c>
      <c r="G105" s="786">
        <v>2.1950824230025709</v>
      </c>
      <c r="H105" s="847"/>
      <c r="I105" s="847"/>
      <c r="J105" s="847"/>
      <c r="K105" s="406"/>
      <c r="L105" s="388" t="s">
        <v>29</v>
      </c>
      <c r="M105" s="389"/>
      <c r="N105" s="389"/>
      <c r="O105" s="785">
        <v>2.1262854194907423</v>
      </c>
      <c r="P105" s="786">
        <v>2.1950471330115771</v>
      </c>
      <c r="Q105" s="847"/>
      <c r="R105" s="847"/>
      <c r="S105" s="847"/>
      <c r="T105" s="406"/>
      <c r="U105" s="388" t="s">
        <v>29</v>
      </c>
      <c r="V105" s="389"/>
      <c r="W105" s="389"/>
      <c r="X105" s="785">
        <v>2.1262854194907425E-6</v>
      </c>
      <c r="Y105" s="786">
        <v>2.1950471330115772E-6</v>
      </c>
      <c r="Z105" s="847"/>
      <c r="AE105" s="351"/>
      <c r="AF105" s="361"/>
    </row>
    <row r="106" spans="2:32" s="350" customFormat="1" ht="15.75" x14ac:dyDescent="0.25">
      <c r="B106" s="407"/>
      <c r="C106" s="392" t="s">
        <v>30</v>
      </c>
      <c r="D106" s="395"/>
      <c r="E106" s="395"/>
      <c r="F106" s="787">
        <v>2.0227635166805036</v>
      </c>
      <c r="G106" s="788">
        <v>2.146438149051781</v>
      </c>
      <c r="H106" s="847"/>
      <c r="I106" s="847"/>
      <c r="J106" s="847"/>
      <c r="K106" s="407"/>
      <c r="L106" s="392" t="s">
        <v>30</v>
      </c>
      <c r="M106" s="395"/>
      <c r="N106" s="395"/>
      <c r="O106" s="787">
        <v>2.0228811591222051</v>
      </c>
      <c r="P106" s="788">
        <v>2.1462211329542598</v>
      </c>
      <c r="Q106" s="847"/>
      <c r="R106" s="847"/>
      <c r="S106" s="847"/>
      <c r="T106" s="407"/>
      <c r="U106" s="392" t="s">
        <v>30</v>
      </c>
      <c r="V106" s="395"/>
      <c r="W106" s="395"/>
      <c r="X106" s="787">
        <v>2.0228811591222053E-6</v>
      </c>
      <c r="Y106" s="788">
        <v>2.1462211329542596E-6</v>
      </c>
      <c r="Z106" s="847"/>
      <c r="AE106" s="358"/>
      <c r="AF106" s="361"/>
    </row>
    <row r="107" spans="2:32" s="350" customFormat="1" ht="6.75" customHeight="1" thickBot="1" x14ac:dyDescent="0.3">
      <c r="B107" s="407"/>
      <c r="C107" s="405"/>
      <c r="D107" s="408"/>
      <c r="E107" s="408"/>
      <c r="F107" s="789"/>
      <c r="G107" s="790"/>
      <c r="H107" s="847"/>
      <c r="I107" s="847"/>
      <c r="J107" s="847"/>
      <c r="K107" s="407"/>
      <c r="L107" s="405"/>
      <c r="M107" s="408"/>
      <c r="N107" s="408"/>
      <c r="O107" s="789"/>
      <c r="P107" s="790"/>
      <c r="Q107" s="847"/>
      <c r="R107" s="847"/>
      <c r="S107" s="847"/>
      <c r="T107" s="407"/>
      <c r="U107" s="405"/>
      <c r="V107" s="408"/>
      <c r="W107" s="408"/>
      <c r="X107" s="789"/>
      <c r="Y107" s="790"/>
      <c r="Z107" s="847"/>
      <c r="AE107" s="352"/>
      <c r="AF107" s="361"/>
    </row>
    <row r="108" spans="2:32" ht="18.75" thickTop="1" thickBot="1" x14ac:dyDescent="0.25">
      <c r="B108" s="759" t="s">
        <v>871</v>
      </c>
      <c r="C108" s="760"/>
      <c r="D108" s="760"/>
      <c r="E108" s="760"/>
      <c r="F108" s="793">
        <v>1.8164706540453543</v>
      </c>
      <c r="G108" s="794">
        <v>2.3967285103063394</v>
      </c>
      <c r="K108" s="759" t="s">
        <v>871</v>
      </c>
      <c r="L108" s="760"/>
      <c r="M108" s="760"/>
      <c r="N108" s="760"/>
      <c r="O108" s="793">
        <v>1.8166376889882374</v>
      </c>
      <c r="P108" s="794">
        <v>2.3967197419439752</v>
      </c>
      <c r="T108" s="759" t="s">
        <v>871</v>
      </c>
      <c r="U108" s="760"/>
      <c r="V108" s="760"/>
      <c r="W108" s="760"/>
      <c r="X108" s="793">
        <v>1.8166376889882372E-6</v>
      </c>
      <c r="Y108" s="794">
        <v>2.3967197419439752E-6</v>
      </c>
      <c r="AE108" s="360"/>
      <c r="AF108" s="5"/>
    </row>
    <row r="109" spans="2:32" s="338" customFormat="1" ht="16.5" thickTop="1" x14ac:dyDescent="0.2">
      <c r="B109" s="406"/>
      <c r="C109" s="389" t="s">
        <v>876</v>
      </c>
      <c r="D109" s="389"/>
      <c r="E109" s="389"/>
      <c r="F109" s="785">
        <v>1.2264920798923789</v>
      </c>
      <c r="G109" s="786">
        <v>1.7775054637612893</v>
      </c>
      <c r="H109" s="848"/>
      <c r="I109" s="848"/>
      <c r="J109" s="848"/>
      <c r="K109" s="406"/>
      <c r="L109" s="389" t="s">
        <v>876</v>
      </c>
      <c r="M109" s="389"/>
      <c r="N109" s="389"/>
      <c r="O109" s="785">
        <v>1.2267248593447786</v>
      </c>
      <c r="P109" s="786">
        <v>1.7773725455647418</v>
      </c>
      <c r="Q109" s="848"/>
      <c r="R109" s="848"/>
      <c r="S109" s="848"/>
      <c r="T109" s="406"/>
      <c r="U109" s="389" t="s">
        <v>876</v>
      </c>
      <c r="V109" s="389"/>
      <c r="W109" s="389"/>
      <c r="X109" s="785">
        <v>1.2267248593447785E-6</v>
      </c>
      <c r="Y109" s="786">
        <v>1.7773725455647418E-6</v>
      </c>
      <c r="Z109" s="848"/>
    </row>
    <row r="110" spans="2:32" s="338" customFormat="1" ht="15.75" x14ac:dyDescent="0.2">
      <c r="B110" s="406"/>
      <c r="C110" s="395" t="s">
        <v>877</v>
      </c>
      <c r="D110" s="395"/>
      <c r="E110" s="395"/>
      <c r="F110" s="787">
        <v>0.2551199145810113</v>
      </c>
      <c r="G110" s="788">
        <v>0.23086621540764929</v>
      </c>
      <c r="H110" s="848"/>
      <c r="I110" s="848"/>
      <c r="J110" s="848"/>
      <c r="K110" s="406"/>
      <c r="L110" s="395" t="s">
        <v>877</v>
      </c>
      <c r="M110" s="395"/>
      <c r="N110" s="395"/>
      <c r="O110" s="787">
        <v>0.25483782200114929</v>
      </c>
      <c r="P110" s="788">
        <v>0.2308620654884033</v>
      </c>
      <c r="Q110" s="848"/>
      <c r="R110" s="848"/>
      <c r="S110" s="848"/>
      <c r="T110" s="406"/>
      <c r="U110" s="395" t="s">
        <v>877</v>
      </c>
      <c r="V110" s="395"/>
      <c r="W110" s="395"/>
      <c r="X110" s="787">
        <v>2.5483782200114933E-7</v>
      </c>
      <c r="Y110" s="788">
        <v>2.3086206548840329E-7</v>
      </c>
      <c r="Z110" s="848"/>
    </row>
    <row r="111" spans="2:32" s="338" customFormat="1" ht="15.75" x14ac:dyDescent="0.2">
      <c r="B111" s="406"/>
      <c r="C111" s="395" t="s">
        <v>707</v>
      </c>
      <c r="D111" s="395"/>
      <c r="E111" s="395"/>
      <c r="F111" s="787">
        <v>0.33485865957196437</v>
      </c>
      <c r="G111" s="788">
        <v>0.38835683113740072</v>
      </c>
      <c r="H111" s="848"/>
      <c r="I111" s="848"/>
      <c r="J111" s="848"/>
      <c r="K111" s="406"/>
      <c r="L111" s="395" t="s">
        <v>707</v>
      </c>
      <c r="M111" s="395"/>
      <c r="N111" s="395"/>
      <c r="O111" s="787">
        <v>0.33507500764230941</v>
      </c>
      <c r="P111" s="788">
        <v>0.38848513089083037</v>
      </c>
      <c r="Q111" s="848"/>
      <c r="R111" s="848"/>
      <c r="S111" s="848"/>
      <c r="T111" s="406"/>
      <c r="U111" s="395" t="s">
        <v>707</v>
      </c>
      <c r="V111" s="395"/>
      <c r="W111" s="395"/>
      <c r="X111" s="787">
        <v>3.3507500764230937E-7</v>
      </c>
      <c r="Y111" s="788">
        <v>3.8848513089083034E-7</v>
      </c>
      <c r="Z111" s="848"/>
    </row>
    <row r="112" spans="2:32" s="338" customFormat="1" ht="6.75" customHeight="1" thickBot="1" x14ac:dyDescent="0.3">
      <c r="B112" s="407"/>
      <c r="C112" s="405"/>
      <c r="D112" s="408"/>
      <c r="E112" s="408"/>
      <c r="F112" s="789"/>
      <c r="G112" s="790"/>
      <c r="H112" s="848"/>
      <c r="I112" s="848"/>
      <c r="J112" s="848"/>
      <c r="K112" s="407"/>
      <c r="L112" s="405"/>
      <c r="M112" s="408"/>
      <c r="N112" s="408"/>
      <c r="O112" s="789"/>
      <c r="P112" s="790"/>
      <c r="Q112" s="848"/>
      <c r="R112" s="848"/>
      <c r="S112" s="848"/>
      <c r="T112" s="407"/>
      <c r="U112" s="405"/>
      <c r="V112" s="408"/>
      <c r="W112" s="408"/>
      <c r="X112" s="789"/>
      <c r="Y112" s="790"/>
      <c r="Z112" s="848"/>
    </row>
    <row r="113" spans="2:32" ht="18.75" thickTop="1" thickBot="1" x14ac:dyDescent="0.25">
      <c r="B113" s="761" t="s">
        <v>710</v>
      </c>
      <c r="C113" s="762"/>
      <c r="D113" s="762"/>
      <c r="E113" s="762"/>
      <c r="F113" s="795">
        <v>0.12314065593183851</v>
      </c>
      <c r="G113" s="796">
        <v>0.11501537577362987</v>
      </c>
      <c r="K113" s="761" t="s">
        <v>710</v>
      </c>
      <c r="L113" s="762"/>
      <c r="M113" s="762"/>
      <c r="N113" s="762"/>
      <c r="O113" s="795">
        <v>0.12318103147727395</v>
      </c>
      <c r="P113" s="796">
        <v>0.11516567404823796</v>
      </c>
      <c r="T113" s="761" t="s">
        <v>710</v>
      </c>
      <c r="U113" s="762"/>
      <c r="V113" s="762"/>
      <c r="W113" s="762"/>
      <c r="X113" s="795">
        <v>1.2318103147727395E-7</v>
      </c>
      <c r="Y113" s="796">
        <v>1.1516567404823797E-7</v>
      </c>
    </row>
    <row r="114" spans="2:32" s="350" customFormat="1" ht="6.75" customHeight="1" thickTop="1" thickBot="1" x14ac:dyDescent="0.3">
      <c r="B114" s="407"/>
      <c r="C114" s="405"/>
      <c r="D114" s="408"/>
      <c r="E114" s="408"/>
      <c r="F114" s="773"/>
      <c r="G114" s="774"/>
      <c r="H114" s="847"/>
      <c r="I114" s="847"/>
      <c r="J114" s="847"/>
      <c r="K114" s="407"/>
      <c r="L114" s="405"/>
      <c r="M114" s="408"/>
      <c r="N114" s="408"/>
      <c r="O114" s="773"/>
      <c r="P114" s="774"/>
      <c r="Q114" s="847"/>
      <c r="R114" s="847"/>
      <c r="S114" s="847"/>
      <c r="T114" s="407"/>
      <c r="U114" s="405"/>
      <c r="V114" s="408"/>
      <c r="W114" s="408"/>
      <c r="X114" s="773"/>
      <c r="Y114" s="774"/>
      <c r="Z114" s="847"/>
      <c r="AE114" s="352"/>
      <c r="AF114" s="361"/>
    </row>
    <row r="115" spans="2:32" ht="18.75" thickTop="1" thickBot="1" x14ac:dyDescent="0.25">
      <c r="B115" s="765" t="s">
        <v>755</v>
      </c>
      <c r="C115" s="766"/>
      <c r="D115" s="766"/>
      <c r="E115" s="766"/>
      <c r="F115" s="797">
        <v>8.1653832528155987E-2</v>
      </c>
      <c r="G115" s="798">
        <v>8.3593863911333804E-2</v>
      </c>
      <c r="K115" s="765" t="s">
        <v>755</v>
      </c>
      <c r="L115" s="766"/>
      <c r="M115" s="766"/>
      <c r="N115" s="766"/>
      <c r="O115" s="797">
        <v>8.1932337450480383E-2</v>
      </c>
      <c r="P115" s="798">
        <v>8.3853347924523494E-2</v>
      </c>
      <c r="T115" s="765" t="s">
        <v>755</v>
      </c>
      <c r="U115" s="766"/>
      <c r="V115" s="766"/>
      <c r="W115" s="766"/>
      <c r="X115" s="797">
        <v>8.1932337450480378E-8</v>
      </c>
      <c r="Y115" s="798">
        <v>8.3853347924523496E-8</v>
      </c>
    </row>
    <row r="116" spans="2:32" s="350" customFormat="1" ht="6.75" customHeight="1" thickTop="1" thickBot="1" x14ac:dyDescent="0.3">
      <c r="B116" s="407"/>
      <c r="C116" s="405"/>
      <c r="D116" s="408"/>
      <c r="E116" s="408"/>
      <c r="F116" s="773"/>
      <c r="G116" s="774"/>
      <c r="H116" s="847"/>
      <c r="I116" s="847"/>
      <c r="J116" s="847"/>
      <c r="K116" s="407"/>
      <c r="L116" s="405"/>
      <c r="M116" s="408"/>
      <c r="N116" s="408"/>
      <c r="O116" s="773"/>
      <c r="P116" s="774"/>
      <c r="Q116" s="847"/>
      <c r="R116" s="847"/>
      <c r="S116" s="847"/>
      <c r="T116" s="407"/>
      <c r="U116" s="405"/>
      <c r="V116" s="408"/>
      <c r="W116" s="408"/>
      <c r="X116" s="773"/>
      <c r="Y116" s="774"/>
      <c r="Z116" s="847"/>
      <c r="AE116" s="352"/>
      <c r="AF116" s="361"/>
    </row>
    <row r="117" spans="2:32" ht="18.75" thickTop="1" thickBot="1" x14ac:dyDescent="0.25">
      <c r="B117" s="763" t="s">
        <v>959</v>
      </c>
      <c r="C117" s="764"/>
      <c r="D117" s="764"/>
      <c r="E117" s="764"/>
      <c r="F117" s="799">
        <v>6.9377386682325085E-2</v>
      </c>
      <c r="G117" s="800" t="s">
        <v>1296</v>
      </c>
      <c r="K117" s="763" t="s">
        <v>959</v>
      </c>
      <c r="L117" s="764"/>
      <c r="M117" s="764"/>
      <c r="N117" s="764"/>
      <c r="O117" s="799">
        <v>6.950122418213163E-2</v>
      </c>
      <c r="P117" s="800">
        <v>2.8128021772150288E-2</v>
      </c>
      <c r="T117" s="763" t="s">
        <v>959</v>
      </c>
      <c r="U117" s="764"/>
      <c r="V117" s="764"/>
      <c r="W117" s="764"/>
      <c r="X117" s="799">
        <v>6.9501224182131632E-8</v>
      </c>
      <c r="Y117" s="800">
        <v>2.8128021772150287E-8</v>
      </c>
    </row>
    <row r="118" spans="2:32" s="350" customFormat="1" ht="6.75" customHeight="1" thickTop="1" thickBot="1" x14ac:dyDescent="0.3">
      <c r="B118" s="407"/>
      <c r="C118" s="405"/>
      <c r="D118" s="408"/>
      <c r="E118" s="408"/>
      <c r="F118" s="773"/>
      <c r="G118" s="774"/>
      <c r="H118" s="847"/>
      <c r="I118" s="847"/>
      <c r="J118" s="847"/>
      <c r="K118" s="407"/>
      <c r="L118" s="405"/>
      <c r="M118" s="408"/>
      <c r="N118" s="408"/>
      <c r="O118" s="773"/>
      <c r="P118" s="774"/>
      <c r="Q118" s="847"/>
      <c r="R118" s="847"/>
      <c r="S118" s="847"/>
      <c r="T118" s="407"/>
      <c r="U118" s="405"/>
      <c r="V118" s="408"/>
      <c r="W118" s="408"/>
      <c r="X118" s="773"/>
      <c r="Y118" s="774"/>
      <c r="Z118" s="847"/>
      <c r="AE118" s="352"/>
      <c r="AF118" s="361"/>
    </row>
    <row r="119" spans="2:32" ht="18" thickTop="1" x14ac:dyDescent="0.2">
      <c r="B119" s="873" t="s">
        <v>15</v>
      </c>
      <c r="C119" s="874"/>
      <c r="D119" s="874"/>
      <c r="E119" s="874"/>
      <c r="F119" s="880">
        <v>12.641324771899912</v>
      </c>
      <c r="G119" s="881">
        <v>12.99075868144948</v>
      </c>
      <c r="K119" s="873" t="s">
        <v>15</v>
      </c>
      <c r="L119" s="874"/>
      <c r="M119" s="874"/>
      <c r="N119" s="874"/>
      <c r="O119" s="880">
        <v>12.642442193910675</v>
      </c>
      <c r="P119" s="881">
        <v>12.990900319598014</v>
      </c>
      <c r="T119" s="873" t="s">
        <v>15</v>
      </c>
      <c r="U119" s="874"/>
      <c r="V119" s="874"/>
      <c r="W119" s="874"/>
      <c r="X119" s="880">
        <v>1.2642442193910678E-5</v>
      </c>
      <c r="Y119" s="881">
        <v>1.2990900319598014E-5</v>
      </c>
    </row>
    <row r="120" spans="2:32" s="350" customFormat="1" ht="6.75" customHeight="1" x14ac:dyDescent="0.25">
      <c r="B120" s="877"/>
      <c r="C120" s="870"/>
      <c r="D120" s="871"/>
      <c r="E120" s="871"/>
      <c r="F120" s="872"/>
      <c r="G120" s="872"/>
      <c r="H120" s="847"/>
      <c r="I120" s="847"/>
      <c r="J120" s="847"/>
      <c r="K120" s="877"/>
      <c r="L120" s="870"/>
      <c r="M120" s="871"/>
      <c r="N120" s="871"/>
      <c r="O120" s="872"/>
      <c r="P120" s="872"/>
      <c r="Q120" s="847"/>
      <c r="R120" s="847"/>
      <c r="S120" s="847"/>
      <c r="T120" s="877"/>
      <c r="U120" s="870"/>
      <c r="V120" s="871"/>
      <c r="W120" s="871"/>
      <c r="X120" s="872"/>
      <c r="Y120" s="872"/>
      <c r="Z120" s="847"/>
      <c r="AE120" s="352"/>
      <c r="AF120" s="361"/>
    </row>
    <row r="121" spans="2:32" ht="17.25" x14ac:dyDescent="0.2">
      <c r="B121" s="865"/>
      <c r="C121" s="865"/>
      <c r="D121" s="865"/>
      <c r="E121" s="865"/>
      <c r="F121" s="882"/>
      <c r="G121" s="882"/>
      <c r="K121" s="865"/>
      <c r="L121" s="865"/>
      <c r="M121" s="865"/>
      <c r="N121" s="865"/>
      <c r="O121" s="882"/>
      <c r="P121" s="882"/>
      <c r="T121" s="865"/>
      <c r="U121" s="865"/>
      <c r="V121" s="865"/>
      <c r="W121" s="865"/>
      <c r="X121" s="882"/>
      <c r="Y121" s="882"/>
    </row>
    <row r="122" spans="2:32" s="350" customFormat="1" ht="6.75" customHeight="1" x14ac:dyDescent="0.25">
      <c r="B122" s="877"/>
      <c r="C122" s="870"/>
      <c r="D122" s="871"/>
      <c r="E122" s="871"/>
      <c r="F122" s="872"/>
      <c r="G122" s="872"/>
      <c r="H122" s="847"/>
      <c r="I122" s="847"/>
      <c r="J122" s="847"/>
      <c r="K122" s="877"/>
      <c r="L122" s="870"/>
      <c r="M122" s="871"/>
      <c r="N122" s="871"/>
      <c r="O122" s="872"/>
      <c r="P122" s="872"/>
      <c r="Q122" s="847"/>
      <c r="R122" s="847"/>
      <c r="S122" s="847"/>
      <c r="T122" s="877"/>
      <c r="U122" s="870"/>
      <c r="V122" s="871"/>
      <c r="W122" s="871"/>
      <c r="X122" s="872"/>
      <c r="Y122" s="872"/>
      <c r="Z122" s="847"/>
      <c r="AE122" s="352"/>
      <c r="AF122" s="361"/>
    </row>
    <row r="123" spans="2:32" ht="17.25" x14ac:dyDescent="0.2">
      <c r="B123" s="867"/>
      <c r="C123" s="868"/>
      <c r="D123" s="868"/>
      <c r="E123" s="868"/>
      <c r="F123" s="883"/>
      <c r="G123" s="883"/>
      <c r="K123" s="867"/>
      <c r="L123" s="868"/>
      <c r="M123" s="868"/>
      <c r="N123" s="868"/>
      <c r="O123" s="883"/>
      <c r="P123" s="883"/>
      <c r="T123" s="867"/>
      <c r="U123" s="868"/>
      <c r="V123" s="868"/>
      <c r="W123" s="868"/>
      <c r="X123" s="883"/>
      <c r="Y123" s="883"/>
    </row>
    <row r="124" spans="2:32" x14ac:dyDescent="0.2">
      <c r="G124" s="957">
        <v>6.4692078499089992E-2</v>
      </c>
    </row>
  </sheetData>
  <mergeCells count="9">
    <mergeCell ref="T2:W2"/>
    <mergeCell ref="T69:W69"/>
    <mergeCell ref="T97:W97"/>
    <mergeCell ref="B69:E69"/>
    <mergeCell ref="B2:E2"/>
    <mergeCell ref="B97:E97"/>
    <mergeCell ref="K2:N2"/>
    <mergeCell ref="K69:N69"/>
    <mergeCell ref="K97:N97"/>
  </mergeCells>
  <phoneticPr fontId="27" type="noConversion"/>
  <pageMargins left="0.7" right="0.7" top="0.75" bottom="0.75" header="0.3" footer="0.3"/>
  <pageSetup scale="90" orientation="portrait" r:id="rId1"/>
  <rowBreaks count="1" manualBreakCount="1">
    <brk id="6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/>
  </sheetPr>
  <dimension ref="A1:I35"/>
  <sheetViews>
    <sheetView zoomScaleNormal="100"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D19" sqref="D19"/>
    </sheetView>
  </sheetViews>
  <sheetFormatPr defaultColWidth="8.85546875" defaultRowHeight="12" x14ac:dyDescent="0.2"/>
  <cols>
    <col min="1" max="1" width="29" style="1" customWidth="1"/>
    <col min="2" max="2" width="18.28515625" style="443" bestFit="1" customWidth="1"/>
    <col min="3" max="3" width="7.85546875" style="443" bestFit="1" customWidth="1"/>
    <col min="4" max="4" width="21.42578125" style="443" customWidth="1"/>
    <col min="5" max="5" width="21.42578125" style="510" customWidth="1"/>
    <col min="6" max="6" width="9.42578125" style="512" customWidth="1"/>
  </cols>
  <sheetData>
    <row r="1" spans="1:9" x14ac:dyDescent="0.2">
      <c r="A1" s="112"/>
      <c r="B1" s="1790">
        <v>2015</v>
      </c>
      <c r="C1" s="1791"/>
      <c r="D1" s="1791"/>
      <c r="E1" s="1792"/>
      <c r="F1" s="64" t="s">
        <v>1169</v>
      </c>
    </row>
    <row r="2" spans="1:9" x14ac:dyDescent="0.2">
      <c r="A2" s="112" t="s">
        <v>489</v>
      </c>
      <c r="B2" s="199" t="s">
        <v>487</v>
      </c>
      <c r="C2" s="1263" t="s">
        <v>486</v>
      </c>
      <c r="D2" s="556" t="s">
        <v>488</v>
      </c>
      <c r="E2" s="578" t="s">
        <v>306</v>
      </c>
      <c r="F2" s="203" t="s">
        <v>1166</v>
      </c>
      <c r="G2" s="598"/>
      <c r="H2" s="1137" t="s">
        <v>1168</v>
      </c>
      <c r="I2" s="419"/>
    </row>
    <row r="3" spans="1:9" x14ac:dyDescent="0.2">
      <c r="A3" s="1118" t="s">
        <v>1178</v>
      </c>
      <c r="B3" s="1234"/>
      <c r="C3" s="1234"/>
      <c r="D3" s="1234"/>
      <c r="E3" s="1235"/>
      <c r="F3" s="1139"/>
      <c r="G3" s="1134"/>
      <c r="H3" s="1134"/>
      <c r="I3" s="1134"/>
    </row>
    <row r="4" spans="1:9" s="90" customFormat="1" x14ac:dyDescent="0.2">
      <c r="A4" s="1211" t="s">
        <v>69</v>
      </c>
      <c r="B4" s="700"/>
      <c r="C4" s="700"/>
      <c r="D4" s="700"/>
      <c r="E4" s="1244"/>
    </row>
    <row r="5" spans="1:9" x14ac:dyDescent="0.2">
      <c r="A5" s="1133" t="s">
        <v>129</v>
      </c>
      <c r="B5" s="505"/>
      <c r="C5" s="505"/>
      <c r="D5" s="505"/>
      <c r="E5" s="507"/>
      <c r="F5" s="579"/>
    </row>
    <row r="6" spans="1:9" x14ac:dyDescent="0.2">
      <c r="A6" s="534" t="s">
        <v>1521</v>
      </c>
      <c r="B6" s="216"/>
      <c r="C6" s="216"/>
      <c r="D6" s="216"/>
      <c r="E6" s="650"/>
      <c r="F6" s="579"/>
    </row>
    <row r="7" spans="1:9" x14ac:dyDescent="0.2">
      <c r="A7" s="184" t="s">
        <v>121</v>
      </c>
      <c r="B7" s="216"/>
      <c r="C7" s="216"/>
      <c r="D7" s="216"/>
      <c r="E7" s="650"/>
      <c r="F7" s="579"/>
    </row>
    <row r="8" spans="1:9" x14ac:dyDescent="0.2">
      <c r="A8" s="115" t="s">
        <v>1553</v>
      </c>
      <c r="B8" s="1763">
        <v>85397705</v>
      </c>
      <c r="C8" s="745" t="s">
        <v>505</v>
      </c>
      <c r="D8" s="745" t="s">
        <v>1863</v>
      </c>
      <c r="E8" s="650"/>
      <c r="F8" s="509"/>
    </row>
    <row r="9" spans="1:9" x14ac:dyDescent="0.2">
      <c r="A9" s="1127" t="s">
        <v>106</v>
      </c>
      <c r="B9" s="234"/>
      <c r="C9" s="234"/>
      <c r="D9" s="234"/>
      <c r="E9" s="650"/>
      <c r="F9" s="204"/>
    </row>
    <row r="10" spans="1:9" x14ac:dyDescent="0.2">
      <c r="A10" s="540" t="s">
        <v>1654</v>
      </c>
      <c r="B10" s="1013">
        <f>B8*thermTOBtu*10^-6</f>
        <v>8539770.5</v>
      </c>
      <c r="C10" s="331" t="s">
        <v>1653</v>
      </c>
      <c r="D10" s="216"/>
      <c r="E10" s="650"/>
      <c r="F10" s="579"/>
    </row>
    <row r="11" spans="1:9" s="1522" customFormat="1" ht="13.5" x14ac:dyDescent="0.2">
      <c r="A11" s="1202" t="s">
        <v>70</v>
      </c>
      <c r="B11" s="1760">
        <f>B10*'Emission Factors'!C112*10^-6+B10*[0]!efgas.res.ch4*10^-6+B10*efgas.res.n2o*10^-6</f>
        <v>453129.61647754995</v>
      </c>
      <c r="C11" s="1237" t="s">
        <v>128</v>
      </c>
      <c r="D11" s="1520"/>
      <c r="E11" s="1240"/>
      <c r="F11" s="1536"/>
    </row>
    <row r="12" spans="1:9" x14ac:dyDescent="0.2">
      <c r="A12" s="172"/>
      <c r="B12" s="216"/>
      <c r="C12" s="216"/>
      <c r="D12" s="216"/>
      <c r="E12" s="650"/>
      <c r="F12" s="579"/>
    </row>
    <row r="13" spans="1:9" s="90" customFormat="1" x14ac:dyDescent="0.2">
      <c r="A13" s="1211" t="s">
        <v>71</v>
      </c>
      <c r="B13" s="700"/>
      <c r="C13" s="700"/>
      <c r="D13" s="700"/>
      <c r="E13" s="650"/>
    </row>
    <row r="14" spans="1:9" x14ac:dyDescent="0.2">
      <c r="A14" s="1133" t="s">
        <v>129</v>
      </c>
      <c r="B14" s="216"/>
      <c r="C14" s="216"/>
      <c r="D14" s="216"/>
      <c r="E14" s="650"/>
    </row>
    <row r="15" spans="1:9" x14ac:dyDescent="0.2">
      <c r="A15" s="172" t="s">
        <v>72</v>
      </c>
      <c r="B15" s="216"/>
      <c r="C15" s="216"/>
      <c r="D15" s="216"/>
      <c r="E15" s="650"/>
    </row>
    <row r="16" spans="1:9" x14ac:dyDescent="0.2">
      <c r="A16" s="163" t="s">
        <v>73</v>
      </c>
      <c r="B16" s="1141">
        <v>2015</v>
      </c>
      <c r="C16" s="216"/>
      <c r="D16" s="216"/>
      <c r="E16" s="650"/>
    </row>
    <row r="17" spans="1:6" x14ac:dyDescent="0.2">
      <c r="A17" s="111" t="s">
        <v>185</v>
      </c>
      <c r="B17" s="1141">
        <v>25523</v>
      </c>
      <c r="C17" s="252" t="s">
        <v>184</v>
      </c>
      <c r="D17" s="216" t="s">
        <v>1568</v>
      </c>
      <c r="E17" s="650"/>
      <c r="F17" s="598"/>
    </row>
    <row r="18" spans="1:6" x14ac:dyDescent="0.2">
      <c r="A18" s="111" t="s">
        <v>186</v>
      </c>
      <c r="B18" s="1141">
        <v>54294</v>
      </c>
      <c r="C18" s="216" t="s">
        <v>842</v>
      </c>
      <c r="D18" s="216" t="s">
        <v>1557</v>
      </c>
      <c r="E18" s="650"/>
    </row>
    <row r="19" spans="1:6" ht="14.25" customHeight="1" x14ac:dyDescent="0.2">
      <c r="A19" s="534" t="s">
        <v>1554</v>
      </c>
      <c r="B19" s="200"/>
      <c r="C19" s="289"/>
      <c r="D19" s="216"/>
      <c r="E19" s="650"/>
    </row>
    <row r="20" spans="1:6" ht="11.25" customHeight="1" x14ac:dyDescent="0.2">
      <c r="A20" s="184" t="s">
        <v>114</v>
      </c>
      <c r="B20" s="200"/>
      <c r="C20" s="241"/>
      <c r="D20" s="216"/>
      <c r="E20" s="650"/>
    </row>
    <row r="21" spans="1:6" x14ac:dyDescent="0.2">
      <c r="A21" s="555" t="s">
        <v>1555</v>
      </c>
      <c r="B21" s="1141">
        <v>2725</v>
      </c>
      <c r="C21" s="241" t="s">
        <v>842</v>
      </c>
      <c r="D21" s="216" t="s">
        <v>1557</v>
      </c>
      <c r="E21" s="650"/>
    </row>
    <row r="22" spans="1:6" x14ac:dyDescent="0.2">
      <c r="A22" s="540" t="s">
        <v>1348</v>
      </c>
      <c r="B22" s="1321">
        <f>B26/B21</f>
        <v>4.805883922462419</v>
      </c>
      <c r="C22" s="331" t="s">
        <v>1349</v>
      </c>
      <c r="D22" s="216"/>
      <c r="E22" s="650"/>
    </row>
    <row r="23" spans="1:6" x14ac:dyDescent="0.2">
      <c r="A23" s="1127" t="s">
        <v>106</v>
      </c>
      <c r="B23" s="1320"/>
      <c r="C23" s="234"/>
      <c r="D23" s="216"/>
      <c r="E23" s="650"/>
      <c r="F23" s="204"/>
    </row>
    <row r="24" spans="1:6" x14ac:dyDescent="0.2">
      <c r="A24" s="239"/>
      <c r="B24" s="1322">
        <f>B17*1000</f>
        <v>25523000</v>
      </c>
      <c r="C24" s="468" t="s">
        <v>539</v>
      </c>
      <c r="D24" s="216"/>
      <c r="E24" s="650"/>
    </row>
    <row r="25" spans="1:6" ht="36" x14ac:dyDescent="0.2">
      <c r="A25" s="534" t="s">
        <v>1556</v>
      </c>
      <c r="B25" s="1702">
        <f>B24*(B21/B18)</f>
        <v>1280991.9143920138</v>
      </c>
      <c r="C25" s="468" t="s">
        <v>539</v>
      </c>
      <c r="D25" s="216"/>
      <c r="E25" s="650"/>
    </row>
    <row r="26" spans="1:6" s="1522" customFormat="1" ht="13.5" x14ac:dyDescent="0.2">
      <c r="A26" s="1236" t="s">
        <v>995</v>
      </c>
      <c r="B26" s="1175">
        <f>B25*efgdistillate/1000000+B25*efgdistillate.res.ch4/1000000+B25*efgdistillate.res.n2o/1000000</f>
        <v>13096.033688710093</v>
      </c>
      <c r="C26" s="1237" t="s">
        <v>128</v>
      </c>
      <c r="D26" s="1239"/>
      <c r="E26" s="1240"/>
      <c r="F26" s="1521"/>
    </row>
    <row r="27" spans="1:6" x14ac:dyDescent="0.2">
      <c r="A27" s="172"/>
      <c r="B27" s="216"/>
      <c r="C27" s="216"/>
      <c r="D27" s="216"/>
      <c r="E27" s="650"/>
    </row>
    <row r="28" spans="1:6" x14ac:dyDescent="0.2">
      <c r="A28" s="277"/>
      <c r="B28" s="216"/>
      <c r="C28" s="216"/>
      <c r="D28" s="216"/>
      <c r="E28" s="650"/>
    </row>
    <row r="29" spans="1:6" x14ac:dyDescent="0.2">
      <c r="A29" s="277"/>
      <c r="B29" s="216"/>
      <c r="C29" s="216"/>
      <c r="D29" s="216"/>
      <c r="E29" s="650"/>
    </row>
    <row r="30" spans="1:6" x14ac:dyDescent="0.2">
      <c r="A30" s="172"/>
      <c r="B30" s="216"/>
      <c r="C30" s="216"/>
      <c r="D30" s="216"/>
      <c r="E30" s="650"/>
    </row>
    <row r="31" spans="1:6" x14ac:dyDescent="0.2">
      <c r="A31" s="277"/>
      <c r="B31" s="505"/>
      <c r="C31" s="505"/>
      <c r="D31" s="505"/>
      <c r="E31" s="507"/>
    </row>
    <row r="32" spans="1:6" x14ac:dyDescent="0.2">
      <c r="A32" s="277"/>
      <c r="B32" s="1762"/>
      <c r="C32" s="505"/>
      <c r="D32" s="505"/>
      <c r="E32" s="507"/>
    </row>
    <row r="33" spans="1:9" x14ac:dyDescent="0.2">
      <c r="A33" s="205"/>
      <c r="B33" s="1762"/>
      <c r="C33" s="505"/>
      <c r="D33" s="505"/>
      <c r="E33" s="507"/>
    </row>
    <row r="34" spans="1:9" x14ac:dyDescent="0.2">
      <c r="A34" s="172"/>
      <c r="B34" s="505"/>
      <c r="C34" s="505"/>
      <c r="D34" s="505"/>
      <c r="E34" s="507"/>
      <c r="I34" s="1761"/>
    </row>
    <row r="35" spans="1:9" x14ac:dyDescent="0.2">
      <c r="A35" s="178"/>
    </row>
  </sheetData>
  <mergeCells count="1">
    <mergeCell ref="B1:E1"/>
  </mergeCells>
  <phoneticPr fontId="27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/>
  </sheetPr>
  <dimension ref="A1:I65"/>
  <sheetViews>
    <sheetView workbookViewId="0">
      <pane xSplit="1" ySplit="2" topLeftCell="B18" activePane="bottomRight" state="frozen"/>
      <selection activeCell="F46" sqref="F46"/>
      <selection pane="topRight" activeCell="F46" sqref="F46"/>
      <selection pane="bottomLeft" activeCell="F46" sqref="F46"/>
      <selection pane="bottomRight" activeCell="D34" sqref="D34"/>
    </sheetView>
  </sheetViews>
  <sheetFormatPr defaultColWidth="8.85546875" defaultRowHeight="12" x14ac:dyDescent="0.2"/>
  <cols>
    <col min="1" max="1" width="74" style="516" customWidth="1"/>
    <col min="2" max="2" width="12.5703125" style="727" bestFit="1" customWidth="1"/>
    <col min="3" max="3" width="11.5703125" style="71" bestFit="1" customWidth="1"/>
    <col min="4" max="4" width="12.28515625" style="473" customWidth="1"/>
    <col min="5" max="5" width="12.28515625" style="568" customWidth="1"/>
    <col min="6" max="6" width="8.85546875" style="512"/>
  </cols>
  <sheetData>
    <row r="1" spans="1:9" x14ac:dyDescent="0.2">
      <c r="A1" s="578"/>
      <c r="B1" s="1790">
        <v>2015</v>
      </c>
      <c r="C1" s="1791"/>
      <c r="D1" s="1791"/>
      <c r="E1" s="1792"/>
      <c r="F1" s="64" t="s">
        <v>1169</v>
      </c>
    </row>
    <row r="2" spans="1:9" x14ac:dyDescent="0.2">
      <c r="A2" s="539" t="s">
        <v>489</v>
      </c>
      <c r="B2" s="199" t="s">
        <v>487</v>
      </c>
      <c r="C2" s="1683" t="s">
        <v>486</v>
      </c>
      <c r="D2" s="1684" t="s">
        <v>488</v>
      </c>
      <c r="E2" s="578" t="s">
        <v>306</v>
      </c>
      <c r="F2" s="203" t="s">
        <v>1166</v>
      </c>
      <c r="G2" s="598"/>
      <c r="H2" s="1137" t="s">
        <v>1168</v>
      </c>
      <c r="I2" s="419"/>
    </row>
    <row r="3" spans="1:9" x14ac:dyDescent="0.2">
      <c r="A3" s="1118" t="s">
        <v>103</v>
      </c>
      <c r="B3" s="1208"/>
      <c r="C3" s="1206"/>
      <c r="D3" s="1207"/>
      <c r="E3" s="1242"/>
      <c r="F3" s="1139"/>
      <c r="G3" s="1134"/>
      <c r="H3" s="1134"/>
      <c r="I3" s="1134"/>
    </row>
    <row r="4" spans="1:9" s="90" customFormat="1" x14ac:dyDescent="0.2">
      <c r="A4" s="245"/>
      <c r="B4" s="721"/>
      <c r="C4" s="132"/>
      <c r="D4" s="216"/>
      <c r="E4" s="650"/>
      <c r="F4" s="594"/>
    </row>
    <row r="5" spans="1:9" s="90" customFormat="1" x14ac:dyDescent="0.2">
      <c r="A5" s="238" t="s">
        <v>1750</v>
      </c>
      <c r="B5" s="721"/>
      <c r="C5" s="132"/>
      <c r="D5" s="216"/>
      <c r="E5" s="650"/>
      <c r="F5" s="594"/>
    </row>
    <row r="6" spans="1:9" x14ac:dyDescent="0.2">
      <c r="A6" s="1133" t="s">
        <v>1751</v>
      </c>
      <c r="B6" s="717"/>
      <c r="C6" s="132"/>
      <c r="D6" s="216"/>
      <c r="E6" s="650"/>
    </row>
    <row r="7" spans="1:9" s="90" customFormat="1" x14ac:dyDescent="0.2">
      <c r="A7" s="547" t="s">
        <v>21</v>
      </c>
      <c r="B7" s="717"/>
      <c r="C7" s="132"/>
      <c r="D7" s="216"/>
      <c r="E7" s="650"/>
      <c r="F7" s="594"/>
    </row>
    <row r="8" spans="1:9" x14ac:dyDescent="0.2">
      <c r="A8" s="118" t="s">
        <v>104</v>
      </c>
      <c r="B8" s="717"/>
      <c r="C8" s="132"/>
      <c r="D8" s="216"/>
      <c r="E8" s="650"/>
      <c r="F8" s="594"/>
    </row>
    <row r="9" spans="1:9" x14ac:dyDescent="0.2">
      <c r="A9" s="111" t="s">
        <v>121</v>
      </c>
      <c r="B9" s="717"/>
      <c r="C9" s="135"/>
      <c r="D9" s="216"/>
      <c r="E9" s="650"/>
      <c r="F9" s="594"/>
    </row>
    <row r="10" spans="1:9" x14ac:dyDescent="0.2">
      <c r="A10" s="267" t="s">
        <v>1760</v>
      </c>
      <c r="B10" s="1200">
        <v>0</v>
      </c>
      <c r="C10" s="726" t="s">
        <v>1074</v>
      </c>
      <c r="D10" s="216" t="s">
        <v>1608</v>
      </c>
      <c r="E10" s="568" t="s">
        <v>1759</v>
      </c>
      <c r="F10" s="730"/>
    </row>
    <row r="11" spans="1:9" x14ac:dyDescent="0.2">
      <c r="A11" s="267"/>
      <c r="B11" s="1581"/>
      <c r="C11" s="726"/>
      <c r="D11" s="128"/>
      <c r="E11" s="650"/>
      <c r="F11" s="594"/>
    </row>
    <row r="12" spans="1:9" x14ac:dyDescent="0.2">
      <c r="A12" s="1127" t="s">
        <v>1752</v>
      </c>
      <c r="B12" s="295"/>
      <c r="C12" s="128"/>
      <c r="D12" s="128"/>
      <c r="E12" s="696"/>
      <c r="F12" s="594"/>
    </row>
    <row r="13" spans="1:9" x14ac:dyDescent="0.2">
      <c r="A13" s="267" t="s">
        <v>1753</v>
      </c>
      <c r="B13" s="684">
        <f>SUM(B10:B10)*1000</f>
        <v>0</v>
      </c>
      <c r="C13" s="689" t="s">
        <v>1758</v>
      </c>
      <c r="D13" s="216"/>
      <c r="E13" s="650"/>
      <c r="F13" s="594"/>
    </row>
    <row r="14" spans="1:9" x14ac:dyDescent="0.2">
      <c r="A14" s="267"/>
      <c r="B14" s="1698">
        <f>B13*thermTOBtu*10^-6</f>
        <v>0</v>
      </c>
      <c r="C14" s="473" t="s">
        <v>1653</v>
      </c>
      <c r="D14" s="216"/>
      <c r="E14" s="650"/>
      <c r="F14" s="594"/>
    </row>
    <row r="15" spans="1:9" ht="13.5" x14ac:dyDescent="0.2">
      <c r="A15" s="242" t="s">
        <v>1754</v>
      </c>
      <c r="B15" s="723" t="e">
        <f>B14*efgas*10^-6+B14*efgas.res.ch4*GWPCH4*10^-6+B14*efgas.res.n2o*GWPN2O*10^-6</f>
        <v>#REF!</v>
      </c>
      <c r="C15" s="719" t="s">
        <v>799</v>
      </c>
      <c r="D15" s="216"/>
      <c r="E15" s="650"/>
      <c r="F15" s="594"/>
    </row>
    <row r="16" spans="1:9" x14ac:dyDescent="0.2">
      <c r="A16" s="267"/>
      <c r="C16" s="132"/>
      <c r="D16" s="216"/>
      <c r="E16" s="650"/>
      <c r="F16" s="594"/>
    </row>
    <row r="17" spans="1:6" x14ac:dyDescent="0.2">
      <c r="A17" s="238" t="s">
        <v>1755</v>
      </c>
      <c r="B17" s="692"/>
      <c r="C17" s="132"/>
      <c r="D17" s="216"/>
      <c r="E17" s="650"/>
      <c r="F17" s="594"/>
    </row>
    <row r="18" spans="1:6" x14ac:dyDescent="0.2">
      <c r="A18" s="1133" t="s">
        <v>1751</v>
      </c>
      <c r="B18" s="692"/>
      <c r="C18" s="132"/>
      <c r="D18" s="216"/>
      <c r="E18" s="650"/>
      <c r="F18" s="594"/>
    </row>
    <row r="19" spans="1:6" x14ac:dyDescent="0.2">
      <c r="A19" s="547" t="s">
        <v>1756</v>
      </c>
      <c r="B19" s="692"/>
      <c r="C19" s="132"/>
      <c r="D19" s="216"/>
      <c r="E19" s="650"/>
      <c r="F19" s="594"/>
    </row>
    <row r="20" spans="1:6" x14ac:dyDescent="0.2">
      <c r="A20" s="267" t="s">
        <v>1760</v>
      </c>
      <c r="B20" s="1581"/>
      <c r="C20" s="726" t="s">
        <v>1073</v>
      </c>
      <c r="D20" s="216" t="s">
        <v>1608</v>
      </c>
      <c r="E20" s="568" t="s">
        <v>1759</v>
      </c>
      <c r="F20" s="594"/>
    </row>
    <row r="21" spans="1:6" x14ac:dyDescent="0.2">
      <c r="A21" s="1127" t="s">
        <v>1752</v>
      </c>
      <c r="B21" s="675"/>
      <c r="C21" s="135"/>
      <c r="D21" s="128"/>
      <c r="E21" s="696"/>
      <c r="F21" s="594"/>
    </row>
    <row r="22" spans="1:6" x14ac:dyDescent="0.2">
      <c r="A22" s="267" t="s">
        <v>1757</v>
      </c>
      <c r="B22" s="684">
        <f>SUM(B20:B20)*1000</f>
        <v>0</v>
      </c>
      <c r="C22" s="473" t="s">
        <v>20</v>
      </c>
      <c r="D22" s="216"/>
      <c r="E22" s="650"/>
      <c r="F22" s="594"/>
    </row>
    <row r="23" spans="1:6" ht="13.5" x14ac:dyDescent="0.2">
      <c r="A23" s="242" t="s">
        <v>1754</v>
      </c>
      <c r="B23" s="723">
        <f>B22*efgdistillate/1000000+B22*efgdistillate.com.ch4*GWPCH4/1000000+B22*efgdistillate.com.n2o*GWPN2O/1000000</f>
        <v>0</v>
      </c>
      <c r="C23" s="719" t="s">
        <v>799</v>
      </c>
      <c r="D23" s="216"/>
      <c r="E23" s="650"/>
      <c r="F23" s="594"/>
    </row>
    <row r="24" spans="1:6" x14ac:dyDescent="0.2">
      <c r="B24" s="684"/>
      <c r="F24" s="594"/>
    </row>
    <row r="25" spans="1:6" x14ac:dyDescent="0.2">
      <c r="A25" s="238" t="s">
        <v>60</v>
      </c>
      <c r="B25" s="715"/>
      <c r="C25" s="132"/>
      <c r="D25" s="216"/>
      <c r="E25" s="650"/>
      <c r="F25" s="594"/>
    </row>
    <row r="26" spans="1:6" s="90" customFormat="1" x14ac:dyDescent="0.2">
      <c r="A26" s="1133" t="s">
        <v>129</v>
      </c>
      <c r="B26" s="675"/>
      <c r="C26" s="132"/>
      <c r="D26" s="216"/>
      <c r="E26" s="650"/>
      <c r="F26" s="594"/>
    </row>
    <row r="27" spans="1:6" x14ac:dyDescent="0.2">
      <c r="A27" s="540" t="s">
        <v>918</v>
      </c>
      <c r="B27" s="1201">
        <v>41454303</v>
      </c>
      <c r="C27" s="331" t="s">
        <v>505</v>
      </c>
      <c r="D27" t="s">
        <v>1863</v>
      </c>
      <c r="E27" s="650"/>
      <c r="F27" s="594"/>
    </row>
    <row r="28" spans="1:6" x14ac:dyDescent="0.2">
      <c r="A28" s="534"/>
      <c r="B28" s="694">
        <f>B27*thermTOBtu*10^-6</f>
        <v>4145430.3</v>
      </c>
      <c r="C28" s="216" t="s">
        <v>1653</v>
      </c>
      <c r="D28" s="216"/>
      <c r="E28" s="650"/>
      <c r="F28" s="594"/>
    </row>
    <row r="29" spans="1:6" ht="13.5" x14ac:dyDescent="0.2">
      <c r="A29" s="1236" t="s">
        <v>68</v>
      </c>
      <c r="B29" s="1764">
        <f>B28*'Emission Factors'!C112*10^-6+B28*[0]!efgas.res.ch4*10^-6+B28*efgas.res.n2o*10^-6</f>
        <v>219961.09169132999</v>
      </c>
      <c r="C29" s="1237" t="s">
        <v>128</v>
      </c>
      <c r="D29" s="1520"/>
      <c r="E29" s="1699"/>
    </row>
    <row r="30" spans="1:6" s="90" customFormat="1" x14ac:dyDescent="0.2">
      <c r="A30" s="115"/>
      <c r="B30" s="1243"/>
      <c r="C30" s="132"/>
      <c r="D30" s="216"/>
      <c r="E30" s="650"/>
      <c r="F30" s="594"/>
    </row>
    <row r="31" spans="1:6" x14ac:dyDescent="0.2">
      <c r="A31" s="584" t="s">
        <v>45</v>
      </c>
      <c r="B31" s="715"/>
      <c r="C31" s="132"/>
      <c r="D31" s="216"/>
      <c r="E31" s="650"/>
    </row>
    <row r="32" spans="1:6" x14ac:dyDescent="0.2">
      <c r="A32" s="172" t="s">
        <v>73</v>
      </c>
      <c r="B32" s="718">
        <v>2011</v>
      </c>
      <c r="C32" s="132"/>
      <c r="D32" s="216"/>
      <c r="E32" s="650"/>
    </row>
    <row r="33" spans="1:6" x14ac:dyDescent="0.2">
      <c r="A33" s="111" t="s">
        <v>180</v>
      </c>
      <c r="B33" s="1201">
        <f>54067+209</f>
        <v>54276</v>
      </c>
      <c r="C33" s="1700" t="s">
        <v>184</v>
      </c>
      <c r="D33" s="473" t="s">
        <v>1568</v>
      </c>
    </row>
    <row r="34" spans="1:6" s="90" customFormat="1" x14ac:dyDescent="0.2">
      <c r="A34" s="111" t="s">
        <v>1748</v>
      </c>
      <c r="B34" s="1540">
        <f>ComSno15/ComWA15</f>
        <v>7.6908642332282534E-2</v>
      </c>
      <c r="C34" s="290"/>
      <c r="D34" s="473" t="s">
        <v>1892</v>
      </c>
      <c r="E34" s="650"/>
      <c r="F34" s="594"/>
    </row>
    <row r="35" spans="1:6" x14ac:dyDescent="0.2">
      <c r="A35" s="1127" t="s">
        <v>106</v>
      </c>
      <c r="B35" s="295"/>
      <c r="C35" s="128"/>
      <c r="D35" s="128"/>
      <c r="E35" s="696"/>
    </row>
    <row r="36" spans="1:6" x14ac:dyDescent="0.2">
      <c r="A36" s="540" t="s">
        <v>1480</v>
      </c>
      <c r="B36" s="254">
        <f>B33*1000</f>
        <v>54276000</v>
      </c>
      <c r="C36" s="216" t="s">
        <v>539</v>
      </c>
      <c r="D36" s="128"/>
      <c r="E36" s="696"/>
    </row>
    <row r="37" spans="1:6" ht="12.75" customHeight="1" x14ac:dyDescent="0.2">
      <c r="A37" s="540" t="s">
        <v>1749</v>
      </c>
      <c r="B37" s="254">
        <f>B36*B34</f>
        <v>4174293.4712269669</v>
      </c>
      <c r="C37" s="216" t="s">
        <v>539</v>
      </c>
      <c r="D37" s="128"/>
      <c r="E37" s="696"/>
      <c r="F37" s="509"/>
    </row>
    <row r="38" spans="1:6" ht="11.25" customHeight="1" x14ac:dyDescent="0.2">
      <c r="A38" s="1236" t="s">
        <v>77</v>
      </c>
      <c r="B38" s="1175">
        <f>B37*efgdistillate/1000000+B37*efgdistillate.com.ch4*GWPCH4/1000000+B37*efgdistillate.com.n2o*GWPN2O/1000000</f>
        <v>42929.493926988929</v>
      </c>
      <c r="C38" s="1237" t="s">
        <v>128</v>
      </c>
      <c r="D38" s="1520"/>
      <c r="E38" s="1240"/>
    </row>
    <row r="39" spans="1:6" s="90" customFormat="1" ht="11.25" customHeight="1" x14ac:dyDescent="0.2">
      <c r="A39" s="239"/>
      <c r="B39" s="721"/>
      <c r="C39" s="195"/>
      <c r="D39" s="216"/>
      <c r="E39" s="650"/>
      <c r="F39" s="594"/>
    </row>
    <row r="40" spans="1:6" s="90" customFormat="1" ht="11.25" customHeight="1" x14ac:dyDescent="0.2">
      <c r="A40" s="239"/>
      <c r="B40" s="721"/>
      <c r="C40" s="195"/>
      <c r="D40" s="216"/>
      <c r="E40" s="650"/>
      <c r="F40" s="594"/>
    </row>
    <row r="42" spans="1:6" x14ac:dyDescent="0.2">
      <c r="A42" s="542"/>
    </row>
    <row r="43" spans="1:6" x14ac:dyDescent="0.2">
      <c r="A43" s="542"/>
    </row>
    <row r="44" spans="1:6" s="90" customFormat="1" x14ac:dyDescent="0.2">
      <c r="A44" s="542"/>
      <c r="B44" s="724"/>
      <c r="C44" s="289"/>
      <c r="D44" s="331"/>
      <c r="E44" s="1701"/>
      <c r="F44" s="594"/>
    </row>
    <row r="45" spans="1:6" x14ac:dyDescent="0.2">
      <c r="A45" s="542"/>
      <c r="F45" s="594"/>
    </row>
    <row r="46" spans="1:6" x14ac:dyDescent="0.2">
      <c r="A46" s="542"/>
      <c r="F46" s="594"/>
    </row>
    <row r="47" spans="1:6" x14ac:dyDescent="0.2">
      <c r="A47" s="542"/>
    </row>
    <row r="48" spans="1:6" x14ac:dyDescent="0.2">
      <c r="A48" s="542"/>
    </row>
    <row r="49" spans="1:1" x14ac:dyDescent="0.2">
      <c r="A49" s="542"/>
    </row>
    <row r="50" spans="1:1" x14ac:dyDescent="0.2">
      <c r="A50" s="542"/>
    </row>
    <row r="51" spans="1:1" x14ac:dyDescent="0.2">
      <c r="A51" s="542"/>
    </row>
    <row r="52" spans="1:1" x14ac:dyDescent="0.2">
      <c r="A52" s="171"/>
    </row>
    <row r="53" spans="1:1" x14ac:dyDescent="0.2">
      <c r="A53" s="171"/>
    </row>
    <row r="54" spans="1:1" x14ac:dyDescent="0.2">
      <c r="A54" s="162"/>
    </row>
    <row r="55" spans="1:1" x14ac:dyDescent="0.2">
      <c r="A55" s="171"/>
    </row>
    <row r="56" spans="1:1" x14ac:dyDescent="0.2">
      <c r="A56" s="171"/>
    </row>
    <row r="57" spans="1:1" x14ac:dyDescent="0.2">
      <c r="A57" s="171"/>
    </row>
    <row r="58" spans="1:1" x14ac:dyDescent="0.2">
      <c r="A58" s="171"/>
    </row>
    <row r="59" spans="1:1" x14ac:dyDescent="0.2">
      <c r="A59" s="171"/>
    </row>
    <row r="60" spans="1:1" x14ac:dyDescent="0.2">
      <c r="A60" s="162"/>
    </row>
    <row r="61" spans="1:1" x14ac:dyDescent="0.2">
      <c r="A61" s="171"/>
    </row>
    <row r="62" spans="1:1" x14ac:dyDescent="0.2">
      <c r="A62" s="171"/>
    </row>
    <row r="63" spans="1:1" x14ac:dyDescent="0.2">
      <c r="A63" s="171"/>
    </row>
    <row r="64" spans="1:1" x14ac:dyDescent="0.2">
      <c r="A64" s="171"/>
    </row>
    <row r="65" spans="1:1" x14ac:dyDescent="0.2">
      <c r="A65" s="542"/>
    </row>
  </sheetData>
  <mergeCells count="1">
    <mergeCell ref="B1:E1"/>
  </mergeCells>
  <phoneticPr fontId="27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/>
  </sheetPr>
  <dimension ref="A1:I24"/>
  <sheetViews>
    <sheetView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B23" sqref="B23"/>
    </sheetView>
  </sheetViews>
  <sheetFormatPr defaultColWidth="8.85546875" defaultRowHeight="12" x14ac:dyDescent="0.2"/>
  <cols>
    <col min="1" max="1" width="38.5703125" style="1" bestFit="1" customWidth="1"/>
    <col min="2" max="2" width="11.5703125" style="684" customWidth="1"/>
    <col min="3" max="3" width="7.42578125" style="573" bestFit="1" customWidth="1"/>
    <col min="4" max="4" width="12.28515625" style="573" bestFit="1" customWidth="1"/>
    <col min="5" max="5" width="14" style="516" bestFit="1" customWidth="1"/>
  </cols>
  <sheetData>
    <row r="1" spans="1:9" x14ac:dyDescent="0.2">
      <c r="A1" s="112"/>
      <c r="B1" s="1790">
        <v>2015</v>
      </c>
      <c r="C1" s="1791"/>
      <c r="D1" s="1791"/>
      <c r="E1" s="1792"/>
      <c r="F1" s="64" t="s">
        <v>1169</v>
      </c>
    </row>
    <row r="2" spans="1:9" x14ac:dyDescent="0.2">
      <c r="A2" s="112" t="s">
        <v>489</v>
      </c>
      <c r="B2" s="545" t="s">
        <v>487</v>
      </c>
      <c r="C2" s="1543" t="s">
        <v>486</v>
      </c>
      <c r="D2" s="556" t="s">
        <v>488</v>
      </c>
      <c r="E2" s="578" t="s">
        <v>306</v>
      </c>
      <c r="F2" s="203" t="s">
        <v>1166</v>
      </c>
      <c r="G2" s="598"/>
      <c r="H2" s="1137" t="s">
        <v>1168</v>
      </c>
      <c r="I2" s="419"/>
    </row>
    <row r="3" spans="1:9" x14ac:dyDescent="0.2">
      <c r="A3" s="1171" t="s">
        <v>46</v>
      </c>
      <c r="B3" s="1231"/>
      <c r="C3" s="1232"/>
      <c r="D3" s="1232"/>
      <c r="E3" s="1233"/>
      <c r="F3" s="1139"/>
      <c r="G3" s="1134"/>
      <c r="H3" s="1134"/>
      <c r="I3" s="1134"/>
    </row>
    <row r="4" spans="1:9" s="90" customFormat="1" ht="24" x14ac:dyDescent="0.2">
      <c r="A4" s="562" t="s">
        <v>1609</v>
      </c>
      <c r="B4" s="731"/>
      <c r="C4" s="586"/>
      <c r="D4" s="586"/>
      <c r="E4" s="587"/>
    </row>
    <row r="5" spans="1:9" s="90" customFormat="1" x14ac:dyDescent="0.2">
      <c r="A5" s="1241" t="s">
        <v>264</v>
      </c>
      <c r="B5" s="731"/>
      <c r="C5" s="586"/>
      <c r="D5" s="586"/>
      <c r="E5" s="587"/>
    </row>
    <row r="6" spans="1:9" s="90" customFormat="1" ht="13.5" x14ac:dyDescent="0.25">
      <c r="A6" s="1289" t="s">
        <v>1610</v>
      </c>
      <c r="B6" s="731">
        <v>0</v>
      </c>
      <c r="C6" s="586" t="s">
        <v>119</v>
      </c>
      <c r="D6" s="573" t="s">
        <v>1616</v>
      </c>
      <c r="E6" s="587"/>
    </row>
    <row r="7" spans="1:9" s="90" customFormat="1" ht="13.5" x14ac:dyDescent="0.25">
      <c r="A7" s="1289" t="s">
        <v>1611</v>
      </c>
      <c r="B7" s="1547">
        <v>18483.865999999998</v>
      </c>
      <c r="C7" s="586" t="s">
        <v>119</v>
      </c>
      <c r="D7" s="573" t="s">
        <v>1616</v>
      </c>
      <c r="E7" s="587"/>
    </row>
    <row r="8" spans="1:9" s="90" customFormat="1" ht="13.5" x14ac:dyDescent="0.25">
      <c r="A8" s="563" t="s">
        <v>830</v>
      </c>
      <c r="B8" s="1548">
        <f>SUM(B6:B7)</f>
        <v>18483.865999999998</v>
      </c>
      <c r="C8" s="1608" t="s">
        <v>128</v>
      </c>
      <c r="D8" s="312"/>
      <c r="E8" s="587"/>
    </row>
    <row r="9" spans="1:9" s="90" customFormat="1" x14ac:dyDescent="0.2">
      <c r="A9" s="1241" t="s">
        <v>132</v>
      </c>
      <c r="B9" s="1505"/>
      <c r="C9" s="586"/>
      <c r="D9" s="312"/>
      <c r="E9" s="587"/>
    </row>
    <row r="10" spans="1:9" s="90" customFormat="1" ht="13.5" x14ac:dyDescent="0.25">
      <c r="A10" s="1289" t="s">
        <v>1610</v>
      </c>
      <c r="B10" s="1547">
        <v>3661.9380000000001</v>
      </c>
      <c r="C10" s="586" t="s">
        <v>119</v>
      </c>
      <c r="D10" s="573" t="s">
        <v>1616</v>
      </c>
      <c r="E10" s="587"/>
    </row>
    <row r="11" spans="1:9" s="90" customFormat="1" ht="13.5" x14ac:dyDescent="0.25">
      <c r="A11" s="1289" t="s">
        <v>1611</v>
      </c>
      <c r="B11" s="1547">
        <v>21212.365000000002</v>
      </c>
      <c r="C11" s="586" t="s">
        <v>119</v>
      </c>
      <c r="D11" s="573" t="s">
        <v>1616</v>
      </c>
      <c r="E11" s="587"/>
    </row>
    <row r="12" spans="1:9" s="90" customFormat="1" ht="13.5" x14ac:dyDescent="0.25">
      <c r="A12" s="563" t="s">
        <v>831</v>
      </c>
      <c r="B12" s="1548">
        <f>SUM(B10:B11)</f>
        <v>24874.303</v>
      </c>
      <c r="C12" s="1608" t="s">
        <v>128</v>
      </c>
      <c r="D12" s="312"/>
      <c r="E12" s="587"/>
    </row>
    <row r="13" spans="1:9" s="90" customFormat="1" x14ac:dyDescent="0.2">
      <c r="A13" s="1241" t="s">
        <v>131</v>
      </c>
      <c r="B13" s="1505"/>
      <c r="C13" s="586"/>
      <c r="D13" s="312"/>
      <c r="E13" s="587"/>
    </row>
    <row r="14" spans="1:9" s="90" customFormat="1" ht="13.5" x14ac:dyDescent="0.25">
      <c r="A14" s="1289" t="s">
        <v>1610</v>
      </c>
      <c r="B14" s="1547">
        <v>2041.6669999999999</v>
      </c>
      <c r="C14" s="586" t="s">
        <v>119</v>
      </c>
      <c r="D14" s="573" t="s">
        <v>1616</v>
      </c>
      <c r="E14" s="587"/>
    </row>
    <row r="15" spans="1:9" s="90" customFormat="1" ht="13.5" x14ac:dyDescent="0.25">
      <c r="A15" s="1289" t="s">
        <v>1611</v>
      </c>
      <c r="B15" s="1547">
        <v>41230.669000000009</v>
      </c>
      <c r="C15" s="586" t="s">
        <v>119</v>
      </c>
      <c r="D15" s="573" t="s">
        <v>1616</v>
      </c>
      <c r="E15" s="587"/>
    </row>
    <row r="16" spans="1:9" s="90" customFormat="1" ht="13.5" x14ac:dyDescent="0.25">
      <c r="A16" s="563" t="s">
        <v>832</v>
      </c>
      <c r="B16" s="1548">
        <f>SUM(B14:B15)</f>
        <v>43272.33600000001</v>
      </c>
      <c r="C16" s="1608" t="s">
        <v>128</v>
      </c>
      <c r="D16" s="312"/>
      <c r="E16" s="92"/>
    </row>
    <row r="17" spans="1:5" s="90" customFormat="1" x14ac:dyDescent="0.2">
      <c r="A17" s="1241" t="s">
        <v>202</v>
      </c>
      <c r="B17" s="1505"/>
      <c r="C17" s="93"/>
      <c r="D17" s="312"/>
      <c r="E17" s="92"/>
    </row>
    <row r="18" spans="1:5" s="90" customFormat="1" ht="13.5" x14ac:dyDescent="0.25">
      <c r="A18" s="1289" t="s">
        <v>1610</v>
      </c>
      <c r="B18" s="1547">
        <v>1873.461</v>
      </c>
      <c r="C18" s="586" t="s">
        <v>119</v>
      </c>
      <c r="D18" s="573" t="s">
        <v>1616</v>
      </c>
      <c r="E18" s="92"/>
    </row>
    <row r="19" spans="1:5" s="90" customFormat="1" ht="13.5" x14ac:dyDescent="0.25">
      <c r="A19" s="1289" t="s">
        <v>1611</v>
      </c>
      <c r="B19" s="1547">
        <v>19693.671999999999</v>
      </c>
      <c r="C19" s="586" t="s">
        <v>119</v>
      </c>
      <c r="D19" s="573" t="s">
        <v>1616</v>
      </c>
      <c r="E19" s="92"/>
    </row>
    <row r="20" spans="1:5" ht="13.5" x14ac:dyDescent="0.25">
      <c r="A20" s="563" t="s">
        <v>833</v>
      </c>
      <c r="B20" s="1548">
        <f>SUM(B18:B19)</f>
        <v>21567.132999999998</v>
      </c>
      <c r="C20" s="1608" t="s">
        <v>128</v>
      </c>
      <c r="D20" s="93"/>
      <c r="E20" s="92"/>
    </row>
    <row r="21" spans="1:5" s="90" customFormat="1" x14ac:dyDescent="0.2">
      <c r="A21" s="563"/>
      <c r="B21" s="1549"/>
      <c r="C21" s="731"/>
      <c r="D21" s="93"/>
      <c r="E21" s="92"/>
    </row>
    <row r="22" spans="1:5" ht="13.5" x14ac:dyDescent="0.2">
      <c r="A22" s="1236" t="s">
        <v>834</v>
      </c>
      <c r="B22" s="1175">
        <f>SUM(B8,B12,B16,B20)</f>
        <v>108197.63800000001</v>
      </c>
      <c r="C22" s="1237" t="s">
        <v>128</v>
      </c>
      <c r="D22" s="1237"/>
      <c r="E22" s="1238"/>
    </row>
    <row r="23" spans="1:5" x14ac:dyDescent="0.2">
      <c r="C23" s="135"/>
      <c r="D23" s="135"/>
      <c r="E23" s="697"/>
    </row>
    <row r="24" spans="1:5" x14ac:dyDescent="0.2">
      <c r="C24" s="135"/>
      <c r="D24" s="135"/>
      <c r="E24" s="697"/>
    </row>
  </sheetData>
  <mergeCells count="1">
    <mergeCell ref="B1:E1"/>
  </mergeCells>
  <phoneticPr fontId="27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/>
  </sheetPr>
  <dimension ref="A1:J25"/>
  <sheetViews>
    <sheetView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B22" sqref="B22"/>
    </sheetView>
  </sheetViews>
  <sheetFormatPr defaultColWidth="8.85546875" defaultRowHeight="12" x14ac:dyDescent="0.2"/>
  <cols>
    <col min="1" max="1" width="30" style="1" customWidth="1"/>
    <col min="2" max="2" width="11" style="597" bestFit="1" customWidth="1"/>
    <col min="3" max="3" width="9.42578125" style="597" customWidth="1"/>
    <col min="4" max="4" width="12.28515625" style="597" bestFit="1" customWidth="1"/>
    <col min="5" max="5" width="9.42578125" style="307" customWidth="1"/>
  </cols>
  <sheetData>
    <row r="1" spans="1:10" x14ac:dyDescent="0.2">
      <c r="A1" s="112"/>
      <c r="B1" s="1790">
        <v>2015</v>
      </c>
      <c r="C1" s="1791"/>
      <c r="D1" s="1791"/>
      <c r="E1" s="1791"/>
      <c r="F1" s="64" t="s">
        <v>1169</v>
      </c>
    </row>
    <row r="2" spans="1:10" x14ac:dyDescent="0.2">
      <c r="A2" s="112" t="s">
        <v>489</v>
      </c>
      <c r="B2" s="545" t="s">
        <v>487</v>
      </c>
      <c r="C2" s="1543" t="s">
        <v>486</v>
      </c>
      <c r="D2" s="556" t="s">
        <v>488</v>
      </c>
      <c r="E2" s="578" t="s">
        <v>306</v>
      </c>
      <c r="F2" s="203" t="s">
        <v>1166</v>
      </c>
      <c r="G2" s="598"/>
      <c r="H2" s="1137" t="s">
        <v>1168</v>
      </c>
      <c r="I2" s="419"/>
      <c r="J2" s="419"/>
    </row>
    <row r="3" spans="1:10" x14ac:dyDescent="0.2">
      <c r="A3" s="1118" t="s">
        <v>76</v>
      </c>
      <c r="B3" s="1550"/>
      <c r="C3" s="1550"/>
      <c r="D3" s="1550"/>
      <c r="E3" s="1551"/>
      <c r="F3" s="1139"/>
      <c r="G3" s="1134"/>
      <c r="H3" s="1134"/>
      <c r="I3" s="1134"/>
      <c r="J3" s="1134"/>
    </row>
    <row r="4" spans="1:10" x14ac:dyDescent="0.2">
      <c r="A4" s="1133" t="s">
        <v>129</v>
      </c>
      <c r="B4" s="592"/>
      <c r="C4" s="592"/>
      <c r="D4" s="592"/>
      <c r="E4" s="318"/>
    </row>
    <row r="5" spans="1:10" ht="24" x14ac:dyDescent="0.2">
      <c r="A5" s="562" t="s">
        <v>1612</v>
      </c>
      <c r="B5" s="1552"/>
    </row>
    <row r="6" spans="1:10" x14ac:dyDescent="0.2">
      <c r="A6" s="1241" t="s">
        <v>264</v>
      </c>
      <c r="B6" s="1552"/>
      <c r="C6" s="443"/>
    </row>
    <row r="7" spans="1:10" ht="13.5" x14ac:dyDescent="0.2">
      <c r="A7" s="563" t="s">
        <v>830</v>
      </c>
      <c r="B7" s="1553">
        <v>0</v>
      </c>
      <c r="C7" s="493" t="s">
        <v>128</v>
      </c>
      <c r="D7" s="573" t="s">
        <v>1616</v>
      </c>
      <c r="E7" s="1554"/>
    </row>
    <row r="8" spans="1:10" x14ac:dyDescent="0.2">
      <c r="A8" s="1241" t="s">
        <v>132</v>
      </c>
      <c r="B8" s="1552"/>
      <c r="C8" s="443"/>
      <c r="D8" s="473"/>
    </row>
    <row r="9" spans="1:10" ht="13.5" x14ac:dyDescent="0.2">
      <c r="A9" s="1052" t="s">
        <v>1613</v>
      </c>
      <c r="B9" s="1547">
        <v>20813.572000000004</v>
      </c>
      <c r="C9" s="443" t="s">
        <v>119</v>
      </c>
      <c r="D9" s="573" t="s">
        <v>1616</v>
      </c>
    </row>
    <row r="10" spans="1:10" ht="13.5" x14ac:dyDescent="0.2">
      <c r="A10" s="513" t="s">
        <v>835</v>
      </c>
      <c r="B10" s="1547">
        <v>2954.6239999999998</v>
      </c>
      <c r="C10" s="443" t="s">
        <v>119</v>
      </c>
      <c r="D10" s="573" t="s">
        <v>1616</v>
      </c>
    </row>
    <row r="11" spans="1:10" ht="13.5" x14ac:dyDescent="0.2">
      <c r="A11" s="563" t="s">
        <v>831</v>
      </c>
      <c r="B11" s="1160">
        <f>SUM(B9:B10)</f>
        <v>23768.196000000004</v>
      </c>
      <c r="C11" s="493" t="s">
        <v>128</v>
      </c>
      <c r="D11" s="573"/>
      <c r="E11" s="1554"/>
    </row>
    <row r="12" spans="1:10" x14ac:dyDescent="0.2">
      <c r="A12" s="1241" t="s">
        <v>131</v>
      </c>
      <c r="B12" s="1552"/>
      <c r="C12" s="443"/>
      <c r="D12" s="473"/>
    </row>
    <row r="13" spans="1:10" ht="13.5" x14ac:dyDescent="0.2">
      <c r="A13" s="1052" t="s">
        <v>836</v>
      </c>
      <c r="B13" s="1547">
        <v>119687.86000000002</v>
      </c>
      <c r="C13" s="443" t="s">
        <v>119</v>
      </c>
      <c r="D13" s="573" t="s">
        <v>1616</v>
      </c>
    </row>
    <row r="14" spans="1:10" ht="13.5" x14ac:dyDescent="0.2">
      <c r="A14" s="1052" t="s">
        <v>837</v>
      </c>
      <c r="B14" s="1547">
        <v>32136.760999999999</v>
      </c>
      <c r="C14" s="443" t="s">
        <v>119</v>
      </c>
      <c r="D14" s="573" t="s">
        <v>1616</v>
      </c>
    </row>
    <row r="15" spans="1:10" ht="13.5" x14ac:dyDescent="0.2">
      <c r="A15" s="563" t="s">
        <v>832</v>
      </c>
      <c r="B15" s="1160">
        <f>SUM(B13:B14)</f>
        <v>151824.62100000001</v>
      </c>
      <c r="C15" s="493" t="s">
        <v>128</v>
      </c>
      <c r="D15" s="493"/>
      <c r="E15" s="1554"/>
    </row>
    <row r="16" spans="1:10" x14ac:dyDescent="0.2">
      <c r="A16" s="1241" t="s">
        <v>202</v>
      </c>
      <c r="B16" s="1555"/>
      <c r="C16" s="473"/>
      <c r="D16" s="473"/>
      <c r="E16" s="300"/>
    </row>
    <row r="17" spans="1:5" ht="13.5" x14ac:dyDescent="0.2">
      <c r="A17" s="1289" t="s">
        <v>1614</v>
      </c>
      <c r="B17" s="1547">
        <v>3430.9349999999999</v>
      </c>
      <c r="C17" s="443" t="s">
        <v>119</v>
      </c>
      <c r="D17" s="573" t="s">
        <v>1616</v>
      </c>
      <c r="E17" s="300"/>
    </row>
    <row r="18" spans="1:5" ht="13.5" x14ac:dyDescent="0.2">
      <c r="A18" s="565" t="s">
        <v>838</v>
      </c>
      <c r="B18" s="1547">
        <v>2710.7280000000001</v>
      </c>
      <c r="C18" s="443" t="s">
        <v>119</v>
      </c>
      <c r="D18" s="573" t="s">
        <v>1616</v>
      </c>
      <c r="E18" s="327"/>
    </row>
    <row r="19" spans="1:5" ht="13.5" x14ac:dyDescent="0.2">
      <c r="A19" s="563" t="s">
        <v>833</v>
      </c>
      <c r="B19" s="251">
        <f>SUM(B17:B18)</f>
        <v>6141.6630000000005</v>
      </c>
      <c r="C19" s="493" t="s">
        <v>128</v>
      </c>
      <c r="D19" s="493"/>
      <c r="E19" s="309"/>
    </row>
    <row r="20" spans="1:5" x14ac:dyDescent="0.2">
      <c r="B20" s="1556"/>
      <c r="C20" s="135"/>
      <c r="D20" s="216"/>
      <c r="E20" s="300"/>
    </row>
    <row r="21" spans="1:5" ht="13.5" x14ac:dyDescent="0.2">
      <c r="A21" s="1236" t="s">
        <v>834</v>
      </c>
      <c r="B21" s="1557">
        <f>SUM(B19,B15,B11,B7)</f>
        <v>181734.48</v>
      </c>
      <c r="C21" s="1237" t="s">
        <v>128</v>
      </c>
      <c r="D21" s="1237"/>
      <c r="E21" s="1238"/>
    </row>
    <row r="22" spans="1:5" x14ac:dyDescent="0.2">
      <c r="A22" s="158"/>
      <c r="B22" s="1558"/>
      <c r="C22" s="329"/>
      <c r="D22" s="329"/>
      <c r="E22" s="327"/>
    </row>
    <row r="23" spans="1:5" x14ac:dyDescent="0.2">
      <c r="A23" s="158"/>
      <c r="B23" s="1558"/>
      <c r="C23" s="324"/>
      <c r="D23" s="324"/>
      <c r="E23" s="303"/>
    </row>
    <row r="24" spans="1:5" x14ac:dyDescent="0.2">
      <c r="B24" s="1555"/>
    </row>
    <row r="25" spans="1:5" x14ac:dyDescent="0.2">
      <c r="B25" s="1559"/>
    </row>
  </sheetData>
  <mergeCells count="1">
    <mergeCell ref="B1:E1"/>
  </mergeCells>
  <phoneticPr fontId="27" type="noConversion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9" tint="-0.249977111117893"/>
  </sheetPr>
  <dimension ref="A1:I55"/>
  <sheetViews>
    <sheetView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D15" sqref="D15"/>
    </sheetView>
  </sheetViews>
  <sheetFormatPr defaultColWidth="8.85546875" defaultRowHeight="12" x14ac:dyDescent="0.2"/>
  <cols>
    <col min="1" max="1" width="67.42578125" style="516" customWidth="1"/>
    <col min="2" max="2" width="17" style="678" customWidth="1"/>
    <col min="3" max="3" width="16.85546875" style="71" customWidth="1"/>
    <col min="4" max="4" width="26" style="71" bestFit="1" customWidth="1"/>
    <col min="5" max="5" width="7.28515625" style="728" customWidth="1"/>
  </cols>
  <sheetData>
    <row r="1" spans="1:9" x14ac:dyDescent="0.2">
      <c r="A1" s="539"/>
      <c r="B1" s="1790">
        <v>2015</v>
      </c>
      <c r="C1" s="1791"/>
      <c r="D1" s="1791"/>
      <c r="E1" s="1792"/>
      <c r="F1" s="64" t="s">
        <v>1169</v>
      </c>
    </row>
    <row r="2" spans="1:9" x14ac:dyDescent="0.2">
      <c r="A2" s="539" t="s">
        <v>489</v>
      </c>
      <c r="B2" s="520" t="s">
        <v>487</v>
      </c>
      <c r="C2" s="1263" t="s">
        <v>486</v>
      </c>
      <c r="D2" s="556" t="s">
        <v>488</v>
      </c>
      <c r="E2" s="729" t="s">
        <v>306</v>
      </c>
      <c r="F2" s="203" t="s">
        <v>1166</v>
      </c>
      <c r="G2" s="598"/>
      <c r="H2" s="1137" t="s">
        <v>1168</v>
      </c>
      <c r="I2" s="419"/>
    </row>
    <row r="3" spans="1:9" x14ac:dyDescent="0.2">
      <c r="A3" s="1216" t="s">
        <v>1177</v>
      </c>
      <c r="B3" s="1218"/>
      <c r="C3" s="1172"/>
      <c r="D3" s="1173"/>
      <c r="E3" s="1217"/>
      <c r="F3" s="1139"/>
      <c r="G3" s="1134"/>
      <c r="H3" s="1134"/>
      <c r="I3" s="1134"/>
    </row>
    <row r="4" spans="1:9" s="90" customFormat="1" x14ac:dyDescent="0.2">
      <c r="A4" s="1211" t="s">
        <v>47</v>
      </c>
      <c r="B4" s="1215"/>
      <c r="C4" s="1212"/>
      <c r="D4" s="1213"/>
      <c r="E4" s="1214"/>
      <c r="F4" s="1230"/>
      <c r="G4" s="1230"/>
      <c r="H4" s="1230"/>
      <c r="I4" s="1230"/>
    </row>
    <row r="5" spans="1:9" x14ac:dyDescent="0.2">
      <c r="B5" s="717"/>
      <c r="C5" s="132"/>
      <c r="D5" s="127"/>
      <c r="E5" s="555"/>
    </row>
    <row r="6" spans="1:9" x14ac:dyDescent="0.2">
      <c r="A6" s="1129" t="s">
        <v>121</v>
      </c>
      <c r="B6" s="688"/>
      <c r="C6" s="689"/>
      <c r="D6" s="85"/>
      <c r="E6" s="1219"/>
    </row>
    <row r="7" spans="1:9" x14ac:dyDescent="0.2">
      <c r="A7" s="1133" t="s">
        <v>129</v>
      </c>
      <c r="B7" s="688"/>
      <c r="C7" s="689"/>
      <c r="D7" s="85"/>
      <c r="E7" s="1219"/>
    </row>
    <row r="8" spans="1:9" x14ac:dyDescent="0.2">
      <c r="A8" s="524" t="s">
        <v>33</v>
      </c>
      <c r="B8" s="688"/>
      <c r="C8" s="689"/>
      <c r="D8" s="85"/>
      <c r="E8" s="1219"/>
    </row>
    <row r="9" spans="1:9" x14ac:dyDescent="0.2">
      <c r="A9" s="510" t="s">
        <v>1601</v>
      </c>
      <c r="B9" s="1200">
        <v>11005</v>
      </c>
      <c r="C9" s="726" t="s">
        <v>1074</v>
      </c>
      <c r="D9" s="1136" t="s">
        <v>1608</v>
      </c>
      <c r="E9" s="555" t="s">
        <v>1604</v>
      </c>
    </row>
    <row r="10" spans="1:9" x14ac:dyDescent="0.2">
      <c r="A10" s="510" t="s">
        <v>1601</v>
      </c>
      <c r="B10" s="1200">
        <v>1814</v>
      </c>
      <c r="C10" s="726" t="s">
        <v>1074</v>
      </c>
      <c r="D10" s="1136" t="s">
        <v>1608</v>
      </c>
      <c r="E10" s="555" t="s">
        <v>1605</v>
      </c>
    </row>
    <row r="11" spans="1:9" x14ac:dyDescent="0.2">
      <c r="A11" s="557" t="s">
        <v>1600</v>
      </c>
      <c r="B11" s="1200">
        <v>546416</v>
      </c>
      <c r="C11" s="726" t="s">
        <v>1150</v>
      </c>
      <c r="D11" s="1136" t="s">
        <v>1608</v>
      </c>
      <c r="E11" s="1219" t="s">
        <v>1606</v>
      </c>
    </row>
    <row r="12" spans="1:9" x14ac:dyDescent="0.2">
      <c r="A12" s="557" t="s">
        <v>1599</v>
      </c>
      <c r="B12" s="1200">
        <v>545655</v>
      </c>
      <c r="C12" s="726" t="s">
        <v>1150</v>
      </c>
      <c r="D12" s="1136" t="s">
        <v>1608</v>
      </c>
      <c r="E12" s="1219" t="s">
        <v>1607</v>
      </c>
    </row>
    <row r="13" spans="1:9" x14ac:dyDescent="0.2">
      <c r="A13" s="1127" t="s">
        <v>106</v>
      </c>
      <c r="B13" s="1223"/>
      <c r="C13" s="689"/>
      <c r="D13" s="85"/>
      <c r="E13" s="1219"/>
    </row>
    <row r="14" spans="1:9" s="90" customFormat="1" x14ac:dyDescent="0.2">
      <c r="A14" s="540" t="s">
        <v>802</v>
      </c>
      <c r="B14" s="1201">
        <f>SUM(B9:B10)*1000</f>
        <v>12819000</v>
      </c>
      <c r="C14" s="132" t="s">
        <v>0</v>
      </c>
      <c r="D14" s="179"/>
      <c r="E14" s="555"/>
    </row>
    <row r="15" spans="1:9" s="90" customFormat="1" x14ac:dyDescent="0.2">
      <c r="A15" s="172" t="s">
        <v>567</v>
      </c>
      <c r="B15" s="1201">
        <f>B14*thermTOBtu*10^-6</f>
        <v>1281900</v>
      </c>
      <c r="C15" s="288" t="s">
        <v>1653</v>
      </c>
      <c r="D15" s="179"/>
      <c r="E15" s="555"/>
    </row>
    <row r="16" spans="1:9" ht="13.5" x14ac:dyDescent="0.2">
      <c r="A16" s="242" t="s">
        <v>919</v>
      </c>
      <c r="B16" s="1224">
        <f>B15*'Emission Factors'!C112*10^-6+B15*efgas.res.ch4*GWPCH4*10^-6+B15*efgas.res.n2o*GWPN2O*10^-6</f>
        <v>68417.694990000004</v>
      </c>
      <c r="C16" s="719" t="s">
        <v>1747</v>
      </c>
      <c r="D16" s="128"/>
      <c r="E16" s="554"/>
    </row>
    <row r="17" spans="1:5" x14ac:dyDescent="0.2">
      <c r="A17" s="111"/>
      <c r="B17" s="1223"/>
      <c r="C17" s="689"/>
      <c r="D17" s="85"/>
      <c r="E17" s="1219"/>
    </row>
    <row r="18" spans="1:5" x14ac:dyDescent="0.2">
      <c r="A18" s="1129" t="s">
        <v>48</v>
      </c>
      <c r="B18" s="1225"/>
      <c r="C18" s="135"/>
      <c r="D18" s="132"/>
    </row>
    <row r="19" spans="1:5" x14ac:dyDescent="0.2">
      <c r="A19" s="1133" t="s">
        <v>129</v>
      </c>
      <c r="B19" s="1201"/>
      <c r="C19" s="135"/>
      <c r="D19" s="132"/>
    </row>
    <row r="20" spans="1:5" x14ac:dyDescent="0.2">
      <c r="A20" s="510" t="s">
        <v>1602</v>
      </c>
      <c r="B20" s="1200">
        <v>15992</v>
      </c>
      <c r="C20" s="726" t="s">
        <v>1151</v>
      </c>
      <c r="D20" s="1136" t="s">
        <v>1608</v>
      </c>
      <c r="E20" s="555" t="s">
        <v>1603</v>
      </c>
    </row>
    <row r="21" spans="1:5" x14ac:dyDescent="0.2">
      <c r="A21" s="1127" t="s">
        <v>106</v>
      </c>
      <c r="B21" s="1191"/>
      <c r="C21" s="195"/>
      <c r="D21" s="179"/>
      <c r="E21" s="555"/>
    </row>
    <row r="22" spans="1:5" s="322" customFormat="1" x14ac:dyDescent="0.2">
      <c r="A22" s="541" t="s">
        <v>1</v>
      </c>
      <c r="B22" s="1226">
        <f>SUM(B20)</f>
        <v>15992</v>
      </c>
      <c r="C22" s="736" t="s">
        <v>539</v>
      </c>
      <c r="D22" s="737"/>
      <c r="E22" s="555"/>
    </row>
    <row r="23" spans="1:5" ht="13.5" x14ac:dyDescent="0.2">
      <c r="A23" s="242" t="s">
        <v>68</v>
      </c>
      <c r="B23" s="1177">
        <f>B22*efgdistillate/1000000+B22*efgdistillate.ind.ch4*GWPCH4/1000000+B22*efgdistillate.ind.n2o*GWPN2O/1000000</f>
        <v>164.09637322924831</v>
      </c>
      <c r="C23" s="286" t="s">
        <v>128</v>
      </c>
      <c r="D23" s="128"/>
      <c r="E23" s="554"/>
    </row>
    <row r="24" spans="1:5" x14ac:dyDescent="0.2">
      <c r="A24" s="1130" t="s">
        <v>50</v>
      </c>
      <c r="B24" s="1209"/>
      <c r="C24" s="1209"/>
      <c r="D24" s="1210"/>
      <c r="E24" s="1222"/>
    </row>
    <row r="25" spans="1:5" s="90" customFormat="1" x14ac:dyDescent="0.2">
      <c r="A25" s="245"/>
      <c r="B25" s="1225"/>
      <c r="C25" s="93"/>
      <c r="D25" s="312"/>
      <c r="E25" s="1221"/>
    </row>
    <row r="26" spans="1:5" x14ac:dyDescent="0.2">
      <c r="A26" s="1129" t="s">
        <v>133</v>
      </c>
      <c r="B26" s="1225"/>
      <c r="C26" s="93"/>
      <c r="D26" s="312"/>
      <c r="E26" s="1221"/>
    </row>
    <row r="27" spans="1:5" x14ac:dyDescent="0.2">
      <c r="A27" s="1133" t="s">
        <v>129</v>
      </c>
      <c r="B27" s="1225"/>
      <c r="C27" s="93"/>
      <c r="D27" s="312"/>
      <c r="E27" s="1221"/>
    </row>
    <row r="28" spans="1:5" x14ac:dyDescent="0.2">
      <c r="A28" s="172" t="s">
        <v>200</v>
      </c>
      <c r="B28" s="1225"/>
      <c r="C28" s="93"/>
      <c r="D28" s="312"/>
      <c r="E28" s="1221"/>
    </row>
    <row r="29" spans="1:5" x14ac:dyDescent="0.2">
      <c r="A29" s="515" t="s">
        <v>51</v>
      </c>
      <c r="B29" s="1201"/>
      <c r="C29" s="132"/>
      <c r="D29" s="127"/>
      <c r="E29" s="555"/>
    </row>
    <row r="30" spans="1:5" x14ac:dyDescent="0.2">
      <c r="A30" s="537" t="s">
        <v>78</v>
      </c>
      <c r="B30" s="1201">
        <v>4287980</v>
      </c>
      <c r="C30" s="331" t="s">
        <v>505</v>
      </c>
      <c r="D30" s="1229" t="s">
        <v>1863</v>
      </c>
      <c r="E30" s="555"/>
    </row>
    <row r="31" spans="1:5" x14ac:dyDescent="0.2">
      <c r="A31" s="1127" t="s">
        <v>106</v>
      </c>
      <c r="B31" s="1142"/>
      <c r="C31" s="234"/>
      <c r="D31" s="234"/>
      <c r="E31" s="1220"/>
    </row>
    <row r="32" spans="1:5" x14ac:dyDescent="0.2">
      <c r="A32" s="540" t="s">
        <v>1654</v>
      </c>
      <c r="B32" s="1142">
        <f>B30*thermTOBtu*10^-6</f>
        <v>428798</v>
      </c>
      <c r="C32" s="1570" t="s">
        <v>1653</v>
      </c>
      <c r="D32" s="234"/>
      <c r="E32" s="1220"/>
    </row>
    <row r="33" spans="1:5" ht="13.5" x14ac:dyDescent="0.2">
      <c r="A33" s="242" t="s">
        <v>1857</v>
      </c>
      <c r="B33" s="1228">
        <f>B32*'Emission Factors'!C112*10^-6+B32*[0]!efgas.res.ch4*10^-6+B32*efgas.res.n2o*10^-6</f>
        <v>22752.4935578</v>
      </c>
      <c r="C33" s="719" t="s">
        <v>799</v>
      </c>
      <c r="D33" s="234"/>
      <c r="E33" s="1220"/>
    </row>
    <row r="34" spans="1:5" x14ac:dyDescent="0.2">
      <c r="A34" s="238" t="s">
        <v>52</v>
      </c>
      <c r="B34" s="1189"/>
      <c r="C34" s="132"/>
      <c r="D34" s="127"/>
      <c r="E34" s="555"/>
    </row>
    <row r="35" spans="1:5" x14ac:dyDescent="0.2">
      <c r="A35" s="1133" t="s">
        <v>129</v>
      </c>
      <c r="B35" s="1189"/>
      <c r="D35" s="135"/>
    </row>
    <row r="36" spans="1:5" x14ac:dyDescent="0.2">
      <c r="A36" s="172" t="s">
        <v>26</v>
      </c>
      <c r="B36" s="1189"/>
      <c r="D36" s="135"/>
    </row>
    <row r="37" spans="1:5" x14ac:dyDescent="0.2">
      <c r="A37" s="172" t="s">
        <v>73</v>
      </c>
      <c r="B37" s="1225">
        <v>2015</v>
      </c>
      <c r="D37" s="135"/>
    </row>
    <row r="38" spans="1:5" x14ac:dyDescent="0.2">
      <c r="A38" s="239" t="s">
        <v>53</v>
      </c>
      <c r="B38" s="1189">
        <v>15852</v>
      </c>
      <c r="C38" s="132" t="s">
        <v>184</v>
      </c>
      <c r="D38" s="1136" t="s">
        <v>1590</v>
      </c>
      <c r="E38" s="555"/>
    </row>
    <row r="39" spans="1:5" x14ac:dyDescent="0.2">
      <c r="A39" s="115" t="s">
        <v>1567</v>
      </c>
      <c r="B39" s="1227">
        <f>___pop05/ref!C94</f>
        <v>0.1623784798842339</v>
      </c>
      <c r="C39" s="132"/>
      <c r="D39" s="1136" t="s">
        <v>1125</v>
      </c>
      <c r="E39" s="555"/>
    </row>
    <row r="40" spans="1:5" s="90" customFormat="1" x14ac:dyDescent="0.2">
      <c r="A40" s="1127" t="s">
        <v>106</v>
      </c>
      <c r="B40" s="1142"/>
      <c r="C40" s="234"/>
      <c r="D40" s="234"/>
      <c r="E40" s="1220"/>
    </row>
    <row r="41" spans="1:5" x14ac:dyDescent="0.2">
      <c r="A41" s="540" t="s">
        <v>1655</v>
      </c>
      <c r="B41" s="1189">
        <f>B38*1000*B39</f>
        <v>2574023.6631248756</v>
      </c>
      <c r="C41" s="331" t="s">
        <v>539</v>
      </c>
      <c r="D41" s="127"/>
      <c r="E41" s="555"/>
    </row>
    <row r="42" spans="1:5" ht="13.5" x14ac:dyDescent="0.2">
      <c r="A42" s="205" t="s">
        <v>75</v>
      </c>
      <c r="B42" s="1616">
        <f>B41*efgdistillate*10^-6</f>
        <v>26311.03642696856</v>
      </c>
      <c r="C42" s="719" t="s">
        <v>799</v>
      </c>
      <c r="D42" s="128"/>
      <c r="E42" s="554"/>
    </row>
    <row r="43" spans="1:5" x14ac:dyDescent="0.2">
      <c r="A43" s="172"/>
      <c r="B43" s="717"/>
      <c r="C43" s="195"/>
      <c r="D43" s="179"/>
      <c r="E43" s="555"/>
    </row>
    <row r="44" spans="1:5" ht="13.5" x14ac:dyDescent="0.25">
      <c r="A44" s="1203" t="s">
        <v>15</v>
      </c>
      <c r="B44" s="1469">
        <f>B42+B33</f>
        <v>49063.52998476856</v>
      </c>
      <c r="C44" s="1356" t="s">
        <v>128</v>
      </c>
      <c r="D44" s="1471"/>
      <c r="E44" s="1472"/>
    </row>
    <row r="45" spans="1:5" x14ac:dyDescent="0.2">
      <c r="A45" s="205"/>
      <c r="B45" s="715"/>
      <c r="C45" s="93"/>
      <c r="D45" s="312"/>
      <c r="E45" s="1221"/>
    </row>
    <row r="46" spans="1:5" x14ac:dyDescent="0.2">
      <c r="A46" s="205"/>
      <c r="B46" s="675"/>
      <c r="C46" s="132"/>
      <c r="D46" s="127"/>
      <c r="E46" s="555"/>
    </row>
    <row r="47" spans="1:5" x14ac:dyDescent="0.2">
      <c r="A47" s="514"/>
      <c r="B47" s="675"/>
      <c r="C47" s="132"/>
      <c r="D47" s="127"/>
      <c r="E47" s="555"/>
    </row>
    <row r="48" spans="1:5" x14ac:dyDescent="0.2">
      <c r="A48" s="542"/>
      <c r="B48" s="718"/>
      <c r="C48" s="132"/>
      <c r="D48" s="127"/>
      <c r="E48" s="555"/>
    </row>
    <row r="49" spans="1:5" x14ac:dyDescent="0.2">
      <c r="A49" s="543"/>
      <c r="B49" s="735"/>
      <c r="C49" s="252"/>
      <c r="D49" s="179"/>
      <c r="E49" s="555"/>
    </row>
    <row r="50" spans="1:5" x14ac:dyDescent="0.2">
      <c r="A50" s="543"/>
      <c r="B50" s="735"/>
      <c r="C50" s="252"/>
      <c r="D50" s="179"/>
      <c r="E50" s="555"/>
    </row>
    <row r="51" spans="1:5" x14ac:dyDescent="0.2">
      <c r="A51" s="544"/>
      <c r="B51" s="675"/>
      <c r="C51" s="197"/>
      <c r="D51" s="127"/>
      <c r="E51" s="555"/>
    </row>
    <row r="52" spans="1:5" x14ac:dyDescent="0.2">
      <c r="A52" s="239"/>
      <c r="B52" s="715"/>
      <c r="C52" s="132"/>
      <c r="D52" s="132"/>
      <c r="E52" s="725"/>
    </row>
    <row r="53" spans="1:5" x14ac:dyDescent="0.2">
      <c r="A53" s="538"/>
      <c r="B53" s="734"/>
      <c r="C53" s="331"/>
      <c r="D53" s="85"/>
      <c r="E53" s="1219"/>
    </row>
    <row r="54" spans="1:5" x14ac:dyDescent="0.2">
      <c r="C54" s="135"/>
      <c r="D54" s="135"/>
    </row>
    <row r="55" spans="1:5" x14ac:dyDescent="0.2">
      <c r="C55" s="135"/>
      <c r="D55" s="135"/>
    </row>
  </sheetData>
  <mergeCells count="1">
    <mergeCell ref="B1:E1"/>
  </mergeCells>
  <phoneticPr fontId="27" type="noConversion"/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9" tint="-0.249977111117893"/>
  </sheetPr>
  <dimension ref="A1:I63"/>
  <sheetViews>
    <sheetView zoomScaleNormal="100" workbookViewId="0">
      <pane xSplit="1" ySplit="2" topLeftCell="B12" activePane="bottomRight" state="frozen"/>
      <selection activeCell="F46" sqref="F46"/>
      <selection pane="topRight" activeCell="F46" sqref="F46"/>
      <selection pane="bottomLeft" activeCell="F46" sqref="F46"/>
      <selection pane="bottomRight" activeCell="A61" sqref="A61"/>
    </sheetView>
  </sheetViews>
  <sheetFormatPr defaultColWidth="8.85546875" defaultRowHeight="12" x14ac:dyDescent="0.2"/>
  <cols>
    <col min="1" max="1" width="62.7109375" style="1" customWidth="1"/>
    <col min="2" max="2" width="8.5703125" style="733" bestFit="1" customWidth="1"/>
    <col min="3" max="3" width="20.42578125" style="71" bestFit="1" customWidth="1"/>
    <col min="4" max="4" width="28.140625" style="71" bestFit="1" customWidth="1"/>
    <col min="5" max="5" width="15.7109375" style="728" bestFit="1" customWidth="1"/>
  </cols>
  <sheetData>
    <row r="1" spans="1:9" x14ac:dyDescent="0.2">
      <c r="A1" s="112"/>
      <c r="B1" s="1790">
        <v>2015</v>
      </c>
      <c r="C1" s="1791"/>
      <c r="D1" s="1791"/>
      <c r="E1" s="1792"/>
      <c r="F1" s="64" t="s">
        <v>1169</v>
      </c>
    </row>
    <row r="2" spans="1:9" x14ac:dyDescent="0.2">
      <c r="A2" s="112" t="s">
        <v>489</v>
      </c>
      <c r="B2" s="199" t="s">
        <v>1176</v>
      </c>
      <c r="C2" s="1263" t="s">
        <v>486</v>
      </c>
      <c r="D2" s="556" t="s">
        <v>488</v>
      </c>
      <c r="E2" s="729" t="s">
        <v>306</v>
      </c>
      <c r="F2" s="203" t="s">
        <v>1166</v>
      </c>
      <c r="G2" s="598"/>
      <c r="H2" s="1137" t="s">
        <v>1168</v>
      </c>
      <c r="I2" s="419"/>
    </row>
    <row r="3" spans="1:9" x14ac:dyDescent="0.2">
      <c r="A3" s="1118" t="s">
        <v>84</v>
      </c>
      <c r="B3" s="1178"/>
      <c r="C3" s="1179"/>
      <c r="D3" s="1179"/>
      <c r="E3" s="1180"/>
      <c r="F3" s="1139"/>
      <c r="G3" s="1134"/>
      <c r="H3" s="1134"/>
      <c r="I3" s="1134"/>
    </row>
    <row r="4" spans="1:9" s="90" customFormat="1" x14ac:dyDescent="0.2">
      <c r="A4" s="245"/>
      <c r="B4" s="741"/>
      <c r="C4" s="700"/>
      <c r="D4" s="700"/>
      <c r="E4" s="742"/>
    </row>
    <row r="5" spans="1:9" s="90" customFormat="1" x14ac:dyDescent="0.2">
      <c r="A5" s="1130" t="s">
        <v>85</v>
      </c>
      <c r="B5" s="1182"/>
      <c r="C5" s="1183"/>
      <c r="D5" s="1183"/>
      <c r="E5" s="1184"/>
    </row>
    <row r="6" spans="1:9" x14ac:dyDescent="0.2">
      <c r="A6" s="1133" t="s">
        <v>81</v>
      </c>
      <c r="B6" s="717"/>
      <c r="C6" s="132"/>
      <c r="D6" s="127"/>
      <c r="E6" s="555"/>
    </row>
    <row r="7" spans="1:9" x14ac:dyDescent="0.2">
      <c r="A7" s="172" t="s">
        <v>37</v>
      </c>
      <c r="B7" s="717"/>
      <c r="C7" s="132"/>
      <c r="D7" s="127"/>
      <c r="E7" s="555"/>
    </row>
    <row r="8" spans="1:9" x14ac:dyDescent="0.2">
      <c r="A8" s="115" t="s">
        <v>142</v>
      </c>
      <c r="B8" s="1694">
        <v>1.02</v>
      </c>
      <c r="C8" s="132"/>
      <c r="D8" s="1192" t="s">
        <v>57</v>
      </c>
      <c r="E8" s="1195" t="s">
        <v>58</v>
      </c>
    </row>
    <row r="9" spans="1:9" x14ac:dyDescent="0.2">
      <c r="A9" s="537" t="s">
        <v>138</v>
      </c>
      <c r="B9" s="739">
        <v>0.78500000000000003</v>
      </c>
      <c r="C9" s="132"/>
      <c r="D9" s="1192" t="s">
        <v>57</v>
      </c>
      <c r="E9" s="1195" t="s">
        <v>58</v>
      </c>
    </row>
    <row r="10" spans="1:9" x14ac:dyDescent="0.2">
      <c r="A10" s="548" t="s">
        <v>122</v>
      </c>
      <c r="B10" s="717"/>
      <c r="C10" s="132"/>
      <c r="D10" s="1193"/>
      <c r="E10" s="1195"/>
    </row>
    <row r="11" spans="1:9" x14ac:dyDescent="0.2">
      <c r="A11" s="540" t="s">
        <v>1741</v>
      </c>
      <c r="B11" s="1190">
        <v>0</v>
      </c>
      <c r="C11" s="724" t="s">
        <v>1152</v>
      </c>
      <c r="D11" s="1136" t="s">
        <v>1608</v>
      </c>
      <c r="E11" s="1195"/>
    </row>
    <row r="12" spans="1:9" x14ac:dyDescent="0.2">
      <c r="A12" s="538" t="s">
        <v>140</v>
      </c>
      <c r="B12" s="1695">
        <v>0.66169999999999995</v>
      </c>
      <c r="C12" s="195"/>
      <c r="D12" s="1194" t="s">
        <v>43</v>
      </c>
      <c r="E12" s="1196"/>
    </row>
    <row r="13" spans="1:9" x14ac:dyDescent="0.2">
      <c r="A13" s="540" t="s">
        <v>841</v>
      </c>
      <c r="B13" s="716">
        <v>0</v>
      </c>
      <c r="C13" s="331" t="s">
        <v>1153</v>
      </c>
      <c r="D13" s="1136" t="s">
        <v>1608</v>
      </c>
      <c r="E13" s="1196"/>
    </row>
    <row r="14" spans="1:9" x14ac:dyDescent="0.2">
      <c r="A14" s="538" t="s">
        <v>38</v>
      </c>
      <c r="B14" s="718">
        <v>0.69020000000000004</v>
      </c>
      <c r="C14" s="132"/>
      <c r="D14" s="127"/>
      <c r="E14" s="555"/>
    </row>
    <row r="15" spans="1:9" x14ac:dyDescent="0.2">
      <c r="A15" s="1127" t="s">
        <v>82</v>
      </c>
      <c r="B15" s="295"/>
      <c r="C15" s="128"/>
      <c r="D15" s="128"/>
      <c r="E15" s="554"/>
    </row>
    <row r="16" spans="1:9" x14ac:dyDescent="0.2">
      <c r="A16" s="205" t="s">
        <v>139</v>
      </c>
      <c r="B16" s="295"/>
      <c r="C16" s="128"/>
      <c r="D16" s="128"/>
      <c r="E16" s="554"/>
    </row>
    <row r="17" spans="1:5" x14ac:dyDescent="0.2">
      <c r="A17" s="172" t="s">
        <v>79</v>
      </c>
      <c r="B17" s="1189">
        <f>B11*tonTOMg</f>
        <v>0</v>
      </c>
      <c r="C17" s="195" t="s">
        <v>650</v>
      </c>
      <c r="D17" s="127"/>
      <c r="E17" s="555"/>
    </row>
    <row r="18" spans="1:5" x14ac:dyDescent="0.2">
      <c r="A18" s="172" t="s">
        <v>87</v>
      </c>
      <c r="B18" s="717"/>
      <c r="C18" s="195" t="s">
        <v>88</v>
      </c>
      <c r="D18" s="127"/>
      <c r="E18" s="555"/>
    </row>
    <row r="19" spans="1:5" x14ac:dyDescent="0.2">
      <c r="A19" s="172" t="s">
        <v>93</v>
      </c>
      <c r="B19" s="738">
        <f>B14*B9</f>
        <v>0.54180700000000004</v>
      </c>
      <c r="C19" s="195" t="s">
        <v>88</v>
      </c>
      <c r="D19" s="127"/>
      <c r="E19" s="555"/>
    </row>
    <row r="20" spans="1:5" x14ac:dyDescent="0.2">
      <c r="A20" s="172" t="s">
        <v>90</v>
      </c>
      <c r="B20" s="717"/>
      <c r="C20" s="195"/>
      <c r="D20" s="127"/>
      <c r="E20" s="555"/>
    </row>
    <row r="21" spans="1:5" ht="13.5" x14ac:dyDescent="0.2">
      <c r="A21" s="172" t="s">
        <v>91</v>
      </c>
      <c r="B21" s="717">
        <f>B17*B8*B19</f>
        <v>0</v>
      </c>
      <c r="C21" s="132" t="s">
        <v>119</v>
      </c>
      <c r="D21" s="127"/>
      <c r="E21" s="555"/>
    </row>
    <row r="22" spans="1:5" x14ac:dyDescent="0.2">
      <c r="A22" s="172" t="s">
        <v>89</v>
      </c>
      <c r="B22" s="717"/>
      <c r="C22" s="132"/>
      <c r="D22" s="127"/>
      <c r="E22" s="555"/>
    </row>
    <row r="23" spans="1:5" x14ac:dyDescent="0.2">
      <c r="A23" s="205" t="s">
        <v>141</v>
      </c>
      <c r="B23" s="717"/>
      <c r="C23" s="195"/>
      <c r="D23" s="127"/>
      <c r="E23" s="555"/>
    </row>
    <row r="24" spans="1:5" x14ac:dyDescent="0.2">
      <c r="A24" s="172" t="s">
        <v>79</v>
      </c>
      <c r="B24" s="732">
        <f>B13*tonTOMg</f>
        <v>0</v>
      </c>
      <c r="C24" s="195" t="s">
        <v>650</v>
      </c>
      <c r="D24" s="127"/>
      <c r="E24" s="555"/>
    </row>
    <row r="25" spans="1:5" x14ac:dyDescent="0.2">
      <c r="A25" s="172" t="s">
        <v>86</v>
      </c>
      <c r="B25" s="739">
        <f>B12*B9</f>
        <v>0.51943450000000002</v>
      </c>
      <c r="C25" s="195" t="s">
        <v>88</v>
      </c>
      <c r="D25" s="127"/>
      <c r="E25" s="555"/>
    </row>
    <row r="26" spans="1:5" ht="13.5" x14ac:dyDescent="0.2">
      <c r="A26" s="172" t="s">
        <v>91</v>
      </c>
      <c r="B26" s="732">
        <f>B24*B25*B8</f>
        <v>0</v>
      </c>
      <c r="C26" s="132" t="s">
        <v>119</v>
      </c>
      <c r="D26" s="127"/>
      <c r="E26" s="555"/>
    </row>
    <row r="27" spans="1:5" ht="13.5" x14ac:dyDescent="0.2">
      <c r="A27" s="205" t="s">
        <v>92</v>
      </c>
      <c r="B27" s="740">
        <f>B26+B21</f>
        <v>0</v>
      </c>
      <c r="C27" s="719" t="s">
        <v>799</v>
      </c>
      <c r="D27" s="127"/>
      <c r="E27" s="555"/>
    </row>
    <row r="28" spans="1:5" x14ac:dyDescent="0.2">
      <c r="A28" s="172"/>
      <c r="B28" s="732"/>
      <c r="C28" s="132"/>
      <c r="D28" s="127"/>
      <c r="E28" s="555"/>
    </row>
    <row r="29" spans="1:5" x14ac:dyDescent="0.2">
      <c r="A29" s="1130" t="s">
        <v>83</v>
      </c>
      <c r="B29" s="1185"/>
      <c r="C29" s="1186"/>
      <c r="D29" s="1187"/>
      <c r="E29" s="1188"/>
    </row>
    <row r="30" spans="1:5" x14ac:dyDescent="0.2">
      <c r="A30" s="1133" t="s">
        <v>80</v>
      </c>
      <c r="B30" s="732"/>
      <c r="C30" s="132"/>
      <c r="D30" s="127"/>
      <c r="E30" s="555"/>
    </row>
    <row r="31" spans="1:5" x14ac:dyDescent="0.2">
      <c r="A31" s="548" t="s">
        <v>122</v>
      </c>
      <c r="B31" s="732"/>
      <c r="C31" s="132"/>
      <c r="D31" s="127"/>
      <c r="E31" s="555"/>
    </row>
    <row r="32" spans="1:5" x14ac:dyDescent="0.2">
      <c r="A32" s="554" t="s">
        <v>120</v>
      </c>
      <c r="B32" s="1199"/>
      <c r="C32" s="241"/>
      <c r="D32" s="179"/>
      <c r="E32" s="555"/>
    </row>
    <row r="33" spans="1:5" x14ac:dyDescent="0.2">
      <c r="A33" s="540" t="s">
        <v>1742</v>
      </c>
      <c r="B33" s="1200">
        <v>0</v>
      </c>
      <c r="C33" s="726" t="s">
        <v>1154</v>
      </c>
      <c r="D33" s="1136" t="s">
        <v>1608</v>
      </c>
      <c r="E33" s="1197"/>
    </row>
    <row r="34" spans="1:5" x14ac:dyDescent="0.2">
      <c r="A34" s="554" t="s">
        <v>804</v>
      </c>
      <c r="B34" s="295"/>
      <c r="C34" s="286"/>
      <c r="D34" s="1193"/>
      <c r="E34" s="1195"/>
    </row>
    <row r="35" spans="1:5" x14ac:dyDescent="0.2">
      <c r="A35" s="555" t="s">
        <v>1744</v>
      </c>
      <c r="B35" s="1142">
        <v>0</v>
      </c>
      <c r="C35" s="1136" t="s">
        <v>1608</v>
      </c>
      <c r="D35" s="1136" t="s">
        <v>1608</v>
      </c>
      <c r="E35" s="1195" t="s">
        <v>1367</v>
      </c>
    </row>
    <row r="36" spans="1:5" s="71" customFormat="1" x14ac:dyDescent="0.2">
      <c r="A36" s="550" t="s">
        <v>807</v>
      </c>
      <c r="B36" s="1696">
        <f>0.167/0.84</f>
        <v>0.19880952380952382</v>
      </c>
      <c r="C36" s="494" t="s">
        <v>808</v>
      </c>
      <c r="D36" s="1193" t="s">
        <v>1745</v>
      </c>
      <c r="E36" s="1198" t="s">
        <v>810</v>
      </c>
    </row>
    <row r="37" spans="1:5" x14ac:dyDescent="0.2">
      <c r="A37" s="549" t="s">
        <v>809</v>
      </c>
      <c r="B37" s="1697">
        <v>0.2</v>
      </c>
      <c r="C37" s="743" t="s">
        <v>752</v>
      </c>
      <c r="D37" s="1193" t="s">
        <v>1746</v>
      </c>
      <c r="E37" s="1195" t="s">
        <v>813</v>
      </c>
    </row>
    <row r="38" spans="1:5" x14ac:dyDescent="0.2">
      <c r="A38" s="1127" t="s">
        <v>82</v>
      </c>
      <c r="B38" s="295"/>
      <c r="C38" s="128"/>
      <c r="D38" s="128"/>
      <c r="E38" s="554"/>
    </row>
    <row r="39" spans="1:5" x14ac:dyDescent="0.2">
      <c r="A39" s="534" t="s">
        <v>805</v>
      </c>
      <c r="B39" s="692">
        <f>SUM(B33)</f>
        <v>0</v>
      </c>
      <c r="C39" s="252" t="s">
        <v>650</v>
      </c>
      <c r="D39" s="127"/>
      <c r="E39" s="555"/>
    </row>
    <row r="40" spans="1:5" ht="13.5" x14ac:dyDescent="0.2">
      <c r="A40" s="534" t="s">
        <v>806</v>
      </c>
      <c r="B40" s="256">
        <f>B39*CO2.C/1000</f>
        <v>0</v>
      </c>
      <c r="C40" s="286" t="s">
        <v>128</v>
      </c>
      <c r="D40" s="128"/>
      <c r="E40" s="554"/>
    </row>
    <row r="41" spans="1:5" x14ac:dyDescent="0.2">
      <c r="A41" s="534" t="s">
        <v>1743</v>
      </c>
      <c r="B41" s="692">
        <f>SUM(B35)</f>
        <v>0</v>
      </c>
      <c r="C41" s="241" t="s">
        <v>652</v>
      </c>
      <c r="D41" s="127"/>
      <c r="E41" s="555"/>
    </row>
    <row r="42" spans="1:5" x14ac:dyDescent="0.2">
      <c r="A42" s="1" t="s">
        <v>1012</v>
      </c>
      <c r="B42" s="675">
        <f>B41*tonTOMg</f>
        <v>0</v>
      </c>
      <c r="C42" s="127" t="s">
        <v>650</v>
      </c>
      <c r="D42" s="132"/>
      <c r="E42" s="725"/>
    </row>
    <row r="43" spans="1:5" ht="13.5" x14ac:dyDescent="0.2">
      <c r="A43" s="546" t="s">
        <v>1013</v>
      </c>
      <c r="B43" s="256">
        <f>B42*B36*(1-B37)</f>
        <v>0</v>
      </c>
      <c r="C43" s="286" t="s">
        <v>109</v>
      </c>
      <c r="D43" s="1193" t="s">
        <v>1745</v>
      </c>
      <c r="E43" s="1197" t="s">
        <v>812</v>
      </c>
    </row>
    <row r="44" spans="1:5" x14ac:dyDescent="0.2">
      <c r="A44" s="1" t="s">
        <v>811</v>
      </c>
      <c r="B44" s="732"/>
    </row>
    <row r="45" spans="1:5" ht="13.5" x14ac:dyDescent="0.2">
      <c r="A45" s="552" t="s">
        <v>1014</v>
      </c>
      <c r="B45" s="740">
        <f>SUM(B40,B43)</f>
        <v>0</v>
      </c>
      <c r="C45" s="719" t="s">
        <v>799</v>
      </c>
    </row>
    <row r="46" spans="1:5" x14ac:dyDescent="0.2">
      <c r="C46" s="135"/>
    </row>
    <row r="47" spans="1:5" ht="13.5" x14ac:dyDescent="0.2">
      <c r="A47" s="1203" t="s">
        <v>15</v>
      </c>
      <c r="B47" s="1175">
        <f>B45+B27</f>
        <v>0</v>
      </c>
      <c r="C47" s="1237" t="s">
        <v>128</v>
      </c>
      <c r="D47" s="1205"/>
      <c r="E47" s="1204"/>
    </row>
    <row r="48" spans="1:5" x14ac:dyDescent="0.2">
      <c r="C48" s="135"/>
    </row>
    <row r="50" spans="2:5" x14ac:dyDescent="0.2">
      <c r="B50" s="525"/>
      <c r="E50" s="568"/>
    </row>
    <row r="51" spans="2:5" x14ac:dyDescent="0.2">
      <c r="B51" s="525"/>
      <c r="E51" s="568"/>
    </row>
    <row r="52" spans="2:5" x14ac:dyDescent="0.2">
      <c r="B52" s="525"/>
      <c r="E52" s="568"/>
    </row>
    <row r="53" spans="2:5" x14ac:dyDescent="0.2">
      <c r="B53" s="525"/>
      <c r="E53" s="568"/>
    </row>
    <row r="54" spans="2:5" x14ac:dyDescent="0.2">
      <c r="B54" s="525"/>
      <c r="E54" s="568"/>
    </row>
    <row r="55" spans="2:5" x14ac:dyDescent="0.2">
      <c r="B55" s="525"/>
      <c r="E55" s="568"/>
    </row>
    <row r="56" spans="2:5" x14ac:dyDescent="0.2">
      <c r="B56" s="525"/>
      <c r="E56" s="568"/>
    </row>
    <row r="63" spans="2:5" x14ac:dyDescent="0.2">
      <c r="B63" s="525"/>
      <c r="E63" s="568"/>
    </row>
  </sheetData>
  <mergeCells count="1">
    <mergeCell ref="B1:E1"/>
  </mergeCells>
  <phoneticPr fontId="27" type="noConversion"/>
  <pageMargins left="0.7" right="0.7" top="0.75" bottom="0.75" header="0.3" footer="0.3"/>
  <pageSetup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 tint="-0.249977111117893"/>
  </sheetPr>
  <dimension ref="A1:I62"/>
  <sheetViews>
    <sheetView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J9" sqref="J9"/>
    </sheetView>
  </sheetViews>
  <sheetFormatPr defaultColWidth="8.85546875" defaultRowHeight="12" x14ac:dyDescent="0.2"/>
  <cols>
    <col min="1" max="1" width="34.5703125" style="1" bestFit="1" customWidth="1"/>
    <col min="2" max="2" width="10.85546875" style="684" bestFit="1" customWidth="1"/>
    <col min="3" max="3" width="7.42578125" style="573" bestFit="1" customWidth="1"/>
    <col min="4" max="4" width="6.7109375" style="573" bestFit="1" customWidth="1"/>
    <col min="5" max="5" width="10.140625" style="516" bestFit="1" customWidth="1"/>
  </cols>
  <sheetData>
    <row r="1" spans="1:9" x14ac:dyDescent="0.2">
      <c r="A1" s="559"/>
      <c r="B1" s="1790">
        <v>2003</v>
      </c>
      <c r="C1" s="1791"/>
      <c r="D1" s="1791"/>
      <c r="E1" s="1792"/>
      <c r="F1" s="64" t="s">
        <v>1169</v>
      </c>
    </row>
    <row r="2" spans="1:9" x14ac:dyDescent="0.2">
      <c r="A2" s="112" t="s">
        <v>489</v>
      </c>
      <c r="B2" s="545" t="s">
        <v>487</v>
      </c>
      <c r="C2" s="1543" t="s">
        <v>486</v>
      </c>
      <c r="D2" s="556" t="s">
        <v>488</v>
      </c>
      <c r="E2" s="578" t="s">
        <v>306</v>
      </c>
      <c r="F2" s="203" t="s">
        <v>1166</v>
      </c>
      <c r="G2" s="598"/>
      <c r="H2" s="1137" t="s">
        <v>1168</v>
      </c>
      <c r="I2" s="419"/>
    </row>
    <row r="3" spans="1:9" x14ac:dyDescent="0.2">
      <c r="A3" s="1118" t="s">
        <v>843</v>
      </c>
      <c r="B3" s="1560"/>
      <c r="C3" s="1119"/>
      <c r="D3" s="1119"/>
      <c r="E3" s="1118"/>
      <c r="F3" s="1134"/>
      <c r="G3" s="1134"/>
      <c r="H3" s="1134"/>
      <c r="I3" s="1134"/>
    </row>
    <row r="4" spans="1:9" s="90" customFormat="1" x14ac:dyDescent="0.2">
      <c r="A4" s="1132" t="s">
        <v>81</v>
      </c>
      <c r="B4" s="682"/>
      <c r="C4" s="204"/>
      <c r="D4" s="204"/>
      <c r="E4" s="205"/>
    </row>
    <row r="5" spans="1:9" s="90" customFormat="1" ht="24" x14ac:dyDescent="0.2">
      <c r="A5" s="562" t="s">
        <v>1609</v>
      </c>
      <c r="B5" s="1561"/>
      <c r="C5" s="1562"/>
      <c r="D5" s="1562"/>
      <c r="E5" s="562"/>
    </row>
    <row r="6" spans="1:9" s="90" customFormat="1" x14ac:dyDescent="0.2">
      <c r="A6" s="560" t="s">
        <v>264</v>
      </c>
      <c r="B6" s="1563"/>
      <c r="C6" s="1564"/>
      <c r="D6" s="1564"/>
      <c r="E6" s="560"/>
    </row>
    <row r="7" spans="1:9" s="90" customFormat="1" ht="13.5" x14ac:dyDescent="0.2">
      <c r="A7" s="516" t="s">
        <v>816</v>
      </c>
      <c r="B7" s="1565">
        <v>3421.395</v>
      </c>
      <c r="C7" s="573" t="s">
        <v>119</v>
      </c>
      <c r="D7" s="573" t="s">
        <v>1616</v>
      </c>
      <c r="E7" s="516"/>
    </row>
    <row r="8" spans="1:9" s="90" customFormat="1" ht="13.5" x14ac:dyDescent="0.2">
      <c r="A8" s="516" t="s">
        <v>817</v>
      </c>
      <c r="B8" s="1565">
        <v>2514.48</v>
      </c>
      <c r="C8" s="573" t="s">
        <v>119</v>
      </c>
      <c r="D8" s="573" t="s">
        <v>1616</v>
      </c>
      <c r="E8" s="516"/>
    </row>
    <row r="9" spans="1:9" s="90" customFormat="1" ht="13.5" x14ac:dyDescent="0.2">
      <c r="A9" s="516" t="s">
        <v>818</v>
      </c>
      <c r="B9" s="1565">
        <v>22802.865000000002</v>
      </c>
      <c r="C9" s="573" t="s">
        <v>119</v>
      </c>
      <c r="D9" s="573" t="s">
        <v>1616</v>
      </c>
      <c r="E9" s="516"/>
    </row>
    <row r="10" spans="1:9" s="90" customFormat="1" ht="13.5" x14ac:dyDescent="0.2">
      <c r="A10" s="563" t="s">
        <v>830</v>
      </c>
      <c r="B10" s="1566">
        <f>SUM(B7:B9)</f>
        <v>28738.74</v>
      </c>
      <c r="C10" s="573" t="s">
        <v>119</v>
      </c>
      <c r="D10" s="1567"/>
      <c r="E10" s="1568"/>
    </row>
    <row r="11" spans="1:9" s="90" customFormat="1" x14ac:dyDescent="0.2">
      <c r="A11" s="560" t="s">
        <v>132</v>
      </c>
      <c r="B11" s="1563"/>
      <c r="C11" s="573"/>
      <c r="D11" s="1569"/>
      <c r="E11" s="560"/>
    </row>
    <row r="12" spans="1:9" s="90" customFormat="1" ht="13.5" x14ac:dyDescent="0.2">
      <c r="A12" s="516" t="s">
        <v>819</v>
      </c>
      <c r="B12" s="1565">
        <v>31114.951000000001</v>
      </c>
      <c r="C12" s="573" t="s">
        <v>119</v>
      </c>
      <c r="D12" s="573" t="s">
        <v>1616</v>
      </c>
      <c r="E12" s="516"/>
    </row>
    <row r="13" spans="1:9" s="90" customFormat="1" ht="13.5" x14ac:dyDescent="0.2">
      <c r="A13" s="516" t="s">
        <v>820</v>
      </c>
      <c r="B13" s="1565">
        <v>91250.241999999984</v>
      </c>
      <c r="C13" s="573" t="s">
        <v>119</v>
      </c>
      <c r="D13" s="573" t="s">
        <v>1616</v>
      </c>
      <c r="E13" s="516"/>
    </row>
    <row r="14" spans="1:9" s="90" customFormat="1" ht="13.5" x14ac:dyDescent="0.2">
      <c r="A14" s="516" t="s">
        <v>821</v>
      </c>
      <c r="B14" s="1565">
        <v>28231.35</v>
      </c>
      <c r="C14" s="573" t="s">
        <v>119</v>
      </c>
      <c r="D14" s="573" t="s">
        <v>1616</v>
      </c>
      <c r="E14" s="516"/>
    </row>
    <row r="15" spans="1:9" s="90" customFormat="1" ht="13.5" x14ac:dyDescent="0.2">
      <c r="A15" s="516" t="s">
        <v>822</v>
      </c>
      <c r="B15" s="1565">
        <v>3278.86</v>
      </c>
      <c r="C15" s="573" t="s">
        <v>119</v>
      </c>
      <c r="D15" s="573" t="s">
        <v>1616</v>
      </c>
      <c r="E15" s="516"/>
    </row>
    <row r="16" spans="1:9" s="90" customFormat="1" ht="13.5" x14ac:dyDescent="0.2">
      <c r="A16" s="563" t="s">
        <v>831</v>
      </c>
      <c r="B16" s="1566">
        <f>SUM(B12:B15)</f>
        <v>153875.40299999996</v>
      </c>
      <c r="C16" s="573" t="s">
        <v>119</v>
      </c>
      <c r="D16" s="573"/>
      <c r="E16" s="1568"/>
    </row>
    <row r="17" spans="1:5" s="90" customFormat="1" x14ac:dyDescent="0.2">
      <c r="A17" s="560" t="s">
        <v>131</v>
      </c>
      <c r="B17" s="1563"/>
      <c r="C17" s="573"/>
      <c r="D17" s="1570"/>
      <c r="E17" s="560"/>
    </row>
    <row r="18" spans="1:5" s="90" customFormat="1" ht="13.5" x14ac:dyDescent="0.2">
      <c r="A18" s="542" t="s">
        <v>823</v>
      </c>
      <c r="B18" s="1571">
        <v>28472.006000000001</v>
      </c>
      <c r="C18" s="573" t="s">
        <v>119</v>
      </c>
      <c r="D18" s="573" t="s">
        <v>1616</v>
      </c>
      <c r="E18" s="542"/>
    </row>
    <row r="19" spans="1:5" s="90" customFormat="1" ht="13.5" x14ac:dyDescent="0.2">
      <c r="A19" s="542" t="s">
        <v>824</v>
      </c>
      <c r="B19" s="1571">
        <v>81710.204999999987</v>
      </c>
      <c r="C19" s="573" t="s">
        <v>119</v>
      </c>
      <c r="D19" s="573" t="s">
        <v>1616</v>
      </c>
      <c r="E19" s="542"/>
    </row>
    <row r="20" spans="1:5" s="90" customFormat="1" ht="13.5" x14ac:dyDescent="0.2">
      <c r="A20" s="542" t="s">
        <v>825</v>
      </c>
      <c r="B20" s="1571">
        <v>32120.808999999997</v>
      </c>
      <c r="C20" s="573" t="s">
        <v>119</v>
      </c>
      <c r="D20" s="573" t="s">
        <v>1616</v>
      </c>
      <c r="E20" s="542"/>
    </row>
    <row r="21" spans="1:5" s="90" customFormat="1" ht="13.5" x14ac:dyDescent="0.2">
      <c r="A21" s="542" t="s">
        <v>826</v>
      </c>
      <c r="B21" s="1571">
        <v>11601.107</v>
      </c>
      <c r="C21" s="134" t="s">
        <v>119</v>
      </c>
      <c r="D21" s="573" t="s">
        <v>1616</v>
      </c>
      <c r="E21" s="542"/>
    </row>
    <row r="22" spans="1:5" s="90" customFormat="1" ht="13.5" x14ac:dyDescent="0.2">
      <c r="A22" s="563" t="s">
        <v>832</v>
      </c>
      <c r="B22" s="1572">
        <f>SUM(B18:B21)</f>
        <v>153904.12699999998</v>
      </c>
      <c r="C22" s="134" t="s">
        <v>119</v>
      </c>
      <c r="D22" s="573"/>
      <c r="E22" s="1568"/>
    </row>
    <row r="23" spans="1:5" s="90" customFormat="1" x14ac:dyDescent="0.2">
      <c r="A23" s="560" t="s">
        <v>202</v>
      </c>
      <c r="B23" s="1573"/>
      <c r="C23" s="134"/>
      <c r="D23" s="1564"/>
      <c r="E23" s="560"/>
    </row>
    <row r="24" spans="1:5" s="90" customFormat="1" ht="13.5" x14ac:dyDescent="0.2">
      <c r="A24" s="516" t="s">
        <v>827</v>
      </c>
      <c r="B24" s="1574">
        <v>6022.6280000000006</v>
      </c>
      <c r="C24" s="134" t="s">
        <v>119</v>
      </c>
      <c r="D24" s="573" t="s">
        <v>1616</v>
      </c>
      <c r="E24" s="516"/>
    </row>
    <row r="25" spans="1:5" s="90" customFormat="1" ht="13.5" x14ac:dyDescent="0.2">
      <c r="A25" s="516" t="s">
        <v>828</v>
      </c>
      <c r="B25" s="1571">
        <v>40425.397000000004</v>
      </c>
      <c r="C25" s="134" t="s">
        <v>119</v>
      </c>
      <c r="D25" s="573" t="s">
        <v>1616</v>
      </c>
      <c r="E25" s="516"/>
    </row>
    <row r="26" spans="1:5" s="90" customFormat="1" ht="13.5" x14ac:dyDescent="0.2">
      <c r="A26" s="516" t="s">
        <v>829</v>
      </c>
      <c r="B26" s="1571">
        <v>21366.25</v>
      </c>
      <c r="C26" s="134" t="s">
        <v>119</v>
      </c>
      <c r="D26" s="573" t="s">
        <v>1616</v>
      </c>
      <c r="E26" s="697"/>
    </row>
    <row r="27" spans="1:5" s="90" customFormat="1" ht="13.5" x14ac:dyDescent="0.2">
      <c r="A27" s="563" t="s">
        <v>833</v>
      </c>
      <c r="B27" s="1566">
        <f>SUM(B24:B26)</f>
        <v>67814.275000000009</v>
      </c>
      <c r="C27" s="573" t="s">
        <v>119</v>
      </c>
      <c r="D27" s="173"/>
      <c r="E27" s="1575"/>
    </row>
    <row r="28" spans="1:5" s="90" customFormat="1" x14ac:dyDescent="0.2">
      <c r="A28" s="158"/>
      <c r="B28" s="1576"/>
      <c r="C28" s="289"/>
      <c r="D28" s="129"/>
      <c r="E28" s="1577"/>
    </row>
    <row r="29" spans="1:5" s="90" customFormat="1" ht="13.5" x14ac:dyDescent="0.2">
      <c r="A29" s="1145" t="s">
        <v>15</v>
      </c>
      <c r="B29" s="1578">
        <f>SUM(B27,B22,B16,B10)</f>
        <v>404332.54499999993</v>
      </c>
      <c r="C29" s="1147" t="s">
        <v>128</v>
      </c>
      <c r="D29" s="1579"/>
      <c r="E29" s="1580"/>
    </row>
    <row r="30" spans="1:5" s="90" customFormat="1" x14ac:dyDescent="0.2">
      <c r="A30" s="172"/>
      <c r="B30" s="1574"/>
      <c r="C30" s="215"/>
      <c r="D30" s="215"/>
      <c r="E30" s="172"/>
    </row>
    <row r="31" spans="1:5" s="90" customFormat="1" x14ac:dyDescent="0.2">
      <c r="A31" s="172"/>
      <c r="B31" s="1574"/>
      <c r="C31" s="215"/>
      <c r="D31" s="215"/>
      <c r="E31" s="172"/>
    </row>
    <row r="32" spans="1:5" s="90" customFormat="1" x14ac:dyDescent="0.2">
      <c r="A32" s="172"/>
      <c r="B32" s="1574"/>
      <c r="C32" s="215"/>
      <c r="D32" s="215"/>
      <c r="E32" s="172"/>
    </row>
    <row r="33" spans="1:5" s="90" customFormat="1" x14ac:dyDescent="0.2">
      <c r="A33" s="205"/>
      <c r="B33" s="682"/>
      <c r="C33" s="204"/>
      <c r="D33" s="204"/>
      <c r="E33" s="205"/>
    </row>
    <row r="34" spans="1:5" s="90" customFormat="1" x14ac:dyDescent="0.2">
      <c r="A34" s="172"/>
      <c r="B34" s="683"/>
      <c r="C34" s="215"/>
      <c r="D34" s="215"/>
      <c r="E34" s="172"/>
    </row>
    <row r="35" spans="1:5" s="90" customFormat="1" x14ac:dyDescent="0.2">
      <c r="A35" s="245"/>
      <c r="B35" s="682"/>
      <c r="C35" s="246"/>
      <c r="D35" s="246"/>
      <c r="E35" s="245"/>
    </row>
    <row r="36" spans="1:5" s="90" customFormat="1" x14ac:dyDescent="0.2">
      <c r="A36" s="205"/>
      <c r="B36" s="682"/>
      <c r="C36" s="204"/>
      <c r="D36" s="204"/>
      <c r="E36" s="205"/>
    </row>
    <row r="37" spans="1:5" s="90" customFormat="1" x14ac:dyDescent="0.2">
      <c r="A37" s="239"/>
      <c r="B37" s="1581"/>
      <c r="C37" s="257"/>
      <c r="D37" s="257"/>
      <c r="E37" s="239"/>
    </row>
    <row r="38" spans="1:5" s="90" customFormat="1" x14ac:dyDescent="0.2">
      <c r="A38" s="184"/>
      <c r="B38" s="1582"/>
      <c r="C38" s="213"/>
      <c r="D38" s="213"/>
      <c r="E38" s="184"/>
    </row>
    <row r="39" spans="1:5" s="90" customFormat="1" x14ac:dyDescent="0.2">
      <c r="A39" s="537"/>
      <c r="B39" s="1583"/>
      <c r="C39" s="1584"/>
      <c r="D39" s="1584"/>
      <c r="E39" s="537"/>
    </row>
    <row r="40" spans="1:5" s="90" customFormat="1" x14ac:dyDescent="0.2">
      <c r="A40" s="538"/>
      <c r="B40" s="1585"/>
      <c r="C40" s="259"/>
      <c r="D40" s="259"/>
      <c r="E40" s="538"/>
    </row>
    <row r="41" spans="1:5" s="90" customFormat="1" x14ac:dyDescent="0.2">
      <c r="A41" s="538"/>
      <c r="B41" s="1585"/>
      <c r="C41" s="259"/>
      <c r="D41" s="259"/>
      <c r="E41" s="538"/>
    </row>
    <row r="42" spans="1:5" s="90" customFormat="1" x14ac:dyDescent="0.2">
      <c r="A42" s="115"/>
      <c r="B42" s="1586"/>
      <c r="C42" s="260"/>
      <c r="D42" s="260"/>
      <c r="E42" s="115"/>
    </row>
    <row r="43" spans="1:5" s="90" customFormat="1" x14ac:dyDescent="0.2">
      <c r="A43" s="115"/>
      <c r="B43" s="1586"/>
      <c r="C43" s="260"/>
      <c r="D43" s="260"/>
      <c r="E43" s="115"/>
    </row>
    <row r="44" spans="1:5" s="90" customFormat="1" x14ac:dyDescent="0.2">
      <c r="A44" s="115"/>
      <c r="B44" s="1586"/>
      <c r="C44" s="260"/>
      <c r="D44" s="260"/>
      <c r="E44" s="115"/>
    </row>
    <row r="45" spans="1:5" s="90" customFormat="1" x14ac:dyDescent="0.2">
      <c r="A45" s="205"/>
      <c r="B45" s="682"/>
      <c r="C45" s="204"/>
      <c r="D45" s="204"/>
      <c r="E45" s="205"/>
    </row>
    <row r="46" spans="1:5" s="90" customFormat="1" x14ac:dyDescent="0.2">
      <c r="A46" s="239"/>
      <c r="B46" s="1581"/>
      <c r="C46" s="257"/>
      <c r="D46" s="257"/>
      <c r="E46" s="239"/>
    </row>
    <row r="47" spans="1:5" s="189" customFormat="1" x14ac:dyDescent="0.2">
      <c r="A47" s="239"/>
      <c r="B47" s="1581"/>
      <c r="C47" s="257"/>
      <c r="D47" s="257"/>
      <c r="E47" s="239"/>
    </row>
    <row r="48" spans="1:5" s="90" customFormat="1" x14ac:dyDescent="0.2">
      <c r="A48" s="538"/>
      <c r="B48" s="1585"/>
      <c r="C48" s="259"/>
      <c r="D48" s="259"/>
      <c r="E48" s="538"/>
    </row>
    <row r="49" spans="1:5" x14ac:dyDescent="0.2">
      <c r="A49" s="538"/>
      <c r="B49" s="1585"/>
      <c r="C49" s="259"/>
      <c r="D49" s="259"/>
      <c r="E49" s="538"/>
    </row>
    <row r="50" spans="1:5" x14ac:dyDescent="0.2">
      <c r="A50" s="239"/>
      <c r="B50" s="1581"/>
      <c r="C50" s="257"/>
      <c r="D50" s="257"/>
      <c r="E50" s="239"/>
    </row>
    <row r="51" spans="1:5" x14ac:dyDescent="0.2">
      <c r="A51" s="242"/>
      <c r="B51" s="1587"/>
      <c r="C51" s="1588"/>
      <c r="D51" s="1588"/>
      <c r="E51" s="242"/>
    </row>
    <row r="52" spans="1:5" x14ac:dyDescent="0.2">
      <c r="A52" s="239"/>
      <c r="B52" s="1581"/>
      <c r="C52" s="257"/>
      <c r="D52" s="257"/>
      <c r="E52" s="239"/>
    </row>
    <row r="53" spans="1:5" x14ac:dyDescent="0.2">
      <c r="A53" s="115"/>
      <c r="B53" s="1586"/>
      <c r="C53" s="260"/>
      <c r="D53" s="260"/>
      <c r="E53" s="115"/>
    </row>
    <row r="54" spans="1:5" x14ac:dyDescent="0.2">
      <c r="A54" s="120"/>
      <c r="B54" s="1589"/>
      <c r="C54" s="1590"/>
      <c r="D54" s="1590"/>
      <c r="E54" s="120"/>
    </row>
    <row r="55" spans="1:5" x14ac:dyDescent="0.2">
      <c r="A55" s="120"/>
      <c r="B55" s="1589"/>
      <c r="C55" s="1590"/>
      <c r="D55" s="1590"/>
      <c r="E55" s="120"/>
    </row>
    <row r="56" spans="1:5" x14ac:dyDescent="0.2">
      <c r="A56" s="120"/>
      <c r="B56" s="1589"/>
      <c r="C56" s="1590"/>
      <c r="D56" s="1590"/>
      <c r="E56" s="120"/>
    </row>
    <row r="57" spans="1:5" x14ac:dyDescent="0.2">
      <c r="A57" s="120"/>
      <c r="B57" s="1589"/>
      <c r="C57" s="1590"/>
      <c r="D57" s="1590"/>
      <c r="E57" s="120"/>
    </row>
    <row r="58" spans="1:5" x14ac:dyDescent="0.2">
      <c r="A58" s="115"/>
      <c r="B58" s="1586"/>
      <c r="C58" s="260"/>
      <c r="D58" s="260"/>
      <c r="E58" s="115"/>
    </row>
    <row r="59" spans="1:5" x14ac:dyDescent="0.2">
      <c r="A59" s="87"/>
      <c r="B59" s="675"/>
      <c r="C59" s="134"/>
      <c r="D59" s="134"/>
      <c r="E59" s="542"/>
    </row>
    <row r="62" spans="1:5" ht="11.25" customHeight="1" x14ac:dyDescent="0.2"/>
  </sheetData>
  <mergeCells count="1">
    <mergeCell ref="B1:E1"/>
  </mergeCells>
  <phoneticPr fontId="27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-0.249977111117893"/>
  </sheetPr>
  <dimension ref="A1:I29"/>
  <sheetViews>
    <sheetView zoomScaleNormal="100"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C36" sqref="C36"/>
    </sheetView>
  </sheetViews>
  <sheetFormatPr defaultColWidth="8.85546875" defaultRowHeight="12" x14ac:dyDescent="0.2"/>
  <cols>
    <col min="1" max="1" width="40.7109375" style="1" bestFit="1" customWidth="1"/>
    <col min="2" max="4" width="15.7109375" style="597" customWidth="1"/>
    <col min="5" max="5" width="15.7109375" style="307" customWidth="1"/>
  </cols>
  <sheetData>
    <row r="1" spans="1:9" x14ac:dyDescent="0.2">
      <c r="A1" s="112"/>
      <c r="B1" s="1790">
        <v>2015</v>
      </c>
      <c r="C1" s="1791"/>
      <c r="D1" s="1791"/>
      <c r="E1" s="1792"/>
      <c r="F1" s="64" t="s">
        <v>1169</v>
      </c>
    </row>
    <row r="2" spans="1:9" x14ac:dyDescent="0.2">
      <c r="A2" s="112" t="s">
        <v>489</v>
      </c>
      <c r="B2" s="1593" t="s">
        <v>487</v>
      </c>
      <c r="C2" s="1593" t="s">
        <v>486</v>
      </c>
      <c r="D2" s="1593" t="s">
        <v>488</v>
      </c>
      <c r="E2" s="578" t="s">
        <v>306</v>
      </c>
      <c r="F2" s="203" t="s">
        <v>1166</v>
      </c>
      <c r="G2" s="598"/>
      <c r="H2" s="1137" t="s">
        <v>1168</v>
      </c>
      <c r="I2" s="419"/>
    </row>
    <row r="3" spans="1:9" x14ac:dyDescent="0.2">
      <c r="A3" s="1171" t="s">
        <v>1175</v>
      </c>
      <c r="B3" s="1173"/>
      <c r="C3" s="1173"/>
      <c r="D3" s="1173"/>
      <c r="E3" s="1174"/>
      <c r="F3" s="1169"/>
      <c r="G3" s="1170"/>
      <c r="H3" s="1173"/>
      <c r="I3" s="1174"/>
    </row>
    <row r="4" spans="1:9" x14ac:dyDescent="0.2">
      <c r="A4" s="1524" t="s">
        <v>915</v>
      </c>
      <c r="B4" s="1358"/>
      <c r="C4" s="1358"/>
      <c r="D4" s="1358"/>
      <c r="E4" s="1140"/>
    </row>
    <row r="5" spans="1:9" x14ac:dyDescent="0.2">
      <c r="A5" s="1133" t="s">
        <v>81</v>
      </c>
      <c r="B5" s="592"/>
      <c r="C5" s="592"/>
      <c r="D5" s="592"/>
      <c r="E5" s="318"/>
    </row>
    <row r="6" spans="1:9" ht="13.5" x14ac:dyDescent="0.2">
      <c r="A6" s="111" t="s">
        <v>1656</v>
      </c>
      <c r="B6" s="1617">
        <v>166200000</v>
      </c>
      <c r="C6" s="443" t="s">
        <v>119</v>
      </c>
      <c r="D6" s="488" t="s">
        <v>1740</v>
      </c>
      <c r="E6" s="1618" t="s">
        <v>1657</v>
      </c>
    </row>
    <row r="7" spans="1:9" x14ac:dyDescent="0.2">
      <c r="A7" s="1127" t="s">
        <v>82</v>
      </c>
      <c r="D7" s="419"/>
      <c r="E7" s="1619" t="s">
        <v>1658</v>
      </c>
    </row>
    <row r="8" spans="1:9" ht="13.5" x14ac:dyDescent="0.2">
      <c r="A8" s="540" t="s">
        <v>1738</v>
      </c>
      <c r="B8" s="1177">
        <f>popSno15/popUS15*B6</f>
        <v>392379.08079168352</v>
      </c>
      <c r="C8" s="508" t="s">
        <v>128</v>
      </c>
      <c r="D8" s="419"/>
    </row>
    <row r="9" spans="1:9" ht="13.5" x14ac:dyDescent="0.25">
      <c r="A9" s="1524" t="s">
        <v>908</v>
      </c>
      <c r="B9" s="1181"/>
      <c r="C9" s="1525"/>
      <c r="D9" s="1525"/>
      <c r="E9" s="1140"/>
    </row>
    <row r="10" spans="1:9" x14ac:dyDescent="0.2">
      <c r="B10" s="693"/>
      <c r="C10" s="246"/>
      <c r="D10" s="246"/>
      <c r="E10" s="313"/>
    </row>
    <row r="11" spans="1:9" x14ac:dyDescent="0.2">
      <c r="A11" s="238" t="s">
        <v>865</v>
      </c>
      <c r="B11" s="692"/>
      <c r="C11" s="644"/>
      <c r="D11" s="593"/>
      <c r="E11" s="303"/>
    </row>
    <row r="12" spans="1:9" ht="13.5" x14ac:dyDescent="0.2">
      <c r="A12" s="1133" t="s">
        <v>81</v>
      </c>
      <c r="B12" s="1620">
        <v>1.26</v>
      </c>
      <c r="C12" s="488" t="s">
        <v>1659</v>
      </c>
      <c r="D12" s="593" t="s">
        <v>1739</v>
      </c>
      <c r="E12" s="318" t="s">
        <v>1660</v>
      </c>
    </row>
    <row r="13" spans="1:9" ht="13.5" x14ac:dyDescent="0.2">
      <c r="A13" s="111" t="s">
        <v>178</v>
      </c>
      <c r="B13" s="744"/>
      <c r="C13" s="579"/>
      <c r="D13" s="593"/>
      <c r="E13" s="303"/>
    </row>
    <row r="14" spans="1:9" x14ac:dyDescent="0.2">
      <c r="A14" s="111" t="s">
        <v>1661</v>
      </c>
      <c r="B14" s="996">
        <f>1/8</f>
        <v>0.125</v>
      </c>
      <c r="C14" s="579"/>
      <c r="D14" s="593"/>
      <c r="E14" s="303" t="s">
        <v>1662</v>
      </c>
    </row>
    <row r="15" spans="1:9" ht="13.5" x14ac:dyDescent="0.2">
      <c r="A15" s="1127" t="s">
        <v>82</v>
      </c>
      <c r="B15" s="1177">
        <f>B12*GWPSF6*B14</f>
        <v>3764.25</v>
      </c>
      <c r="C15" s="508" t="s">
        <v>128</v>
      </c>
      <c r="D15" s="505"/>
      <c r="E15" s="303"/>
    </row>
    <row r="16" spans="1:9" x14ac:dyDescent="0.2">
      <c r="A16" s="646" t="s">
        <v>35</v>
      </c>
      <c r="D16" s="505"/>
      <c r="E16" s="303"/>
    </row>
    <row r="17" spans="1:5" ht="13.5" x14ac:dyDescent="0.2">
      <c r="A17" s="1145" t="s">
        <v>15</v>
      </c>
      <c r="B17" s="1167">
        <f>SUM(B8,B15)</f>
        <v>396143.33079168352</v>
      </c>
      <c r="C17" s="1168" t="s">
        <v>128</v>
      </c>
      <c r="D17" s="1165"/>
      <c r="E17" s="1166"/>
    </row>
    <row r="20" spans="1:5" x14ac:dyDescent="0.2">
      <c r="A20" s="540"/>
    </row>
    <row r="21" spans="1:5" x14ac:dyDescent="0.2">
      <c r="A21" s="540"/>
    </row>
    <row r="22" spans="1:5" x14ac:dyDescent="0.2">
      <c r="A22" s="540"/>
    </row>
    <row r="23" spans="1:5" x14ac:dyDescent="0.2">
      <c r="A23" s="540"/>
    </row>
    <row r="24" spans="1:5" x14ac:dyDescent="0.2">
      <c r="A24" s="540"/>
    </row>
    <row r="25" spans="1:5" x14ac:dyDescent="0.2">
      <c r="A25" s="540"/>
    </row>
    <row r="26" spans="1:5" x14ac:dyDescent="0.2">
      <c r="A26" s="540"/>
    </row>
    <row r="27" spans="1:5" x14ac:dyDescent="0.2">
      <c r="A27" s="540"/>
    </row>
    <row r="28" spans="1:5" x14ac:dyDescent="0.2">
      <c r="A28" s="540"/>
    </row>
    <row r="29" spans="1:5" x14ac:dyDescent="0.2">
      <c r="A29" s="540"/>
    </row>
  </sheetData>
  <mergeCells count="1">
    <mergeCell ref="B1:E1"/>
  </mergeCells>
  <phoneticPr fontId="27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/>
  </sheetPr>
  <dimension ref="A1:G109"/>
  <sheetViews>
    <sheetView workbookViewId="0">
      <pane xSplit="1" ySplit="2" topLeftCell="B27" activePane="bottomRight" state="frozen"/>
      <selection activeCell="F46" sqref="F46"/>
      <selection pane="topRight" activeCell="F46" sqref="F46"/>
      <selection pane="bottomLeft" activeCell="F46" sqref="F46"/>
      <selection pane="bottomRight" activeCell="A29" sqref="A29"/>
    </sheetView>
  </sheetViews>
  <sheetFormatPr defaultColWidth="9.7109375" defaultRowHeight="12" x14ac:dyDescent="0.2"/>
  <cols>
    <col min="1" max="1" width="44" style="114" customWidth="1"/>
    <col min="2" max="2" width="13.5703125" style="666" bestFit="1" customWidth="1"/>
    <col min="3" max="3" width="9.7109375" style="361"/>
    <col min="4" max="4" width="23.85546875" style="361" bestFit="1" customWidth="1"/>
    <col min="5" max="5" width="25.5703125" style="510" bestFit="1" customWidth="1"/>
  </cols>
  <sheetData>
    <row r="1" spans="1:5" s="8" customFormat="1" x14ac:dyDescent="0.2">
      <c r="A1" s="112"/>
      <c r="B1" s="1790">
        <v>2015</v>
      </c>
      <c r="C1" s="1793"/>
      <c r="D1" s="1793"/>
      <c r="E1" s="1794"/>
    </row>
    <row r="2" spans="1:5" s="8" customFormat="1" x14ac:dyDescent="0.2">
      <c r="A2" s="112" t="s">
        <v>489</v>
      </c>
      <c r="B2" s="531" t="s">
        <v>487</v>
      </c>
      <c r="C2" s="1545" t="s">
        <v>486</v>
      </c>
      <c r="D2" s="1545" t="s">
        <v>488</v>
      </c>
      <c r="E2" s="1546" t="s">
        <v>306</v>
      </c>
    </row>
    <row r="3" spans="1:5" s="557" customFormat="1" x14ac:dyDescent="0.2">
      <c r="A3" s="193" t="s">
        <v>204</v>
      </c>
      <c r="B3" s="1623"/>
      <c r="C3" s="1624"/>
      <c r="D3" s="1624"/>
      <c r="E3" s="1625"/>
    </row>
    <row r="4" spans="1:5" s="164" customFormat="1" x14ac:dyDescent="0.2">
      <c r="A4" s="1132" t="s">
        <v>129</v>
      </c>
      <c r="B4" s="519"/>
      <c r="C4" s="214"/>
      <c r="D4" s="214"/>
      <c r="E4" s="513"/>
    </row>
    <row r="5" spans="1:5" s="164" customFormat="1" x14ac:dyDescent="0.2">
      <c r="A5" s="172" t="s">
        <v>130</v>
      </c>
      <c r="B5" s="519"/>
      <c r="C5" s="214"/>
      <c r="D5" s="214"/>
      <c r="E5" s="513"/>
    </row>
    <row r="6" spans="1:5" s="164" customFormat="1" x14ac:dyDescent="0.2">
      <c r="A6" s="163" t="s">
        <v>99</v>
      </c>
      <c r="B6" s="519"/>
      <c r="C6" s="214"/>
      <c r="D6" s="214"/>
      <c r="E6" s="513"/>
    </row>
    <row r="7" spans="1:5" s="164" customFormat="1" x14ac:dyDescent="0.2">
      <c r="A7" s="642" t="s">
        <v>154</v>
      </c>
      <c r="B7" s="1176">
        <v>11254696.440022435</v>
      </c>
      <c r="C7" s="551" t="s">
        <v>638</v>
      </c>
      <c r="D7" s="1626" t="s">
        <v>1873</v>
      </c>
      <c r="E7" s="596"/>
    </row>
    <row r="8" spans="1:5" s="164" customFormat="1" x14ac:dyDescent="0.2">
      <c r="A8" s="642" t="s">
        <v>155</v>
      </c>
      <c r="B8" s="1176">
        <v>2892267.3679795032</v>
      </c>
      <c r="C8" s="551" t="s">
        <v>638</v>
      </c>
      <c r="D8" s="1626" t="s">
        <v>1873</v>
      </c>
      <c r="E8" s="596"/>
    </row>
    <row r="9" spans="1:5" s="164" customFormat="1" x14ac:dyDescent="0.2">
      <c r="A9" s="642" t="s">
        <v>156</v>
      </c>
      <c r="B9" s="1176">
        <v>1379465.786489099</v>
      </c>
      <c r="C9" s="551" t="s">
        <v>638</v>
      </c>
      <c r="D9" s="1626" t="s">
        <v>1873</v>
      </c>
      <c r="E9" s="596"/>
    </row>
    <row r="10" spans="1:5" s="164" customFormat="1" x14ac:dyDescent="0.2">
      <c r="A10" s="1621" t="s">
        <v>1663</v>
      </c>
      <c r="B10" s="1176">
        <f>SUM(B7:B9)</f>
        <v>15526429.594491038</v>
      </c>
      <c r="C10" s="551" t="s">
        <v>638</v>
      </c>
      <c r="D10" s="1626"/>
      <c r="E10" s="596"/>
    </row>
    <row r="11" spans="1:5" s="164" customFormat="1" ht="13.5" x14ac:dyDescent="0.2">
      <c r="A11" s="647" t="s">
        <v>1664</v>
      </c>
      <c r="B11" s="1768">
        <f>SUM(B12:B14)</f>
        <v>1853425.2468063044</v>
      </c>
      <c r="C11" s="551" t="s">
        <v>119</v>
      </c>
      <c r="E11" s="596"/>
    </row>
    <row r="12" spans="1:5" s="164" customFormat="1" x14ac:dyDescent="0.2">
      <c r="A12" s="642" t="s">
        <v>154</v>
      </c>
      <c r="B12" s="1176">
        <v>1340724.4122115963</v>
      </c>
      <c r="C12" s="551"/>
      <c r="D12" s="1626" t="s">
        <v>1873</v>
      </c>
      <c r="E12" s="596"/>
    </row>
    <row r="13" spans="1:5" s="164" customFormat="1" x14ac:dyDescent="0.2">
      <c r="A13" s="642" t="s">
        <v>155</v>
      </c>
      <c r="B13" s="1176">
        <v>346840.73700099753</v>
      </c>
      <c r="C13" s="551"/>
      <c r="D13" s="1626" t="s">
        <v>1873</v>
      </c>
      <c r="E13" s="596"/>
    </row>
    <row r="14" spans="1:5" s="164" customFormat="1" x14ac:dyDescent="0.2">
      <c r="A14" s="642" t="s">
        <v>156</v>
      </c>
      <c r="B14" s="1176">
        <v>165860.09759371064</v>
      </c>
      <c r="C14" s="551"/>
      <c r="D14" s="1626" t="s">
        <v>1873</v>
      </c>
      <c r="E14" s="596"/>
    </row>
    <row r="15" spans="1:5" s="164" customFormat="1" ht="13.5" x14ac:dyDescent="0.2">
      <c r="A15" s="647" t="s">
        <v>1665</v>
      </c>
      <c r="B15" s="1768">
        <v>131561.33768400236</v>
      </c>
      <c r="C15" s="551" t="s">
        <v>119</v>
      </c>
      <c r="D15" s="1626" t="s">
        <v>1873</v>
      </c>
      <c r="E15" s="596"/>
    </row>
    <row r="16" spans="1:5" s="164" customFormat="1" ht="13.5" x14ac:dyDescent="0.2">
      <c r="A16" s="292" t="s">
        <v>917</v>
      </c>
      <c r="B16" s="1627">
        <f>SUM(B11,B15)</f>
        <v>1984986.5844903067</v>
      </c>
      <c r="C16" s="532" t="s">
        <v>815</v>
      </c>
      <c r="D16" s="561"/>
      <c r="E16" s="980"/>
    </row>
    <row r="17" spans="1:5" s="164" customFormat="1" x14ac:dyDescent="0.2">
      <c r="A17" s="187"/>
      <c r="B17" s="1628"/>
      <c r="C17" s="425"/>
      <c r="D17" s="598"/>
      <c r="E17" s="581"/>
    </row>
    <row r="18" spans="1:5" s="164" customFormat="1" x14ac:dyDescent="0.2">
      <c r="A18" s="193" t="s">
        <v>27</v>
      </c>
      <c r="B18" s="1623"/>
      <c r="C18" s="1624"/>
      <c r="D18" s="1629"/>
      <c r="E18" s="1625"/>
    </row>
    <row r="19" spans="1:5" s="164" customFormat="1" x14ac:dyDescent="0.2">
      <c r="A19" s="1132" t="s">
        <v>129</v>
      </c>
      <c r="B19" s="519"/>
      <c r="C19" s="214"/>
      <c r="D19" s="488"/>
      <c r="E19" s="513"/>
    </row>
    <row r="20" spans="1:5" s="164" customFormat="1" x14ac:dyDescent="0.2">
      <c r="A20" s="540" t="s">
        <v>1764</v>
      </c>
      <c r="B20" s="519">
        <v>0</v>
      </c>
      <c r="C20" s="1630" t="s">
        <v>539</v>
      </c>
      <c r="D20" s="644" t="s">
        <v>1765</v>
      </c>
      <c r="E20" s="507"/>
    </row>
    <row r="21" spans="1:5" s="164" customFormat="1" ht="13.5" x14ac:dyDescent="0.2">
      <c r="A21" s="292" t="s">
        <v>144</v>
      </c>
      <c r="B21" s="676">
        <f>B20*efggasoline15*10^-6</f>
        <v>0</v>
      </c>
      <c r="C21" s="532" t="s">
        <v>815</v>
      </c>
      <c r="D21" s="215"/>
      <c r="E21" s="1602"/>
    </row>
    <row r="22" spans="1:5" s="164" customFormat="1" x14ac:dyDescent="0.2">
      <c r="A22" s="187"/>
      <c r="B22" s="1631"/>
      <c r="C22" s="425"/>
      <c r="D22" s="598"/>
      <c r="E22" s="581"/>
    </row>
    <row r="23" spans="1:5" s="198" customFormat="1" x14ac:dyDescent="0.2">
      <c r="A23" s="193" t="s">
        <v>205</v>
      </c>
      <c r="B23" s="1623"/>
      <c r="C23" s="1624"/>
      <c r="D23" s="1629"/>
      <c r="E23" s="1625"/>
    </row>
    <row r="24" spans="1:5" s="198" customFormat="1" x14ac:dyDescent="0.2">
      <c r="A24" s="1132" t="s">
        <v>129</v>
      </c>
      <c r="B24" s="1632"/>
      <c r="C24" s="553"/>
      <c r="D24" s="291"/>
      <c r="E24" s="510"/>
    </row>
    <row r="25" spans="1:5" s="198" customFormat="1" x14ac:dyDescent="0.2">
      <c r="A25" s="1646" t="s">
        <v>1686</v>
      </c>
      <c r="B25" s="1632"/>
      <c r="C25" s="553"/>
      <c r="D25" s="291"/>
      <c r="E25" s="510"/>
    </row>
    <row r="26" spans="1:5" s="198" customFormat="1" x14ac:dyDescent="0.2">
      <c r="A26" s="540" t="s">
        <v>1680</v>
      </c>
      <c r="B26" s="1633"/>
      <c r="C26" s="564"/>
      <c r="D26" s="291"/>
      <c r="E26" s="510"/>
    </row>
    <row r="27" spans="1:5" s="198" customFormat="1" x14ac:dyDescent="0.2">
      <c r="A27" s="647" t="s">
        <v>484</v>
      </c>
      <c r="B27" s="1633">
        <v>1348805</v>
      </c>
      <c r="C27" s="564" t="s">
        <v>539</v>
      </c>
      <c r="D27" s="644" t="s">
        <v>1765</v>
      </c>
      <c r="E27" s="510" t="s">
        <v>1682</v>
      </c>
    </row>
    <row r="28" spans="1:5" s="198" customFormat="1" x14ac:dyDescent="0.2">
      <c r="A28" s="540" t="s">
        <v>1881</v>
      </c>
      <c r="B28" s="1633"/>
      <c r="C28" s="564"/>
      <c r="D28" s="291"/>
      <c r="E28" s="510"/>
    </row>
    <row r="29" spans="1:5" s="198" customFormat="1" x14ac:dyDescent="0.2">
      <c r="A29" s="647" t="s">
        <v>484</v>
      </c>
      <c r="B29" s="1633">
        <v>868132</v>
      </c>
      <c r="C29" s="564" t="s">
        <v>539</v>
      </c>
      <c r="D29" s="644" t="s">
        <v>1765</v>
      </c>
      <c r="E29" s="510" t="s">
        <v>1683</v>
      </c>
    </row>
    <row r="30" spans="1:5" s="198" customFormat="1" x14ac:dyDescent="0.2">
      <c r="A30" s="540" t="s">
        <v>1880</v>
      </c>
      <c r="B30" s="1633"/>
      <c r="C30" s="564"/>
      <c r="D30" s="291"/>
      <c r="E30" s="510"/>
    </row>
    <row r="31" spans="1:5" s="198" customFormat="1" x14ac:dyDescent="0.2">
      <c r="A31" s="647" t="s">
        <v>484</v>
      </c>
      <c r="B31" s="1633">
        <v>32680</v>
      </c>
      <c r="C31" s="564" t="s">
        <v>539</v>
      </c>
      <c r="D31" s="644" t="s">
        <v>1765</v>
      </c>
      <c r="E31" s="510" t="s">
        <v>1684</v>
      </c>
    </row>
    <row r="32" spans="1:5" s="198" customFormat="1" x14ac:dyDescent="0.2">
      <c r="A32" s="647" t="s">
        <v>235</v>
      </c>
      <c r="B32" s="1633">
        <v>200965</v>
      </c>
      <c r="C32" s="564" t="s">
        <v>539</v>
      </c>
      <c r="D32" s="644" t="s">
        <v>1765</v>
      </c>
      <c r="E32" s="510" t="s">
        <v>1684</v>
      </c>
    </row>
    <row r="33" spans="1:5" s="198" customFormat="1" x14ac:dyDescent="0.2">
      <c r="A33" s="540" t="s">
        <v>1681</v>
      </c>
      <c r="B33" s="1633"/>
      <c r="C33" s="564"/>
      <c r="D33" s="291"/>
      <c r="E33" s="510"/>
    </row>
    <row r="34" spans="1:5" s="198" customFormat="1" x14ac:dyDescent="0.2">
      <c r="A34" s="647" t="s">
        <v>235</v>
      </c>
      <c r="B34" s="1633">
        <v>268993</v>
      </c>
      <c r="C34" s="564" t="s">
        <v>539</v>
      </c>
      <c r="D34" s="644" t="s">
        <v>1765</v>
      </c>
      <c r="E34" s="510" t="s">
        <v>1685</v>
      </c>
    </row>
    <row r="35" spans="1:5" s="198" customFormat="1" x14ac:dyDescent="0.2">
      <c r="A35" s="540"/>
      <c r="B35" s="1633"/>
      <c r="C35" s="564"/>
      <c r="D35" s="291"/>
      <c r="E35" s="510"/>
    </row>
    <row r="36" spans="1:5" s="198" customFormat="1" ht="13.5" x14ac:dyDescent="0.2">
      <c r="A36" s="540" t="s">
        <v>1687</v>
      </c>
      <c r="B36" s="1633">
        <f>SUM(B27,B29,B31)*efgdistillate*10^-6</f>
        <v>22995.031351759648</v>
      </c>
      <c r="C36" s="564" t="s">
        <v>119</v>
      </c>
      <c r="D36" s="291"/>
      <c r="E36" s="510"/>
    </row>
    <row r="37" spans="1:5" s="198" customFormat="1" ht="13.5" x14ac:dyDescent="0.2">
      <c r="A37" s="540" t="s">
        <v>1688</v>
      </c>
      <c r="B37" s="1633">
        <f>SUM(B34,B32)*efggasoline15*10^-6</f>
        <v>4191.0942723235794</v>
      </c>
      <c r="C37" s="564" t="s">
        <v>119</v>
      </c>
      <c r="D37" s="291"/>
      <c r="E37" s="510"/>
    </row>
    <row r="38" spans="1:5" s="198" customFormat="1" x14ac:dyDescent="0.2">
      <c r="A38" s="540"/>
      <c r="B38" s="1633"/>
      <c r="C38" s="564"/>
      <c r="D38" s="291"/>
      <c r="E38" s="510"/>
    </row>
    <row r="39" spans="1:5" s="557" customFormat="1" x14ac:dyDescent="0.2">
      <c r="A39" s="1646" t="s">
        <v>1675</v>
      </c>
      <c r="B39" s="1633"/>
      <c r="C39" s="553"/>
      <c r="D39" s="291"/>
      <c r="E39" s="510" t="s">
        <v>1677</v>
      </c>
    </row>
    <row r="40" spans="1:5" s="164" customFormat="1" x14ac:dyDescent="0.2">
      <c r="A40" s="540" t="s">
        <v>866</v>
      </c>
      <c r="B40" s="1633"/>
      <c r="C40" s="553"/>
      <c r="D40" s="291"/>
      <c r="E40" s="510"/>
    </row>
    <row r="41" spans="1:5" s="164" customFormat="1" x14ac:dyDescent="0.2">
      <c r="A41" s="647" t="s">
        <v>484</v>
      </c>
      <c r="B41" s="1645">
        <v>308083</v>
      </c>
      <c r="C41" s="564" t="s">
        <v>539</v>
      </c>
      <c r="D41" s="644" t="s">
        <v>1765</v>
      </c>
    </row>
    <row r="42" spans="1:5" s="164" customFormat="1" x14ac:dyDescent="0.2">
      <c r="A42" s="540" t="s">
        <v>1880</v>
      </c>
      <c r="B42" s="1645"/>
      <c r="C42" s="564"/>
      <c r="D42" s="291"/>
      <c r="E42" s="513" t="s">
        <v>1676</v>
      </c>
    </row>
    <row r="43" spans="1:5" s="164" customFormat="1" x14ac:dyDescent="0.2">
      <c r="A43" s="647" t="s">
        <v>484</v>
      </c>
      <c r="B43" s="1645">
        <v>20391</v>
      </c>
      <c r="C43" s="564" t="s">
        <v>539</v>
      </c>
      <c r="D43" s="644" t="s">
        <v>1765</v>
      </c>
      <c r="E43" s="513"/>
    </row>
    <row r="44" spans="1:5" s="164" customFormat="1" x14ac:dyDescent="0.2">
      <c r="A44" s="647" t="s">
        <v>235</v>
      </c>
      <c r="B44" s="1645">
        <v>97299</v>
      </c>
      <c r="C44" s="564" t="s">
        <v>539</v>
      </c>
      <c r="D44" s="644" t="s">
        <v>1765</v>
      </c>
      <c r="E44" s="513"/>
    </row>
    <row r="45" spans="1:5" s="164" customFormat="1" x14ac:dyDescent="0.2">
      <c r="A45" s="647"/>
      <c r="B45" s="1645"/>
      <c r="C45" s="564"/>
      <c r="D45" s="291"/>
      <c r="E45" s="513"/>
    </row>
    <row r="46" spans="1:5" s="164" customFormat="1" ht="13.5" x14ac:dyDescent="0.2">
      <c r="A46" s="540" t="s">
        <v>1678</v>
      </c>
      <c r="B46" s="1645">
        <f>SUM(B43,B41)*efgdistillate*10^-6</f>
        <v>3357.5803917902017</v>
      </c>
      <c r="C46" s="564" t="s">
        <v>119</v>
      </c>
      <c r="D46" s="291"/>
      <c r="E46" s="513"/>
    </row>
    <row r="47" spans="1:5" s="164" customFormat="1" ht="13.5" x14ac:dyDescent="0.2">
      <c r="A47" s="540" t="s">
        <v>1679</v>
      </c>
      <c r="B47" s="1645">
        <f>B44*efggasoline15*10^-6</f>
        <v>867.71430979536888</v>
      </c>
      <c r="C47" s="564" t="s">
        <v>119</v>
      </c>
      <c r="D47" s="291"/>
      <c r="E47" s="513"/>
    </row>
    <row r="48" spans="1:5" s="164" customFormat="1" x14ac:dyDescent="0.2">
      <c r="A48" s="647"/>
      <c r="B48" s="1645"/>
      <c r="C48" s="564"/>
      <c r="D48" s="291"/>
      <c r="E48" s="513"/>
    </row>
    <row r="49" spans="1:5" s="198" customFormat="1" x14ac:dyDescent="0.2">
      <c r="A49" s="1646" t="s">
        <v>239</v>
      </c>
      <c r="B49" s="564"/>
      <c r="C49" s="564"/>
      <c r="D49" s="551"/>
      <c r="E49" s="513"/>
    </row>
    <row r="50" spans="1:5" s="198" customFormat="1" x14ac:dyDescent="0.2">
      <c r="A50" s="647" t="s">
        <v>484</v>
      </c>
      <c r="B50" s="1247">
        <f>2380445+836598</f>
        <v>3217043</v>
      </c>
      <c r="C50" s="551" t="s">
        <v>539</v>
      </c>
      <c r="D50" s="644" t="s">
        <v>1765</v>
      </c>
      <c r="E50" s="513"/>
    </row>
    <row r="51" spans="1:5" s="557" customFormat="1" x14ac:dyDescent="0.2">
      <c r="A51" s="647" t="s">
        <v>264</v>
      </c>
      <c r="B51" s="1247">
        <v>180792</v>
      </c>
      <c r="C51" s="564" t="s">
        <v>539</v>
      </c>
      <c r="D51" s="644" t="s">
        <v>1765</v>
      </c>
      <c r="E51" s="513"/>
    </row>
    <row r="52" spans="1:5" s="164" customFormat="1" x14ac:dyDescent="0.2">
      <c r="A52" s="647" t="s">
        <v>867</v>
      </c>
      <c r="B52" s="1247">
        <v>0</v>
      </c>
      <c r="C52" s="564" t="s">
        <v>539</v>
      </c>
      <c r="D52" s="506"/>
      <c r="E52" s="513"/>
    </row>
    <row r="53" spans="1:5" s="164" customFormat="1" x14ac:dyDescent="0.2">
      <c r="A53" s="558" t="s">
        <v>868</v>
      </c>
      <c r="B53" s="564"/>
      <c r="C53" s="553"/>
      <c r="D53" s="506"/>
      <c r="E53" s="510"/>
    </row>
    <row r="54" spans="1:5" s="164" customFormat="1" x14ac:dyDescent="0.2">
      <c r="A54" s="558" t="s">
        <v>1569</v>
      </c>
      <c r="B54" s="1765">
        <v>0.125</v>
      </c>
      <c r="C54" s="553"/>
      <c r="D54" s="506"/>
      <c r="E54" s="510"/>
    </row>
    <row r="55" spans="1:5" s="164" customFormat="1" x14ac:dyDescent="0.2">
      <c r="A55" s="647" t="s">
        <v>484</v>
      </c>
      <c r="B55" s="1633">
        <f>B50*B$54</f>
        <v>402130.375</v>
      </c>
      <c r="C55" s="564" t="s">
        <v>539</v>
      </c>
      <c r="D55" s="506"/>
      <c r="E55" s="510" t="s">
        <v>1674</v>
      </c>
    </row>
    <row r="56" spans="1:5" s="164" customFormat="1" x14ac:dyDescent="0.2">
      <c r="A56" s="647" t="s">
        <v>264</v>
      </c>
      <c r="B56" s="1633">
        <f t="shared" ref="B56:B57" si="0">B51*B$54</f>
        <v>22599</v>
      </c>
      <c r="C56" s="564" t="s">
        <v>539</v>
      </c>
      <c r="D56" s="506"/>
      <c r="E56" s="510"/>
    </row>
    <row r="57" spans="1:5" s="164" customFormat="1" x14ac:dyDescent="0.2">
      <c r="A57" s="647" t="s">
        <v>867</v>
      </c>
      <c r="B57" s="1633">
        <f t="shared" si="0"/>
        <v>0</v>
      </c>
      <c r="C57" s="564" t="s">
        <v>539</v>
      </c>
      <c r="D57" s="506"/>
      <c r="E57" s="510"/>
    </row>
    <row r="58" spans="1:5" s="164" customFormat="1" x14ac:dyDescent="0.2">
      <c r="A58" s="540"/>
      <c r="B58" s="1633"/>
      <c r="C58" s="553"/>
      <c r="D58" s="506"/>
      <c r="E58" s="510"/>
    </row>
    <row r="59" spans="1:5" s="164" customFormat="1" ht="13.5" x14ac:dyDescent="0.2">
      <c r="A59" s="540" t="s">
        <v>1689</v>
      </c>
      <c r="B59" s="1634">
        <f>B55*efgdistillate*10^-6</f>
        <v>4110.4777304847285</v>
      </c>
      <c r="C59" s="564" t="s">
        <v>119</v>
      </c>
      <c r="D59" s="506"/>
      <c r="E59" s="510"/>
    </row>
    <row r="60" spans="1:5" s="164" customFormat="1" ht="13.5" x14ac:dyDescent="0.2">
      <c r="A60" s="540" t="s">
        <v>1690</v>
      </c>
      <c r="B60" s="1635">
        <f>B56*efgLPG*10^-6</f>
        <v>127.28290617060452</v>
      </c>
      <c r="C60" s="564" t="s">
        <v>119</v>
      </c>
      <c r="D60" s="506"/>
      <c r="E60" s="510"/>
    </row>
    <row r="61" spans="1:5" s="164" customFormat="1" x14ac:dyDescent="0.2">
      <c r="A61" s="647"/>
      <c r="B61" s="1636"/>
      <c r="C61" s="564"/>
      <c r="D61" s="506"/>
      <c r="E61" s="510"/>
    </row>
    <row r="62" spans="1:5" s="164" customFormat="1" ht="13.5" x14ac:dyDescent="0.2">
      <c r="A62" s="641" t="s">
        <v>1691</v>
      </c>
      <c r="B62" s="1634">
        <f>SUM(B59:B60,B46:B47,B36:B37)</f>
        <v>35649.180962324128</v>
      </c>
      <c r="C62" s="564" t="s">
        <v>119</v>
      </c>
      <c r="D62" s="1637"/>
      <c r="E62" s="1638"/>
    </row>
    <row r="63" spans="1:5" s="164" customFormat="1" x14ac:dyDescent="0.2">
      <c r="A63" s="540"/>
      <c r="B63" s="1633"/>
      <c r="C63" s="553"/>
      <c r="D63" s="506"/>
      <c r="E63" s="510"/>
    </row>
    <row r="64" spans="1:5" s="164" customFormat="1" x14ac:dyDescent="0.2">
      <c r="A64" s="643" t="s">
        <v>145</v>
      </c>
      <c r="B64" s="1639"/>
      <c r="C64" s="1640"/>
      <c r="D64" s="1640"/>
      <c r="E64" s="1641"/>
    </row>
    <row r="65" spans="1:5" s="164" customFormat="1" x14ac:dyDescent="0.2">
      <c r="A65" s="1132" t="s">
        <v>129</v>
      </c>
      <c r="B65" s="666"/>
      <c r="C65" s="361"/>
      <c r="D65" s="361"/>
      <c r="E65" s="510"/>
    </row>
    <row r="66" spans="1:5" s="164" customFormat="1" x14ac:dyDescent="0.2">
      <c r="A66" s="540" t="s">
        <v>1666</v>
      </c>
      <c r="B66" s="1248">
        <v>665337.04159093788</v>
      </c>
      <c r="C66" s="214" t="s">
        <v>638</v>
      </c>
      <c r="D66" s="1626" t="s">
        <v>1873</v>
      </c>
      <c r="E66" s="510"/>
    </row>
    <row r="67" spans="1:5" s="164" customFormat="1" ht="13.5" x14ac:dyDescent="0.2">
      <c r="A67" s="540" t="s">
        <v>1667</v>
      </c>
      <c r="B67" s="1248">
        <v>115120.30061361214</v>
      </c>
      <c r="C67" s="551" t="s">
        <v>119</v>
      </c>
      <c r="D67" s="1626" t="s">
        <v>1873</v>
      </c>
      <c r="E67" s="596"/>
    </row>
    <row r="68" spans="1:5" s="164" customFormat="1" ht="13.5" x14ac:dyDescent="0.2">
      <c r="A68" s="540" t="s">
        <v>1668</v>
      </c>
      <c r="B68" s="1248">
        <v>23522.030115355599</v>
      </c>
      <c r="C68" s="551" t="s">
        <v>119</v>
      </c>
      <c r="D68" s="1626" t="s">
        <v>1873</v>
      </c>
      <c r="E68" s="596"/>
    </row>
    <row r="69" spans="1:5" s="164" customFormat="1" x14ac:dyDescent="0.2">
      <c r="A69" s="172"/>
      <c r="B69" s="731"/>
      <c r="C69" s="551"/>
      <c r="D69" s="1626"/>
      <c r="E69" s="596"/>
    </row>
    <row r="70" spans="1:5" s="164" customFormat="1" ht="13.5" x14ac:dyDescent="0.2">
      <c r="A70" s="540" t="s">
        <v>1669</v>
      </c>
      <c r="B70" s="1248">
        <f>SUM(B67:B68)</f>
        <v>138642.33072896773</v>
      </c>
      <c r="C70" s="532" t="s">
        <v>815</v>
      </c>
      <c r="D70" s="1626"/>
      <c r="E70" s="980"/>
    </row>
    <row r="71" spans="1:5" s="90" customFormat="1" x14ac:dyDescent="0.2">
      <c r="A71" s="540"/>
      <c r="B71" s="731"/>
      <c r="C71" s="214"/>
      <c r="D71" s="1626"/>
      <c r="E71" s="596"/>
    </row>
    <row r="72" spans="1:5" x14ac:dyDescent="0.2">
      <c r="A72" s="540" t="s">
        <v>1670</v>
      </c>
      <c r="B72" s="1248">
        <v>390594.12520149641</v>
      </c>
      <c r="C72" s="214" t="s">
        <v>638</v>
      </c>
      <c r="D72" s="1626" t="s">
        <v>1873</v>
      </c>
      <c r="E72" s="596"/>
    </row>
    <row r="73" spans="1:5" ht="13.5" x14ac:dyDescent="0.2">
      <c r="A73" s="540" t="s">
        <v>1671</v>
      </c>
      <c r="B73" s="1248">
        <v>199281.37278940814</v>
      </c>
      <c r="C73" s="551" t="s">
        <v>119</v>
      </c>
      <c r="D73" s="1626" t="s">
        <v>1873</v>
      </c>
      <c r="E73" s="596"/>
    </row>
    <row r="74" spans="1:5" ht="13.5" x14ac:dyDescent="0.2">
      <c r="A74" s="540" t="s">
        <v>1672</v>
      </c>
      <c r="B74" s="1248">
        <v>554.29009790509986</v>
      </c>
      <c r="C74" s="551" t="s">
        <v>119</v>
      </c>
      <c r="D74" s="1626" t="s">
        <v>1873</v>
      </c>
      <c r="E74" s="596"/>
    </row>
    <row r="75" spans="1:5" x14ac:dyDescent="0.2">
      <c r="A75" s="172"/>
      <c r="B75" s="731"/>
      <c r="C75" s="551"/>
      <c r="D75" s="1626"/>
      <c r="E75" s="596"/>
    </row>
    <row r="76" spans="1:5" ht="13.5" x14ac:dyDescent="0.2">
      <c r="A76" s="540" t="s">
        <v>1673</v>
      </c>
      <c r="B76" s="1248">
        <f>SUM(B73:B74)</f>
        <v>199835.66288731323</v>
      </c>
      <c r="C76" s="532" t="s">
        <v>815</v>
      </c>
      <c r="D76" s="1626"/>
      <c r="E76" s="980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ht="15" x14ac:dyDescent="0.2">
      <c r="A79" s="1245" t="s">
        <v>814</v>
      </c>
      <c r="B79" s="1167">
        <f>SUM(B16,B21,B62,B70,B76)</f>
        <v>2359113.7590689119</v>
      </c>
      <c r="C79" s="1150" t="s">
        <v>128</v>
      </c>
      <c r="D79" s="1642"/>
      <c r="E79" s="1643"/>
    </row>
    <row r="83" spans="1:7" x14ac:dyDescent="0.2">
      <c r="B83" s="1644"/>
    </row>
    <row r="84" spans="1:7" x14ac:dyDescent="0.2">
      <c r="B84" s="1644"/>
    </row>
    <row r="87" spans="1:7" s="165" customFormat="1" x14ac:dyDescent="0.2">
      <c r="A87" s="114"/>
      <c r="B87" s="666"/>
      <c r="C87" s="361"/>
      <c r="D87" s="361"/>
      <c r="E87" s="510"/>
      <c r="F87"/>
      <c r="G87"/>
    </row>
    <row r="88" spans="1:7" s="165" customFormat="1" x14ac:dyDescent="0.2">
      <c r="A88" s="114"/>
      <c r="B88" s="666"/>
      <c r="C88" s="361"/>
      <c r="D88" s="361"/>
      <c r="E88" s="510"/>
      <c r="F88"/>
      <c r="G88"/>
    </row>
    <row r="90" spans="1:7" s="165" customFormat="1" x14ac:dyDescent="0.2">
      <c r="A90" s="114"/>
      <c r="B90" s="666"/>
      <c r="C90" s="361"/>
      <c r="D90" s="361"/>
      <c r="E90" s="510"/>
      <c r="F90"/>
      <c r="G90"/>
    </row>
    <row r="91" spans="1:7" s="165" customFormat="1" x14ac:dyDescent="0.2">
      <c r="A91" s="114"/>
      <c r="B91" s="666"/>
      <c r="C91" s="361"/>
      <c r="D91" s="361"/>
      <c r="E91" s="510"/>
      <c r="F91"/>
      <c r="G91"/>
    </row>
    <row r="92" spans="1:7" ht="12.75" x14ac:dyDescent="0.2">
      <c r="A92" s="1622"/>
    </row>
    <row r="93" spans="1:7" ht="12.75" x14ac:dyDescent="0.2">
      <c r="A93" s="1622"/>
    </row>
    <row r="94" spans="1:7" ht="12.75" x14ac:dyDescent="0.2">
      <c r="A94" s="1622"/>
    </row>
    <row r="95" spans="1:7" ht="12.75" x14ac:dyDescent="0.2">
      <c r="A95" s="1622"/>
    </row>
    <row r="96" spans="1:7" ht="12.75" x14ac:dyDescent="0.2">
      <c r="A96" s="1622"/>
    </row>
    <row r="97" spans="1:7" ht="12.75" x14ac:dyDescent="0.2">
      <c r="A97" s="1622"/>
    </row>
    <row r="98" spans="1:7" ht="12.75" x14ac:dyDescent="0.2">
      <c r="A98" s="1622"/>
    </row>
    <row r="99" spans="1:7" ht="12.75" x14ac:dyDescent="0.2">
      <c r="A99" s="1622"/>
    </row>
    <row r="100" spans="1:7" s="5" customFormat="1" x14ac:dyDescent="0.2">
      <c r="A100" s="114"/>
      <c r="B100" s="666"/>
      <c r="C100" s="361"/>
      <c r="D100" s="361"/>
      <c r="E100" s="510"/>
      <c r="F100"/>
      <c r="G100"/>
    </row>
    <row r="101" spans="1:7" s="5" customFormat="1" x14ac:dyDescent="0.2">
      <c r="A101" s="114"/>
      <c r="B101" s="666"/>
      <c r="C101" s="361"/>
      <c r="D101" s="361"/>
      <c r="E101" s="510"/>
      <c r="F101"/>
      <c r="G101"/>
    </row>
    <row r="102" spans="1:7" s="5" customFormat="1" x14ac:dyDescent="0.2">
      <c r="A102" s="114"/>
      <c r="B102" s="666"/>
      <c r="C102" s="361"/>
      <c r="D102" s="361"/>
      <c r="E102" s="510"/>
      <c r="F102"/>
      <c r="G102"/>
    </row>
    <row r="103" spans="1:7" s="5" customFormat="1" x14ac:dyDescent="0.2">
      <c r="A103" s="114"/>
      <c r="B103" s="666"/>
      <c r="C103" s="361"/>
      <c r="D103" s="361"/>
      <c r="E103" s="510"/>
      <c r="F103"/>
      <c r="G103"/>
    </row>
    <row r="104" spans="1:7" s="5" customFormat="1" x14ac:dyDescent="0.2">
      <c r="A104" s="114"/>
      <c r="B104" s="666"/>
      <c r="C104" s="361"/>
      <c r="D104" s="361"/>
      <c r="E104" s="510"/>
      <c r="F104"/>
      <c r="G104"/>
    </row>
    <row r="105" spans="1:7" s="5" customFormat="1" x14ac:dyDescent="0.2">
      <c r="A105" s="114"/>
      <c r="B105" s="666"/>
      <c r="C105" s="361"/>
      <c r="D105" s="361"/>
      <c r="E105" s="510"/>
      <c r="F105"/>
      <c r="G105"/>
    </row>
    <row r="106" spans="1:7" s="5" customFormat="1" x14ac:dyDescent="0.2">
      <c r="A106" s="114"/>
      <c r="B106" s="666"/>
      <c r="C106" s="361"/>
      <c r="D106" s="361"/>
      <c r="E106" s="510"/>
      <c r="F106"/>
      <c r="G106"/>
    </row>
    <row r="107" spans="1:7" s="5" customFormat="1" x14ac:dyDescent="0.2">
      <c r="A107" s="114"/>
      <c r="B107" s="666"/>
      <c r="C107" s="361"/>
      <c r="D107" s="361"/>
      <c r="E107" s="510"/>
      <c r="F107"/>
      <c r="G107"/>
    </row>
    <row r="108" spans="1:7" s="5" customFormat="1" x14ac:dyDescent="0.2">
      <c r="A108" s="114"/>
      <c r="B108" s="666"/>
      <c r="C108" s="361"/>
      <c r="D108" s="361"/>
      <c r="E108" s="510"/>
      <c r="F108"/>
      <c r="G108"/>
    </row>
    <row r="109" spans="1:7" s="5" customFormat="1" x14ac:dyDescent="0.2">
      <c r="A109" s="114"/>
      <c r="B109" s="666"/>
      <c r="C109" s="361"/>
      <c r="D109" s="361"/>
      <c r="E109" s="510"/>
      <c r="F109"/>
      <c r="G109"/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8"/>
  </sheetPr>
  <dimension ref="A1:I95"/>
  <sheetViews>
    <sheetView zoomScaleNormal="100"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F11" sqref="F11"/>
    </sheetView>
  </sheetViews>
  <sheetFormatPr defaultColWidth="8.85546875" defaultRowHeight="12" x14ac:dyDescent="0.2"/>
  <cols>
    <col min="1" max="1" width="46.5703125" style="114" customWidth="1"/>
    <col min="2" max="2" width="12.42578125" bestFit="1" customWidth="1"/>
    <col min="4" max="4" width="22.140625" style="1" customWidth="1"/>
    <col min="5" max="5" width="12.42578125" bestFit="1" customWidth="1"/>
    <col min="7" max="7" width="11.140625" customWidth="1"/>
    <col min="8" max="8" width="9.7109375" style="1" customWidth="1"/>
  </cols>
  <sheetData>
    <row r="1" spans="1:8" s="8" customFormat="1" x14ac:dyDescent="0.2">
      <c r="A1" s="1591"/>
      <c r="B1" s="444"/>
      <c r="C1" s="264"/>
      <c r="D1" s="112"/>
      <c r="E1" s="222">
        <v>2015</v>
      </c>
      <c r="F1" s="222"/>
      <c r="G1" s="222"/>
      <c r="H1" s="1592"/>
    </row>
    <row r="2" spans="1:8" s="8" customFormat="1" x14ac:dyDescent="0.2">
      <c r="A2" s="1591" t="s">
        <v>489</v>
      </c>
      <c r="B2" s="1790" t="s">
        <v>1277</v>
      </c>
      <c r="C2" s="1791"/>
      <c r="D2" s="1791"/>
      <c r="E2" s="1795" t="s">
        <v>1278</v>
      </c>
      <c r="F2" s="1796"/>
      <c r="G2" s="1796"/>
      <c r="H2" s="1797"/>
    </row>
    <row r="3" spans="1:8" s="8" customFormat="1" x14ac:dyDescent="0.2">
      <c r="A3" s="1591"/>
      <c r="B3" s="199" t="s">
        <v>487</v>
      </c>
      <c r="C3" s="1543" t="s">
        <v>486</v>
      </c>
      <c r="D3" s="1544" t="s">
        <v>306</v>
      </c>
      <c r="E3" s="199" t="s">
        <v>487</v>
      </c>
      <c r="F3" s="1543" t="s">
        <v>486</v>
      </c>
      <c r="G3" s="556" t="s">
        <v>488</v>
      </c>
      <c r="H3" s="1544" t="s">
        <v>306</v>
      </c>
    </row>
    <row r="4" spans="1:8" s="164" customFormat="1" x14ac:dyDescent="0.2">
      <c r="A4" s="1594" t="s">
        <v>39</v>
      </c>
      <c r="B4" s="1595"/>
      <c r="C4" s="244"/>
      <c r="D4" s="238"/>
      <c r="E4" s="1596"/>
      <c r="F4" s="272"/>
      <c r="G4" s="272"/>
      <c r="H4" s="574"/>
    </row>
    <row r="5" spans="1:8" s="164" customFormat="1" x14ac:dyDescent="0.2">
      <c r="A5" s="1597" t="s">
        <v>81</v>
      </c>
      <c r="B5" s="206"/>
      <c r="C5" s="204"/>
      <c r="D5" s="205"/>
      <c r="E5" s="530"/>
      <c r="F5" s="511"/>
      <c r="G5" s="511"/>
      <c r="H5" s="514"/>
    </row>
    <row r="6" spans="1:8" s="164" customFormat="1" x14ac:dyDescent="0.2">
      <c r="A6" s="1598" t="s">
        <v>1615</v>
      </c>
      <c r="B6" s="1599"/>
      <c r="C6" s="1562"/>
      <c r="D6" s="562"/>
      <c r="E6" s="530"/>
      <c r="F6" s="511"/>
      <c r="G6" s="511"/>
      <c r="H6" s="514"/>
    </row>
    <row r="7" spans="1:8" s="164" customFormat="1" x14ac:dyDescent="0.2">
      <c r="A7" s="562" t="s">
        <v>264</v>
      </c>
      <c r="B7" s="1600"/>
      <c r="C7" s="1564"/>
      <c r="D7" s="560"/>
      <c r="E7" s="1601"/>
      <c r="F7" s="579"/>
      <c r="G7" s="579"/>
      <c r="H7" s="1602"/>
    </row>
    <row r="8" spans="1:8" s="164" customFormat="1" ht="13.5" x14ac:dyDescent="0.2">
      <c r="A8" s="1603" t="s">
        <v>830</v>
      </c>
      <c r="D8" s="1604"/>
      <c r="E8" s="250">
        <v>0</v>
      </c>
      <c r="F8" s="511" t="s">
        <v>119</v>
      </c>
      <c r="G8" s="579"/>
      <c r="H8" s="1602"/>
    </row>
    <row r="9" spans="1:8" s="164" customFormat="1" x14ac:dyDescent="0.2">
      <c r="A9" s="562" t="s">
        <v>132</v>
      </c>
      <c r="D9" s="560"/>
      <c r="E9" s="250"/>
      <c r="F9" s="511"/>
      <c r="G9" s="579"/>
      <c r="H9" s="1602"/>
    </row>
    <row r="10" spans="1:8" s="164" customFormat="1" x14ac:dyDescent="0.2">
      <c r="A10" s="1605" t="s">
        <v>839</v>
      </c>
      <c r="D10" s="542"/>
      <c r="E10" s="250"/>
      <c r="F10" s="580"/>
      <c r="G10" s="579"/>
      <c r="H10" s="1602"/>
    </row>
    <row r="11" spans="1:8" s="164" customFormat="1" ht="13.5" x14ac:dyDescent="0.2">
      <c r="A11" s="1603" t="s">
        <v>831</v>
      </c>
      <c r="D11" s="1604"/>
      <c r="E11" s="250">
        <v>8884.351999999999</v>
      </c>
      <c r="F11" s="511" t="s">
        <v>119</v>
      </c>
      <c r="G11" s="573" t="s">
        <v>1616</v>
      </c>
      <c r="H11" s="581" t="s">
        <v>1877</v>
      </c>
    </row>
    <row r="12" spans="1:8" s="164" customFormat="1" x14ac:dyDescent="0.2">
      <c r="A12" s="562" t="s">
        <v>131</v>
      </c>
      <c r="D12" s="560"/>
      <c r="E12" s="250"/>
      <c r="F12" s="511"/>
      <c r="G12" s="511"/>
      <c r="H12" s="1602"/>
    </row>
    <row r="13" spans="1:8" s="164" customFormat="1" x14ac:dyDescent="0.2">
      <c r="A13" s="1606" t="s">
        <v>840</v>
      </c>
      <c r="D13" s="542"/>
      <c r="E13" s="250"/>
      <c r="F13" s="580"/>
      <c r="G13" s="511"/>
      <c r="H13" s="1602"/>
    </row>
    <row r="14" spans="1:8" s="164" customFormat="1" ht="13.5" x14ac:dyDescent="0.2">
      <c r="A14" s="1603" t="s">
        <v>832</v>
      </c>
      <c r="D14" s="1604"/>
      <c r="E14" s="250">
        <v>16606.572</v>
      </c>
      <c r="F14" s="511" t="s">
        <v>119</v>
      </c>
      <c r="G14" s="573" t="s">
        <v>1616</v>
      </c>
      <c r="H14" s="581" t="s">
        <v>1878</v>
      </c>
    </row>
    <row r="15" spans="1:8" s="164" customFormat="1" x14ac:dyDescent="0.2">
      <c r="A15" s="562" t="s">
        <v>202</v>
      </c>
      <c r="D15" s="560"/>
      <c r="E15" s="250"/>
      <c r="F15" s="511"/>
      <c r="G15" s="511"/>
      <c r="H15" s="1602"/>
    </row>
    <row r="16" spans="1:8" s="164" customFormat="1" ht="13.5" x14ac:dyDescent="0.2">
      <c r="A16" s="1603" t="s">
        <v>833</v>
      </c>
      <c r="D16" s="1604"/>
      <c r="E16" s="250">
        <v>1589.973</v>
      </c>
      <c r="F16" s="511" t="s">
        <v>119</v>
      </c>
      <c r="G16" s="573" t="s">
        <v>1616</v>
      </c>
      <c r="H16" s="581" t="s">
        <v>1879</v>
      </c>
    </row>
    <row r="17" spans="1:9" s="164" customFormat="1" x14ac:dyDescent="0.2">
      <c r="A17" s="1603"/>
      <c r="D17" s="1604"/>
      <c r="E17" s="250"/>
      <c r="F17" s="511"/>
      <c r="G17" s="579"/>
      <c r="H17" s="1602"/>
    </row>
    <row r="18" spans="1:9" s="164" customFormat="1" ht="13.5" x14ac:dyDescent="0.2">
      <c r="A18" s="242" t="s">
        <v>834</v>
      </c>
      <c r="D18" s="242"/>
      <c r="E18" s="251">
        <f>SUM(E11,E8,E14,E16)</f>
        <v>27080.896999999997</v>
      </c>
      <c r="F18" s="566" t="s">
        <v>799</v>
      </c>
      <c r="G18" s="579"/>
      <c r="H18" s="581"/>
    </row>
    <row r="19" spans="1:9" s="164" customFormat="1" x14ac:dyDescent="0.2">
      <c r="A19" s="1607"/>
      <c r="B19" s="206"/>
      <c r="C19" s="204"/>
      <c r="D19" s="205"/>
      <c r="E19" s="530"/>
      <c r="F19" s="511"/>
      <c r="G19" s="511"/>
      <c r="H19" s="514"/>
    </row>
    <row r="20" spans="1:9" s="164" customFormat="1" x14ac:dyDescent="0.2">
      <c r="A20" s="238" t="s">
        <v>150</v>
      </c>
      <c r="B20" s="294"/>
      <c r="C20" s="294"/>
      <c r="D20" s="517"/>
      <c r="E20" s="272"/>
      <c r="F20" s="294"/>
      <c r="G20" s="294"/>
      <c r="H20" s="517"/>
    </row>
    <row r="21" spans="1:9" s="164" customFormat="1" x14ac:dyDescent="0.2">
      <c r="A21" s="1132" t="s">
        <v>81</v>
      </c>
      <c r="D21" s="641"/>
      <c r="H21" s="521"/>
      <c r="I21" s="468"/>
    </row>
    <row r="22" spans="1:9" s="164" customFormat="1" x14ac:dyDescent="0.2">
      <c r="A22" s="245" t="s">
        <v>1355</v>
      </c>
      <c r="D22" s="641"/>
      <c r="E22" s="1335">
        <v>2.7549999999999999</v>
      </c>
      <c r="F22" s="468" t="s">
        <v>1356</v>
      </c>
      <c r="G22" s="1531" t="s">
        <v>1532</v>
      </c>
      <c r="H22" s="468" t="s">
        <v>1876</v>
      </c>
      <c r="I22" s="468"/>
    </row>
    <row r="23" spans="1:9" s="164" customFormat="1" x14ac:dyDescent="0.2">
      <c r="A23" s="245"/>
      <c r="D23" s="641"/>
      <c r="E23" s="468"/>
      <c r="G23" s="521"/>
      <c r="I23" s="468"/>
    </row>
    <row r="24" spans="1:9" s="164" customFormat="1" x14ac:dyDescent="0.2">
      <c r="A24" s="1334" t="s">
        <v>1523</v>
      </c>
      <c r="D24" s="641"/>
      <c r="E24" s="1533">
        <v>7472000</v>
      </c>
      <c r="F24" s="468" t="s">
        <v>1368</v>
      </c>
      <c r="G24" s="521" t="s">
        <v>1531</v>
      </c>
      <c r="I24" s="468"/>
    </row>
    <row r="25" spans="1:9" s="164" customFormat="1" x14ac:dyDescent="0.2">
      <c r="A25" s="1052" t="s">
        <v>1524</v>
      </c>
      <c r="D25" s="641"/>
      <c r="E25" s="1533">
        <v>3934000</v>
      </c>
      <c r="F25" s="468" t="s">
        <v>1368</v>
      </c>
      <c r="G25" s="521" t="s">
        <v>1531</v>
      </c>
      <c r="I25" s="468"/>
    </row>
    <row r="26" spans="1:9" s="164" customFormat="1" x14ac:dyDescent="0.2">
      <c r="A26" s="1127" t="s">
        <v>82</v>
      </c>
      <c r="D26" s="641"/>
      <c r="E26" s="71"/>
      <c r="F26" s="468"/>
      <c r="H26" s="521"/>
      <c r="I26" s="468"/>
    </row>
    <row r="27" spans="1:9" s="164" customFormat="1" x14ac:dyDescent="0.2">
      <c r="A27" s="1334" t="s">
        <v>1525</v>
      </c>
      <c r="B27" s="1533">
        <f>E24/$E$22</f>
        <v>2712159.7096188748</v>
      </c>
      <c r="C27" s="468" t="s">
        <v>539</v>
      </c>
      <c r="D27" s="521"/>
      <c r="E27" s="71"/>
      <c r="F27" s="468"/>
      <c r="H27" s="641"/>
    </row>
    <row r="28" spans="1:9" s="164" customFormat="1" x14ac:dyDescent="0.2">
      <c r="A28" s="1052" t="s">
        <v>1526</v>
      </c>
      <c r="B28" s="1533">
        <f>E25/$E$22</f>
        <v>1427949.1833030854</v>
      </c>
      <c r="C28" s="468" t="s">
        <v>539</v>
      </c>
      <c r="D28" s="521"/>
      <c r="E28" s="71"/>
      <c r="F28" s="468"/>
      <c r="H28" s="641"/>
    </row>
    <row r="29" spans="1:9" s="164" customFormat="1" x14ac:dyDescent="0.2">
      <c r="A29" s="513"/>
      <c r="B29" s="251"/>
      <c r="C29" s="468"/>
      <c r="D29" s="641"/>
      <c r="E29" s="71"/>
      <c r="F29" s="468"/>
      <c r="H29" s="641"/>
    </row>
    <row r="30" spans="1:9" s="164" customFormat="1" x14ac:dyDescent="0.2">
      <c r="A30" s="518" t="s">
        <v>1570</v>
      </c>
      <c r="B30" s="251"/>
      <c r="C30" s="468"/>
      <c r="D30" s="641"/>
      <c r="E30" s="71"/>
      <c r="F30" s="468"/>
      <c r="H30" s="641"/>
    </row>
    <row r="31" spans="1:9" s="164" customFormat="1" x14ac:dyDescent="0.2">
      <c r="A31" s="1334" t="s">
        <v>1527</v>
      </c>
      <c r="B31" s="251"/>
      <c r="C31" s="468"/>
      <c r="D31" s="641"/>
      <c r="E31" s="1345">
        <v>0.5</v>
      </c>
      <c r="F31" s="468"/>
      <c r="H31" s="641"/>
    </row>
    <row r="32" spans="1:9" s="164" customFormat="1" x14ac:dyDescent="0.2">
      <c r="A32" s="1052" t="s">
        <v>1528</v>
      </c>
      <c r="B32" s="251"/>
      <c r="C32" s="468"/>
      <c r="D32" s="641"/>
      <c r="E32" s="1345">
        <v>0.5</v>
      </c>
      <c r="F32" s="468"/>
      <c r="H32" s="641"/>
    </row>
    <row r="33" spans="1:9" s="164" customFormat="1" x14ac:dyDescent="0.2">
      <c r="A33" s="1289"/>
      <c r="B33" s="251"/>
      <c r="C33" s="468"/>
      <c r="D33" s="641"/>
      <c r="E33" s="468"/>
      <c r="F33" s="468"/>
      <c r="H33" s="641"/>
    </row>
    <row r="34" spans="1:9" s="164" customFormat="1" x14ac:dyDescent="0.2">
      <c r="A34" s="1289" t="s">
        <v>1571</v>
      </c>
      <c r="B34" s="251"/>
      <c r="C34" s="468"/>
      <c r="D34" s="641"/>
      <c r="E34" s="468"/>
      <c r="F34" s="468"/>
      <c r="H34" s="641"/>
    </row>
    <row r="35" spans="1:9" s="164" customFormat="1" x14ac:dyDescent="0.2">
      <c r="A35" s="1334" t="s">
        <v>1527</v>
      </c>
      <c r="B35" s="1533">
        <f>B27*E31</f>
        <v>1356079.8548094374</v>
      </c>
      <c r="C35" s="468" t="s">
        <v>539</v>
      </c>
      <c r="D35" s="641"/>
      <c r="E35" s="468"/>
      <c r="F35" s="468"/>
      <c r="H35" s="641"/>
    </row>
    <row r="36" spans="1:9" s="164" customFormat="1" x14ac:dyDescent="0.2">
      <c r="A36" s="1052" t="s">
        <v>1528</v>
      </c>
      <c r="B36" s="1533">
        <f>B28*E32</f>
        <v>713974.59165154269</v>
      </c>
      <c r="C36" s="468" t="s">
        <v>539</v>
      </c>
      <c r="D36" s="641"/>
      <c r="E36" s="468"/>
      <c r="F36" s="468"/>
      <c r="H36" s="641"/>
    </row>
    <row r="37" spans="1:9" s="164" customFormat="1" x14ac:dyDescent="0.2">
      <c r="A37" s="1289"/>
      <c r="B37" s="251"/>
      <c r="C37" s="468"/>
      <c r="D37" s="641"/>
      <c r="E37" s="468"/>
      <c r="F37" s="468"/>
      <c r="H37" s="641"/>
    </row>
    <row r="38" spans="1:9" s="164" customFormat="1" x14ac:dyDescent="0.2">
      <c r="A38" s="513" t="s">
        <v>1529</v>
      </c>
      <c r="B38" s="1533">
        <f>B35*efgdistillate/1000/1000</f>
        <v>13861.514549735657</v>
      </c>
      <c r="C38" s="468" t="s">
        <v>1357</v>
      </c>
      <c r="D38" s="641"/>
      <c r="E38" s="468"/>
      <c r="H38" s="641"/>
    </row>
    <row r="39" spans="1:9" s="164" customFormat="1" x14ac:dyDescent="0.2">
      <c r="A39" s="513" t="s">
        <v>1530</v>
      </c>
      <c r="B39" s="1533">
        <f>B36*efgdistillate/1000/1000</f>
        <v>7298.0725694138227</v>
      </c>
      <c r="C39" s="468" t="s">
        <v>1357</v>
      </c>
      <c r="D39" s="641"/>
      <c r="E39" s="468"/>
      <c r="H39" s="641"/>
    </row>
    <row r="40" spans="1:9" s="164" customFormat="1" x14ac:dyDescent="0.2">
      <c r="A40" s="1289"/>
      <c r="B40" s="251"/>
      <c r="C40" s="468"/>
      <c r="D40" s="641"/>
      <c r="E40" s="468"/>
      <c r="H40" s="641"/>
    </row>
    <row r="41" spans="1:9" s="164" customFormat="1" x14ac:dyDescent="0.2">
      <c r="A41" s="1289" t="s">
        <v>1572</v>
      </c>
      <c r="B41" s="1532">
        <f>SUM(B38:B39)</f>
        <v>21159.587119149481</v>
      </c>
      <c r="C41" s="164" t="s">
        <v>1357</v>
      </c>
      <c r="D41" s="641"/>
      <c r="E41" s="468"/>
      <c r="H41" s="641"/>
    </row>
    <row r="42" spans="1:9" s="164" customFormat="1" x14ac:dyDescent="0.2">
      <c r="A42" s="238" t="s">
        <v>94</v>
      </c>
      <c r="B42" s="1336"/>
      <c r="C42" s="1336"/>
      <c r="D42" s="1337"/>
      <c r="E42" s="1336"/>
      <c r="F42" s="1336"/>
      <c r="G42" s="1336"/>
      <c r="H42" s="1337"/>
    </row>
    <row r="43" spans="1:9" s="164" customFormat="1" x14ac:dyDescent="0.2">
      <c r="A43" s="281"/>
      <c r="D43" s="641"/>
      <c r="H43" s="641"/>
    </row>
    <row r="44" spans="1:9" s="164" customFormat="1" x14ac:dyDescent="0.2">
      <c r="A44" s="235" t="s">
        <v>107</v>
      </c>
      <c r="D44" s="641"/>
      <c r="H44" s="641"/>
    </row>
    <row r="45" spans="1:9" s="164" customFormat="1" x14ac:dyDescent="0.2">
      <c r="A45" s="194" t="s">
        <v>81</v>
      </c>
      <c r="B45" s="1346"/>
      <c r="C45" s="468"/>
      <c r="D45" s="521"/>
      <c r="E45" s="250"/>
      <c r="F45" s="468"/>
      <c r="G45" s="468"/>
      <c r="H45" s="521"/>
    </row>
    <row r="46" spans="1:9" s="164" customFormat="1" ht="13.5" x14ac:dyDescent="0.2">
      <c r="A46" s="575" t="s">
        <v>1534</v>
      </c>
      <c r="B46" s="1346"/>
      <c r="C46" s="443"/>
      <c r="D46" s="468"/>
      <c r="E46" s="1533">
        <v>41</v>
      </c>
      <c r="F46" s="443" t="s">
        <v>1369</v>
      </c>
      <c r="G46" s="468" t="s">
        <v>1533</v>
      </c>
      <c r="H46" s="468" t="s">
        <v>1596</v>
      </c>
      <c r="I46" s="1338"/>
    </row>
    <row r="47" spans="1:9" s="164" customFormat="1" x14ac:dyDescent="0.2">
      <c r="A47" s="575" t="s">
        <v>1535</v>
      </c>
      <c r="B47" s="1346"/>
      <c r="C47" s="443"/>
      <c r="D47" s="468"/>
      <c r="E47" s="1533">
        <v>152995</v>
      </c>
      <c r="F47" s="468" t="s">
        <v>1359</v>
      </c>
      <c r="G47" s="468" t="s">
        <v>1560</v>
      </c>
      <c r="H47" s="521" t="s">
        <v>1562</v>
      </c>
      <c r="I47" s="1348"/>
    </row>
    <row r="48" spans="1:9" s="164" customFormat="1" x14ac:dyDescent="0.2">
      <c r="A48" s="575" t="s">
        <v>1536</v>
      </c>
      <c r="B48" s="1346"/>
      <c r="C48" s="443"/>
      <c r="D48" s="468"/>
      <c r="E48" s="1533">
        <v>422488</v>
      </c>
      <c r="F48" s="468" t="s">
        <v>1359</v>
      </c>
      <c r="G48" s="468" t="s">
        <v>1559</v>
      </c>
      <c r="H48" s="521" t="s">
        <v>1360</v>
      </c>
      <c r="I48" s="1348"/>
    </row>
    <row r="49" spans="1:9" s="164" customFormat="1" x14ac:dyDescent="0.2">
      <c r="A49" s="1127" t="s">
        <v>82</v>
      </c>
      <c r="B49" s="1346"/>
      <c r="C49" s="443"/>
      <c r="D49" s="468"/>
      <c r="E49" s="250"/>
      <c r="F49" s="468"/>
      <c r="G49" s="468"/>
      <c r="H49" s="425"/>
      <c r="I49" s="1348"/>
    </row>
    <row r="50" spans="1:9" s="164" customFormat="1" ht="13.5" x14ac:dyDescent="0.2">
      <c r="A50" s="575" t="s">
        <v>1537</v>
      </c>
      <c r="B50" s="1533">
        <f>E46*(E48/E47)</f>
        <v>113.21943854374325</v>
      </c>
      <c r="C50" s="443" t="s">
        <v>1369</v>
      </c>
      <c r="D50" s="468"/>
      <c r="E50" s="250"/>
      <c r="F50" s="468"/>
      <c r="G50" s="468"/>
      <c r="H50" s="468"/>
      <c r="I50" s="203"/>
    </row>
    <row r="51" spans="1:9" s="164" customFormat="1" ht="13.5" x14ac:dyDescent="0.2">
      <c r="A51" s="575" t="s">
        <v>1538</v>
      </c>
      <c r="B51" s="1533">
        <f>B50*tonTOMg</f>
        <v>102.710410258113</v>
      </c>
      <c r="C51" s="443" t="s">
        <v>119</v>
      </c>
      <c r="D51" s="521"/>
      <c r="E51" s="250"/>
      <c r="F51" s="468"/>
      <c r="G51" s="468"/>
      <c r="H51" s="521"/>
    </row>
    <row r="52" spans="1:9" x14ac:dyDescent="0.2">
      <c r="A52" s="235" t="s">
        <v>108</v>
      </c>
      <c r="B52" s="270"/>
      <c r="E52" s="270"/>
    </row>
    <row r="53" spans="1:9" s="164" customFormat="1" x14ac:dyDescent="0.2">
      <c r="A53" s="1132" t="s">
        <v>115</v>
      </c>
      <c r="B53" s="250"/>
      <c r="C53" s="468"/>
      <c r="D53" s="521"/>
      <c r="E53" s="250"/>
      <c r="F53" s="468"/>
      <c r="G53" s="468"/>
      <c r="H53" s="521"/>
    </row>
    <row r="54" spans="1:9" s="164" customFormat="1" ht="13.5" x14ac:dyDescent="0.25">
      <c r="A54" s="205" t="s">
        <v>1591</v>
      </c>
      <c r="B54" s="250"/>
      <c r="C54" s="468"/>
      <c r="D54" s="521"/>
      <c r="E54" s="1533">
        <v>96462.2</v>
      </c>
      <c r="F54" s="468" t="s">
        <v>1371</v>
      </c>
      <c r="G54" s="521" t="s">
        <v>1533</v>
      </c>
      <c r="H54" s="1138" t="s">
        <v>1361</v>
      </c>
    </row>
    <row r="55" spans="1:9" s="164" customFormat="1" ht="13.5" x14ac:dyDescent="0.25">
      <c r="A55" s="540" t="s">
        <v>1592</v>
      </c>
      <c r="B55" s="250"/>
      <c r="C55" s="468"/>
      <c r="D55" s="521"/>
      <c r="E55" s="1533">
        <v>10983</v>
      </c>
      <c r="F55" s="468" t="s">
        <v>1371</v>
      </c>
      <c r="G55" s="521" t="s">
        <v>1533</v>
      </c>
      <c r="H55" s="521" t="s">
        <v>1362</v>
      </c>
    </row>
    <row r="56" spans="1:9" s="164" customFormat="1" x14ac:dyDescent="0.2">
      <c r="A56" s="1127" t="s">
        <v>82</v>
      </c>
      <c r="B56" s="250"/>
      <c r="C56" s="468"/>
      <c r="D56" s="521"/>
      <c r="E56" s="250"/>
      <c r="F56" s="468"/>
      <c r="G56" s="425"/>
      <c r="H56" s="521"/>
    </row>
    <row r="57" spans="1:9" s="164" customFormat="1" ht="13.5" x14ac:dyDescent="0.25">
      <c r="A57" s="158" t="s">
        <v>1593</v>
      </c>
      <c r="B57" s="1533">
        <f>E54*tonTOMg</f>
        <v>87508.578595999992</v>
      </c>
      <c r="C57" s="468" t="s">
        <v>1370</v>
      </c>
      <c r="D57" s="521"/>
      <c r="E57" s="250"/>
      <c r="F57" s="468"/>
      <c r="G57" s="425"/>
      <c r="H57" s="521"/>
    </row>
    <row r="58" spans="1:9" s="164" customFormat="1" ht="13.5" x14ac:dyDescent="0.25">
      <c r="A58" s="158" t="s">
        <v>1539</v>
      </c>
      <c r="B58" s="1533">
        <f>E55*tonTOMg</f>
        <v>9963.5579400000006</v>
      </c>
      <c r="C58" s="468" t="s">
        <v>1370</v>
      </c>
      <c r="D58" s="521"/>
      <c r="E58" s="250"/>
      <c r="F58" s="468"/>
      <c r="G58" s="425"/>
      <c r="H58" s="521"/>
    </row>
    <row r="59" spans="1:9" s="164" customFormat="1" ht="13.5" x14ac:dyDescent="0.25">
      <c r="A59" s="158" t="s">
        <v>1594</v>
      </c>
      <c r="B59" s="1533">
        <f>B57*(E48/E47)</f>
        <v>241650.53991219873</v>
      </c>
      <c r="C59" s="468" t="s">
        <v>1370</v>
      </c>
      <c r="D59" s="1347" t="s">
        <v>1358</v>
      </c>
      <c r="E59" s="250"/>
      <c r="F59" s="468"/>
      <c r="G59" s="468"/>
      <c r="H59" s="521"/>
    </row>
    <row r="60" spans="1:9" s="164" customFormat="1" ht="13.5" x14ac:dyDescent="0.25">
      <c r="A60" s="158" t="s">
        <v>1540</v>
      </c>
      <c r="B60" s="1532">
        <f>B58*(popSno15/popSno11)</f>
        <v>10527.742671330545</v>
      </c>
      <c r="C60" s="468" t="s">
        <v>1370</v>
      </c>
      <c r="D60" s="1347" t="s">
        <v>1363</v>
      </c>
      <c r="E60" s="250"/>
      <c r="F60" s="468"/>
      <c r="G60" s="468"/>
      <c r="H60" s="521"/>
    </row>
    <row r="61" spans="1:9" s="164" customFormat="1" ht="13.5" x14ac:dyDescent="0.25">
      <c r="A61" s="205" t="s">
        <v>1573</v>
      </c>
      <c r="B61" s="1532">
        <f>B59-B60-B41</f>
        <v>209963.2101217187</v>
      </c>
      <c r="C61" s="164" t="s">
        <v>128</v>
      </c>
      <c r="D61" s="641"/>
      <c r="E61" s="251"/>
      <c r="H61" s="641"/>
    </row>
    <row r="62" spans="1:9" s="198" customFormat="1" x14ac:dyDescent="0.2">
      <c r="A62" s="540"/>
      <c r="B62" s="250"/>
      <c r="D62" s="1339"/>
      <c r="E62" s="1542"/>
      <c r="H62" s="1339"/>
    </row>
    <row r="63" spans="1:9" s="91" customFormat="1" x14ac:dyDescent="0.2">
      <c r="A63" s="235" t="s">
        <v>95</v>
      </c>
      <c r="B63" s="250"/>
      <c r="D63" s="92"/>
      <c r="E63" s="250"/>
      <c r="H63" s="92"/>
    </row>
    <row r="64" spans="1:9" s="91" customFormat="1" x14ac:dyDescent="0.2">
      <c r="A64" s="1127" t="s">
        <v>82</v>
      </c>
      <c r="B64" s="250"/>
      <c r="D64" s="92"/>
      <c r="E64" s="250"/>
      <c r="H64" s="92"/>
    </row>
    <row r="65" spans="1:8" s="91" customFormat="1" x14ac:dyDescent="0.2">
      <c r="A65" s="540" t="s">
        <v>853</v>
      </c>
      <c r="B65" s="250"/>
      <c r="D65" s="92"/>
      <c r="E65" s="250"/>
      <c r="H65" s="92"/>
    </row>
    <row r="66" spans="1:8" s="91" customFormat="1" x14ac:dyDescent="0.2">
      <c r="A66" s="205" t="s">
        <v>96</v>
      </c>
      <c r="B66" s="250"/>
      <c r="D66" s="92"/>
      <c r="E66" s="250"/>
      <c r="H66" s="92"/>
    </row>
    <row r="67" spans="1:8" s="164" customFormat="1" x14ac:dyDescent="0.2">
      <c r="A67" s="202"/>
      <c r="B67" s="251"/>
      <c r="D67" s="641"/>
      <c r="E67" s="251"/>
      <c r="H67" s="641"/>
    </row>
    <row r="68" spans="1:8" s="91" customFormat="1" x14ac:dyDescent="0.2">
      <c r="A68" s="235" t="s">
        <v>97</v>
      </c>
      <c r="B68" s="250"/>
      <c r="D68" s="92"/>
      <c r="E68" s="250"/>
      <c r="H68" s="92"/>
    </row>
    <row r="69" spans="1:8" s="164" customFormat="1" ht="12" customHeight="1" x14ac:dyDescent="0.2">
      <c r="A69" s="1132" t="s">
        <v>81</v>
      </c>
      <c r="B69" s="250"/>
      <c r="C69" s="468"/>
      <c r="D69" s="521"/>
      <c r="E69" s="251"/>
      <c r="H69" s="641"/>
    </row>
    <row r="70" spans="1:8" s="164" customFormat="1" ht="12" customHeight="1" x14ac:dyDescent="0.25">
      <c r="A70" s="528" t="s">
        <v>1564</v>
      </c>
      <c r="B70" s="250"/>
      <c r="C70" s="468"/>
      <c r="D70" s="521"/>
      <c r="E70" s="1533">
        <v>3019</v>
      </c>
      <c r="F70" s="468" t="s">
        <v>1371</v>
      </c>
      <c r="G70" s="276" t="s">
        <v>1561</v>
      </c>
      <c r="H70" s="521" t="s">
        <v>1563</v>
      </c>
    </row>
    <row r="71" spans="1:8" s="164" customFormat="1" ht="12" customHeight="1" x14ac:dyDescent="0.2">
      <c r="A71" s="1127" t="s">
        <v>82</v>
      </c>
      <c r="B71" s="250"/>
      <c r="C71" s="468"/>
      <c r="D71" s="521"/>
      <c r="E71" s="468"/>
      <c r="F71" s="468"/>
      <c r="G71" s="276"/>
      <c r="H71" s="521"/>
    </row>
    <row r="72" spans="1:8" s="164" customFormat="1" ht="12" customHeight="1" x14ac:dyDescent="0.25">
      <c r="A72" s="528" t="s">
        <v>1595</v>
      </c>
      <c r="B72" s="1533">
        <f>E70*tonTOMg</f>
        <v>2738.7764200000001</v>
      </c>
      <c r="C72" s="468" t="s">
        <v>119</v>
      </c>
      <c r="D72" s="521"/>
      <c r="E72" s="468"/>
      <c r="F72" s="468"/>
      <c r="G72" s="276"/>
      <c r="H72" s="521"/>
    </row>
    <row r="73" spans="1:8" s="164" customFormat="1" ht="12" customHeight="1" x14ac:dyDescent="0.25">
      <c r="A73" s="528" t="s">
        <v>1565</v>
      </c>
      <c r="B73" s="1533">
        <f>B72*E48/E47</f>
        <v>7562.9933797376389</v>
      </c>
      <c r="C73" s="468" t="s">
        <v>119</v>
      </c>
      <c r="D73" s="521"/>
      <c r="E73" s="468"/>
      <c r="F73" s="468"/>
      <c r="G73" s="276"/>
      <c r="H73" s="521"/>
    </row>
    <row r="74" spans="1:8" s="1340" customFormat="1" ht="13.5" x14ac:dyDescent="0.25">
      <c r="A74" s="1246" t="s">
        <v>1364</v>
      </c>
      <c r="B74" s="1537">
        <f>SUM(E18,B41,B61,B73,B51)</f>
        <v>265869.3980308639</v>
      </c>
      <c r="C74" s="1340" t="s">
        <v>128</v>
      </c>
      <c r="D74" s="1341"/>
      <c r="H74" s="1341"/>
    </row>
    <row r="75" spans="1:8" s="164" customFormat="1" x14ac:dyDescent="0.2">
      <c r="A75" s="187"/>
      <c r="D75" s="641"/>
      <c r="H75" s="641"/>
    </row>
    <row r="76" spans="1:8" s="164" customFormat="1" x14ac:dyDescent="0.2">
      <c r="A76" s="117"/>
      <c r="H76" s="641"/>
    </row>
    <row r="77" spans="1:8" s="164" customFormat="1" x14ac:dyDescent="0.2">
      <c r="A77" s="205"/>
      <c r="D77" s="641"/>
      <c r="H77" s="641"/>
    </row>
    <row r="78" spans="1:8" s="164" customFormat="1" x14ac:dyDescent="0.2">
      <c r="A78" s="172"/>
      <c r="D78" s="641"/>
      <c r="H78" s="641"/>
    </row>
    <row r="79" spans="1:8" s="164" customFormat="1" x14ac:dyDescent="0.2">
      <c r="A79" s="163"/>
      <c r="D79" s="641"/>
      <c r="H79" s="641"/>
    </row>
    <row r="80" spans="1:8" s="164" customFormat="1" x14ac:dyDescent="0.2">
      <c r="A80" s="163"/>
      <c r="D80" s="641"/>
      <c r="H80" s="641"/>
    </row>
    <row r="81" spans="1:8" x14ac:dyDescent="0.2">
      <c r="A81" s="205"/>
    </row>
    <row r="82" spans="1:8" s="90" customFormat="1" x14ac:dyDescent="0.2">
      <c r="A82" s="172"/>
      <c r="D82" s="87"/>
      <c r="H82" s="87"/>
    </row>
    <row r="83" spans="1:8" x14ac:dyDescent="0.2">
      <c r="A83" s="172"/>
    </row>
    <row r="84" spans="1:8" x14ac:dyDescent="0.2">
      <c r="A84" s="116"/>
    </row>
    <row r="85" spans="1:8" x14ac:dyDescent="0.2">
      <c r="A85" s="191"/>
    </row>
    <row r="86" spans="1:8" x14ac:dyDescent="0.2">
      <c r="A86" s="205"/>
    </row>
    <row r="87" spans="1:8" x14ac:dyDescent="0.2">
      <c r="A87" s="172"/>
    </row>
    <row r="88" spans="1:8" x14ac:dyDescent="0.2">
      <c r="A88" s="172"/>
    </row>
    <row r="89" spans="1:8" x14ac:dyDescent="0.2">
      <c r="A89" s="205"/>
    </row>
    <row r="90" spans="1:8" x14ac:dyDescent="0.2">
      <c r="A90" s="172"/>
    </row>
    <row r="91" spans="1:8" x14ac:dyDescent="0.2">
      <c r="A91" s="172"/>
    </row>
    <row r="92" spans="1:8" x14ac:dyDescent="0.2">
      <c r="A92" s="172"/>
    </row>
    <row r="93" spans="1:8" x14ac:dyDescent="0.2">
      <c r="A93" s="172"/>
    </row>
    <row r="94" spans="1:8" x14ac:dyDescent="0.2">
      <c r="A94" s="172"/>
    </row>
    <row r="95" spans="1:8" x14ac:dyDescent="0.2">
      <c r="A95" s="187"/>
    </row>
  </sheetData>
  <mergeCells count="2">
    <mergeCell ref="B2:D2"/>
    <mergeCell ref="E2:H2"/>
  </mergeCells>
  <phoneticPr fontId="27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0" tint="-0.34998626667073579"/>
    <pageSetUpPr autoPageBreaks="0"/>
  </sheetPr>
  <dimension ref="A1:HX275"/>
  <sheetViews>
    <sheetView showGridLines="0" zoomScaleNormal="100" workbookViewId="0">
      <selection activeCell="A19" sqref="A19"/>
    </sheetView>
  </sheetViews>
  <sheetFormatPr defaultColWidth="6.42578125" defaultRowHeight="12" x14ac:dyDescent="0.2"/>
  <cols>
    <col min="1" max="1" width="5.28515625" style="350" customWidth="1"/>
    <col min="2" max="2" width="2.140625" style="350" customWidth="1"/>
    <col min="3" max="3" width="1.42578125" style="350" customWidth="1"/>
    <col min="4" max="4" width="3.5703125" style="350" customWidth="1"/>
    <col min="5" max="5" width="4.85546875" style="350" customWidth="1"/>
    <col min="6" max="6" width="11.140625" style="350" customWidth="1"/>
    <col min="7" max="7" width="12.42578125" style="419" customWidth="1"/>
    <col min="8" max="8" width="12.42578125" style="350" customWidth="1"/>
    <col min="9" max="9" width="5.42578125" style="997" customWidth="1"/>
    <col min="10" max="10" width="5.140625" style="997" customWidth="1"/>
    <col min="11" max="11" width="5.42578125" style="350" customWidth="1"/>
    <col min="12" max="12" width="5.28515625" style="350" customWidth="1"/>
    <col min="13" max="13" width="2.140625" style="350" customWidth="1"/>
    <col min="14" max="14" width="1.42578125" style="350" customWidth="1"/>
    <col min="15" max="15" width="3.5703125" style="350" customWidth="1"/>
    <col min="16" max="16" width="4.85546875" style="350" customWidth="1"/>
    <col min="17" max="17" width="11.140625" style="350" customWidth="1"/>
    <col min="18" max="18" width="11.7109375" style="350" customWidth="1"/>
    <col min="19" max="19" width="13.42578125" style="350" customWidth="1"/>
    <col min="20" max="20" width="12.5703125" style="350" customWidth="1"/>
    <col min="21" max="21" width="10" style="350" customWidth="1"/>
    <col min="22" max="22" width="10.28515625" style="350" customWidth="1"/>
    <col min="23" max="23" width="5" style="416" customWidth="1"/>
    <col min="24" max="24" width="2.140625" style="416" customWidth="1"/>
    <col min="25" max="25" width="4.85546875" style="214" customWidth="1"/>
    <col min="26" max="26" width="4.7109375" style="350" customWidth="1"/>
    <col min="27" max="27" width="1.7109375" style="350" customWidth="1"/>
    <col min="28" max="28" width="4.7109375" style="350" customWidth="1"/>
    <col min="29" max="29" width="1.7109375" style="350" customWidth="1"/>
    <col min="30" max="30" width="4.7109375" style="350" customWidth="1"/>
    <col min="31" max="31" width="1.7109375" style="350" customWidth="1"/>
    <col min="32" max="32" width="4.42578125" style="350" customWidth="1"/>
    <col min="33" max="33" width="1.7109375" style="350" customWidth="1"/>
    <col min="34" max="34" width="4.7109375" style="350" customWidth="1"/>
    <col min="35" max="35" width="1.7109375" style="350" customWidth="1"/>
    <col min="36" max="36" width="4.7109375" style="350" customWidth="1"/>
    <col min="37" max="37" width="1.7109375" style="350" customWidth="1"/>
    <col min="38" max="38" width="4.7109375" style="350" customWidth="1"/>
    <col min="39" max="39" width="1.7109375" style="350" customWidth="1"/>
    <col min="40" max="40" width="4.7109375" style="350" customWidth="1"/>
    <col min="41" max="41" width="2.28515625" style="350" customWidth="1"/>
    <col min="42" max="42" width="3.7109375" style="214" customWidth="1"/>
    <col min="43" max="43" width="4.85546875" style="214" customWidth="1"/>
    <col min="44" max="44" width="4.140625" style="350" customWidth="1"/>
    <col min="45" max="45" width="3" style="350" customWidth="1"/>
    <col min="46" max="46" width="2.42578125" style="350" customWidth="1"/>
    <col min="47" max="47" width="4" style="350" customWidth="1"/>
    <col min="48" max="48" width="2.28515625" style="350" customWidth="1"/>
    <col min="49" max="49" width="26.42578125" style="350" customWidth="1"/>
    <col min="50" max="50" width="1.7109375" style="350" customWidth="1"/>
    <col min="51" max="51" width="11" style="350" customWidth="1"/>
    <col min="52" max="52" width="2" style="350" customWidth="1"/>
    <col min="53" max="53" width="11.28515625" style="350" customWidth="1"/>
    <col min="54" max="54" width="1.85546875" style="350" customWidth="1"/>
    <col min="55" max="55" width="11.140625" style="350" customWidth="1"/>
    <col min="56" max="56" width="1.85546875" style="350" hidden="1" customWidth="1"/>
    <col min="57" max="57" width="9.140625" style="350" hidden="1" customWidth="1"/>
    <col min="58" max="58" width="5.28515625" style="350" hidden="1" customWidth="1"/>
    <col min="59" max="60" width="1.85546875" style="350" customWidth="1"/>
    <col min="61" max="61" width="11.28515625" style="350" bestFit="1" customWidth="1"/>
    <col min="62" max="62" width="1.85546875" style="350" customWidth="1"/>
    <col min="63" max="63" width="11.28515625" style="350" bestFit="1" customWidth="1"/>
    <col min="64" max="64" width="1.85546875" style="350" customWidth="1"/>
    <col min="65" max="65" width="11.5703125" style="350" customWidth="1"/>
    <col min="66" max="66" width="1.85546875" style="350" customWidth="1"/>
    <col min="67" max="67" width="0.140625" style="350" hidden="1" customWidth="1"/>
    <col min="68" max="68" width="4.28515625" style="350" customWidth="1"/>
    <col min="69" max="69" width="1.85546875" style="350" customWidth="1"/>
    <col min="70" max="16384" width="6.42578125" style="350"/>
  </cols>
  <sheetData>
    <row r="1" spans="1:43" x14ac:dyDescent="0.2">
      <c r="A1" s="69" t="s">
        <v>939</v>
      </c>
      <c r="B1" s="69"/>
      <c r="C1" s="69"/>
      <c r="D1" s="69"/>
      <c r="E1" s="69"/>
      <c r="F1" s="69"/>
      <c r="G1" s="69"/>
      <c r="H1" s="69"/>
      <c r="L1" s="69" t="s">
        <v>939</v>
      </c>
      <c r="R1" s="69"/>
      <c r="S1" s="69"/>
      <c r="W1" s="350"/>
      <c r="X1" s="350"/>
      <c r="Y1" s="350"/>
      <c r="AP1" s="350"/>
      <c r="AQ1" s="350"/>
    </row>
    <row r="2" spans="1:43" x14ac:dyDescent="0.2">
      <c r="A2" s="69" t="s">
        <v>23</v>
      </c>
      <c r="B2" s="69"/>
      <c r="C2" s="69"/>
      <c r="D2" s="69"/>
      <c r="E2" s="69"/>
      <c r="F2" s="69"/>
      <c r="G2" s="69"/>
      <c r="H2" s="69"/>
      <c r="L2" s="69" t="s">
        <v>23</v>
      </c>
      <c r="R2" s="69"/>
      <c r="S2" s="69"/>
      <c r="W2" s="350"/>
      <c r="X2" s="350"/>
      <c r="Y2" s="350"/>
      <c r="AP2" s="350"/>
      <c r="AQ2" s="350"/>
    </row>
    <row r="3" spans="1:43" ht="13.5" x14ac:dyDescent="0.2">
      <c r="A3" s="415" t="s">
        <v>906</v>
      </c>
      <c r="B3" s="415"/>
      <c r="C3" s="415"/>
      <c r="D3" s="415"/>
      <c r="E3" s="415"/>
      <c r="F3" s="415"/>
      <c r="G3" s="472"/>
      <c r="H3" s="472"/>
      <c r="I3" s="998"/>
      <c r="J3" s="998"/>
      <c r="K3" s="189"/>
      <c r="L3" s="69" t="s">
        <v>907</v>
      </c>
      <c r="M3" s="189"/>
      <c r="N3" s="189"/>
      <c r="O3" s="189"/>
      <c r="P3" s="189"/>
      <c r="R3" s="415"/>
      <c r="S3" s="415"/>
      <c r="W3" s="350"/>
      <c r="X3" s="350"/>
      <c r="Y3" s="350"/>
      <c r="AP3" s="350"/>
      <c r="AQ3" s="350"/>
    </row>
    <row r="4" spans="1:43" ht="12" customHeight="1" x14ac:dyDescent="0.2">
      <c r="G4" s="475"/>
      <c r="H4" s="473"/>
      <c r="R4" s="473"/>
      <c r="W4" s="350"/>
      <c r="X4" s="350"/>
      <c r="Y4" s="350"/>
      <c r="AP4" s="350"/>
      <c r="AQ4" s="350"/>
    </row>
    <row r="5" spans="1:43" ht="17.25" customHeight="1" thickBot="1" x14ac:dyDescent="0.25">
      <c r="A5" s="476" t="s">
        <v>24</v>
      </c>
      <c r="B5" s="477"/>
      <c r="C5" s="477"/>
      <c r="D5" s="477"/>
      <c r="E5" s="477"/>
      <c r="F5" s="477"/>
      <c r="G5" s="478">
        <v>2003</v>
      </c>
      <c r="H5" s="478">
        <v>2008</v>
      </c>
      <c r="K5" s="482"/>
      <c r="L5" s="480" t="s">
        <v>24</v>
      </c>
      <c r="M5" s="480"/>
      <c r="N5" s="480"/>
      <c r="O5" s="480"/>
      <c r="P5" s="480"/>
      <c r="Q5" s="479"/>
      <c r="R5" s="478">
        <v>2003</v>
      </c>
      <c r="S5" s="478">
        <v>2008</v>
      </c>
      <c r="W5" s="350"/>
      <c r="X5" s="350"/>
      <c r="Y5" s="350"/>
      <c r="AP5" s="350"/>
      <c r="AQ5" s="350"/>
    </row>
    <row r="6" spans="1:43" ht="6" customHeight="1" x14ac:dyDescent="0.2">
      <c r="A6" s="483"/>
      <c r="B6" s="484"/>
      <c r="C6" s="484"/>
      <c r="D6" s="484"/>
      <c r="E6" s="484"/>
      <c r="F6" s="484"/>
      <c r="G6" s="481"/>
      <c r="H6" s="481"/>
      <c r="K6" s="214"/>
      <c r="R6" s="481"/>
      <c r="S6" s="481"/>
      <c r="W6" s="350"/>
      <c r="X6" s="350"/>
      <c r="Y6" s="350"/>
      <c r="AP6" s="350"/>
      <c r="AQ6" s="350"/>
    </row>
    <row r="7" spans="1:43" ht="15" customHeight="1" x14ac:dyDescent="0.2">
      <c r="A7" s="485"/>
      <c r="B7" s="657" t="s">
        <v>699</v>
      </c>
      <c r="C7" s="658"/>
      <c r="D7" s="658"/>
      <c r="E7" s="658"/>
      <c r="F7" s="658"/>
      <c r="G7" s="626"/>
      <c r="H7" s="626"/>
      <c r="I7" s="999">
        <v>0</v>
      </c>
      <c r="J7" s="999">
        <v>0</v>
      </c>
      <c r="K7" s="214"/>
      <c r="M7" s="657" t="s">
        <v>699</v>
      </c>
      <c r="N7" s="658"/>
      <c r="O7" s="658"/>
      <c r="P7" s="658"/>
      <c r="Q7" s="658"/>
      <c r="R7" s="626"/>
      <c r="S7" s="626"/>
      <c r="W7" s="350"/>
      <c r="X7" s="350"/>
      <c r="Y7" s="350"/>
      <c r="AP7" s="350"/>
      <c r="AQ7" s="350"/>
    </row>
    <row r="8" spans="1:43" x14ac:dyDescent="0.2">
      <c r="A8" s="674"/>
      <c r="B8" s="473"/>
      <c r="C8" s="486" t="s">
        <v>873</v>
      </c>
      <c r="D8" s="486"/>
      <c r="E8" s="486"/>
      <c r="F8" s="486"/>
      <c r="G8" s="492">
        <v>9168576.8379433844</v>
      </c>
      <c r="H8" s="492">
        <v>8867824.3366023097</v>
      </c>
      <c r="I8" s="999">
        <v>-4</v>
      </c>
      <c r="J8" s="999">
        <v>-4</v>
      </c>
      <c r="K8" s="214"/>
      <c r="M8" s="473"/>
      <c r="N8" s="486" t="s">
        <v>873</v>
      </c>
      <c r="O8" s="486"/>
      <c r="P8" s="486"/>
      <c r="Q8" s="486"/>
      <c r="R8" s="664">
        <v>9170000</v>
      </c>
      <c r="S8" s="664">
        <v>8870000</v>
      </c>
      <c r="W8" s="350"/>
      <c r="X8" s="350"/>
      <c r="Y8" s="350"/>
      <c r="AP8" s="350"/>
      <c r="AQ8" s="350"/>
    </row>
    <row r="9" spans="1:43" x14ac:dyDescent="0.2">
      <c r="A9" s="485"/>
      <c r="B9" s="473"/>
      <c r="C9" s="331"/>
      <c r="E9" s="487" t="s">
        <v>16</v>
      </c>
      <c r="G9" s="241">
        <v>3076682.7195889056</v>
      </c>
      <c r="H9" s="241">
        <v>3115451.630561586</v>
      </c>
      <c r="I9" s="999">
        <v>-4</v>
      </c>
      <c r="J9" s="999">
        <v>-4</v>
      </c>
      <c r="K9" s="214"/>
      <c r="M9" s="473"/>
      <c r="N9" s="331"/>
      <c r="P9" s="487" t="s">
        <v>16</v>
      </c>
      <c r="R9" s="519">
        <v>3080000</v>
      </c>
      <c r="S9" s="519">
        <v>3120000</v>
      </c>
      <c r="W9" s="350"/>
      <c r="X9" s="350"/>
      <c r="Y9" s="350"/>
      <c r="AP9" s="350"/>
      <c r="AQ9" s="350"/>
    </row>
    <row r="10" spans="1:43" x14ac:dyDescent="0.2">
      <c r="A10" s="485"/>
      <c r="B10" s="473"/>
      <c r="C10" s="331"/>
      <c r="E10" s="487" t="s">
        <v>17</v>
      </c>
      <c r="G10" s="241">
        <v>121023.21678847107</v>
      </c>
      <c r="H10" s="241">
        <v>112679.09272403718</v>
      </c>
      <c r="I10" s="999">
        <v>-4</v>
      </c>
      <c r="J10" s="999">
        <v>-4</v>
      </c>
      <c r="K10" s="214"/>
      <c r="M10" s="473"/>
      <c r="N10" s="331"/>
      <c r="P10" s="487" t="s">
        <v>17</v>
      </c>
      <c r="R10" s="519">
        <v>120000</v>
      </c>
      <c r="S10" s="519">
        <v>110000</v>
      </c>
      <c r="W10" s="350"/>
      <c r="X10" s="350"/>
      <c r="Y10" s="350"/>
      <c r="AP10" s="350"/>
      <c r="AQ10" s="350"/>
    </row>
    <row r="11" spans="1:43" x14ac:dyDescent="0.2">
      <c r="A11" s="485"/>
      <c r="B11" s="473"/>
      <c r="C11" s="331"/>
      <c r="E11" s="487" t="s">
        <v>18</v>
      </c>
      <c r="G11" s="241">
        <v>5963832.73751067</v>
      </c>
      <c r="H11" s="241">
        <v>5633434.8276841715</v>
      </c>
      <c r="I11" s="999">
        <v>-3</v>
      </c>
      <c r="J11" s="999">
        <v>-3</v>
      </c>
      <c r="K11" s="214"/>
      <c r="M11" s="473"/>
      <c r="N11" s="331"/>
      <c r="P11" s="487" t="s">
        <v>18</v>
      </c>
      <c r="R11" s="519">
        <v>5964000</v>
      </c>
      <c r="S11" s="519">
        <v>5633000</v>
      </c>
      <c r="W11" s="350"/>
      <c r="X11" s="350"/>
      <c r="Y11" s="350"/>
      <c r="AP11" s="350"/>
      <c r="AQ11" s="350"/>
    </row>
    <row r="12" spans="1:43" x14ac:dyDescent="0.2">
      <c r="A12" s="485"/>
      <c r="B12" s="473"/>
      <c r="C12" s="331"/>
      <c r="E12" s="487" t="s">
        <v>568</v>
      </c>
      <c r="G12" s="241">
        <v>7038.1640553379557</v>
      </c>
      <c r="H12" s="241">
        <v>6258.7856325154926</v>
      </c>
      <c r="I12" s="999">
        <v>-3</v>
      </c>
      <c r="J12" s="999">
        <v>-3</v>
      </c>
      <c r="K12" s="214"/>
      <c r="M12" s="473"/>
      <c r="N12" s="331"/>
      <c r="P12" s="487" t="s">
        <v>568</v>
      </c>
      <c r="R12" s="519">
        <v>7000</v>
      </c>
      <c r="S12" s="519">
        <v>6000</v>
      </c>
      <c r="W12" s="350"/>
      <c r="X12" s="350"/>
      <c r="Y12" s="350"/>
      <c r="AP12" s="350"/>
      <c r="AQ12" s="350"/>
    </row>
    <row r="13" spans="1:43" x14ac:dyDescent="0.2">
      <c r="A13" s="485"/>
      <c r="B13" s="473"/>
      <c r="C13" s="489" t="s">
        <v>874</v>
      </c>
      <c r="D13" s="489"/>
      <c r="E13" s="489"/>
      <c r="F13" s="489"/>
      <c r="G13" s="490">
        <v>266120.67308702657</v>
      </c>
      <c r="H13" s="490">
        <v>308876.38855566649</v>
      </c>
      <c r="I13" s="999">
        <v>-3</v>
      </c>
      <c r="J13" s="999">
        <v>-3</v>
      </c>
      <c r="K13" s="214"/>
      <c r="M13" s="473"/>
      <c r="N13" s="489" t="s">
        <v>874</v>
      </c>
      <c r="O13" s="489"/>
      <c r="P13" s="489"/>
      <c r="Q13" s="489"/>
      <c r="R13" s="665">
        <v>266000</v>
      </c>
      <c r="S13" s="665">
        <v>309000</v>
      </c>
      <c r="W13" s="350"/>
      <c r="X13" s="350"/>
      <c r="Y13" s="350"/>
      <c r="AP13" s="350"/>
      <c r="AQ13" s="350"/>
    </row>
    <row r="14" spans="1:43" x14ac:dyDescent="0.2">
      <c r="A14" s="485"/>
      <c r="B14" s="473"/>
      <c r="C14" s="331"/>
      <c r="D14" s="338"/>
      <c r="E14" s="487" t="s">
        <v>42</v>
      </c>
      <c r="G14" s="241">
        <v>36530.186559029287</v>
      </c>
      <c r="H14" s="241">
        <v>45066.213605152559</v>
      </c>
      <c r="I14" s="999">
        <v>-2</v>
      </c>
      <c r="J14" s="999">
        <v>-2</v>
      </c>
      <c r="K14" s="418"/>
      <c r="M14" s="473"/>
      <c r="N14" s="331"/>
      <c r="O14" s="338"/>
      <c r="P14" s="487" t="s">
        <v>42</v>
      </c>
      <c r="R14" s="519">
        <v>36500</v>
      </c>
      <c r="S14" s="519">
        <v>45100</v>
      </c>
      <c r="W14" s="350"/>
      <c r="X14" s="350"/>
      <c r="Y14" s="350"/>
      <c r="AP14" s="350"/>
      <c r="AQ14" s="350"/>
    </row>
    <row r="15" spans="1:43" x14ac:dyDescent="0.2">
      <c r="A15" s="485"/>
      <c r="B15" s="473"/>
      <c r="C15" s="331"/>
      <c r="D15" s="338"/>
      <c r="E15" s="487" t="s">
        <v>40</v>
      </c>
      <c r="G15" s="241">
        <v>50518.578380974206</v>
      </c>
      <c r="H15" s="241">
        <v>39489.073049157698</v>
      </c>
      <c r="I15" s="999">
        <v>-2</v>
      </c>
      <c r="J15" s="999">
        <v>-2</v>
      </c>
      <c r="K15" s="214"/>
      <c r="M15" s="473"/>
      <c r="N15" s="331"/>
      <c r="O15" s="338"/>
      <c r="P15" s="487" t="s">
        <v>40</v>
      </c>
      <c r="R15" s="519">
        <v>50500</v>
      </c>
      <c r="S15" s="519">
        <v>39500</v>
      </c>
      <c r="W15" s="350"/>
      <c r="X15" s="350"/>
      <c r="Y15" s="350"/>
      <c r="AP15" s="350"/>
      <c r="AQ15" s="350"/>
    </row>
    <row r="16" spans="1:43" x14ac:dyDescent="0.2">
      <c r="A16" s="485"/>
      <c r="B16" s="473"/>
      <c r="C16" s="331"/>
      <c r="D16" s="338"/>
      <c r="E16" s="487" t="s">
        <v>869</v>
      </c>
      <c r="G16" s="241">
        <v>7636.7983055463028</v>
      </c>
      <c r="H16" s="241">
        <v>8130.8386610104208</v>
      </c>
      <c r="I16" s="999">
        <v>-1</v>
      </c>
      <c r="J16" s="999">
        <v>-1</v>
      </c>
      <c r="K16" s="214"/>
      <c r="M16" s="473"/>
      <c r="N16" s="331"/>
      <c r="O16" s="338"/>
      <c r="P16" s="487" t="s">
        <v>869</v>
      </c>
      <c r="R16" s="519">
        <v>7640</v>
      </c>
      <c r="S16" s="519">
        <v>8130</v>
      </c>
      <c r="W16" s="350"/>
      <c r="X16" s="350"/>
      <c r="Y16" s="350"/>
      <c r="AP16" s="350"/>
      <c r="AQ16" s="350"/>
    </row>
    <row r="17" spans="1:43" x14ac:dyDescent="0.2">
      <c r="A17" s="485"/>
      <c r="B17" s="473"/>
      <c r="C17" s="331"/>
      <c r="D17" s="338"/>
      <c r="E17" s="487" t="s">
        <v>41</v>
      </c>
      <c r="G17" s="241">
        <v>122595.44571470271</v>
      </c>
      <c r="H17" s="241">
        <v>146365.61551311292</v>
      </c>
      <c r="I17" s="999">
        <v>-3</v>
      </c>
      <c r="J17" s="999">
        <v>-3</v>
      </c>
      <c r="K17" s="418"/>
      <c r="M17" s="473"/>
      <c r="N17" s="331"/>
      <c r="O17" s="338"/>
      <c r="P17" s="487" t="s">
        <v>41</v>
      </c>
      <c r="R17" s="519">
        <v>123000</v>
      </c>
      <c r="S17" s="519">
        <v>146000</v>
      </c>
      <c r="W17" s="350"/>
      <c r="X17" s="350"/>
      <c r="Y17" s="350"/>
      <c r="AP17" s="350"/>
      <c r="AQ17" s="350"/>
    </row>
    <row r="18" spans="1:43" x14ac:dyDescent="0.2">
      <c r="A18" s="485"/>
      <c r="B18" s="473"/>
      <c r="C18" s="331"/>
      <c r="D18" s="338"/>
      <c r="E18" s="487" t="s">
        <v>709</v>
      </c>
      <c r="G18" s="241">
        <v>48839.664126774034</v>
      </c>
      <c r="H18" s="241">
        <v>69824.647727232878</v>
      </c>
      <c r="I18" s="999">
        <v>-2</v>
      </c>
      <c r="J18" s="999">
        <v>-2</v>
      </c>
      <c r="K18" s="418"/>
      <c r="M18" s="473"/>
      <c r="N18" s="331"/>
      <c r="O18" s="338"/>
      <c r="P18" s="487" t="s">
        <v>709</v>
      </c>
      <c r="R18" s="519">
        <v>48800</v>
      </c>
      <c r="S18" s="519">
        <v>69800</v>
      </c>
      <c r="W18" s="350"/>
      <c r="X18" s="350"/>
      <c r="Y18" s="350"/>
      <c r="AP18" s="350"/>
      <c r="AQ18" s="350"/>
    </row>
    <row r="19" spans="1:43" x14ac:dyDescent="0.2">
      <c r="A19" s="485"/>
      <c r="B19" s="473"/>
      <c r="C19" s="489" t="s">
        <v>2</v>
      </c>
      <c r="D19" s="489"/>
      <c r="E19" s="489"/>
      <c r="F19" s="489"/>
      <c r="G19" s="490">
        <v>1895030.034232178</v>
      </c>
      <c r="H19" s="490">
        <v>2177035.102117118</v>
      </c>
      <c r="I19" s="999">
        <v>-4</v>
      </c>
      <c r="J19" s="999">
        <v>-4</v>
      </c>
      <c r="K19" s="418"/>
      <c r="M19" s="473"/>
      <c r="N19" s="489" t="s">
        <v>2</v>
      </c>
      <c r="O19" s="489"/>
      <c r="P19" s="489"/>
      <c r="Q19" s="489"/>
      <c r="R19" s="665">
        <v>1900000</v>
      </c>
      <c r="S19" s="665">
        <v>2180000</v>
      </c>
      <c r="W19" s="350"/>
      <c r="X19" s="350"/>
      <c r="Y19" s="350"/>
      <c r="AP19" s="350"/>
      <c r="AQ19" s="350"/>
    </row>
    <row r="20" spans="1:43" x14ac:dyDescent="0.2">
      <c r="A20" s="485"/>
      <c r="B20" s="473"/>
      <c r="C20" s="331"/>
      <c r="E20" s="487" t="s">
        <v>904</v>
      </c>
      <c r="G20" s="241">
        <v>138331.8128123733</v>
      </c>
      <c r="H20" s="241">
        <v>133584.89082315794</v>
      </c>
      <c r="I20" s="999">
        <v>-3</v>
      </c>
      <c r="J20" s="999">
        <v>-3</v>
      </c>
      <c r="K20" s="418"/>
      <c r="M20" s="473"/>
      <c r="N20" s="331"/>
      <c r="P20" s="487" t="s">
        <v>904</v>
      </c>
      <c r="R20" s="519">
        <v>138000</v>
      </c>
      <c r="S20" s="519">
        <v>134000</v>
      </c>
      <c r="W20" s="350"/>
      <c r="X20" s="350"/>
      <c r="Y20" s="350"/>
      <c r="AP20" s="350"/>
      <c r="AQ20" s="350"/>
    </row>
    <row r="21" spans="1:43" x14ac:dyDescent="0.2">
      <c r="A21" s="485"/>
      <c r="B21" s="473"/>
      <c r="C21" s="338"/>
      <c r="E21" s="487" t="s">
        <v>905</v>
      </c>
      <c r="G21" s="241">
        <v>1756698.2214198047</v>
      </c>
      <c r="H21" s="241">
        <v>2043450.2112939602</v>
      </c>
      <c r="I21" s="999">
        <v>-4</v>
      </c>
      <c r="J21" s="999">
        <v>-4</v>
      </c>
      <c r="K21" s="214"/>
      <c r="M21" s="473"/>
      <c r="N21" s="338"/>
      <c r="P21" s="487" t="s">
        <v>905</v>
      </c>
      <c r="R21" s="519">
        <v>1760000</v>
      </c>
      <c r="S21" s="519">
        <v>2040000</v>
      </c>
      <c r="W21" s="350"/>
      <c r="X21" s="350"/>
      <c r="Y21" s="350"/>
      <c r="AP21" s="350"/>
      <c r="AQ21" s="350"/>
    </row>
    <row r="22" spans="1:43" x14ac:dyDescent="0.2">
      <c r="A22" s="485"/>
      <c r="B22" s="473"/>
      <c r="C22" s="489" t="s">
        <v>689</v>
      </c>
      <c r="D22" s="489"/>
      <c r="E22" s="489"/>
      <c r="F22" s="489"/>
      <c r="G22" s="490">
        <v>11329727.54526259</v>
      </c>
      <c r="H22" s="490">
        <v>11353735.827275094</v>
      </c>
      <c r="I22" s="999">
        <v>-5</v>
      </c>
      <c r="J22" s="999">
        <v>-5</v>
      </c>
      <c r="K22" s="214"/>
      <c r="M22" s="473"/>
      <c r="N22" s="489" t="s">
        <v>689</v>
      </c>
      <c r="O22" s="489"/>
      <c r="P22" s="489"/>
      <c r="Q22" s="489"/>
      <c r="R22" s="665">
        <v>11300000</v>
      </c>
      <c r="S22" s="665">
        <v>11400000</v>
      </c>
      <c r="W22" s="350"/>
      <c r="X22" s="350"/>
      <c r="Y22" s="350"/>
      <c r="AP22" s="350"/>
      <c r="AQ22" s="350"/>
    </row>
    <row r="23" spans="1:43" ht="12" customHeight="1" x14ac:dyDescent="0.2">
      <c r="A23" s="473"/>
      <c r="B23" s="615" t="s">
        <v>680</v>
      </c>
      <c r="C23" s="616"/>
      <c r="D23" s="616"/>
      <c r="E23" s="616"/>
      <c r="F23" s="616"/>
      <c r="G23" s="669"/>
      <c r="H23" s="669"/>
      <c r="I23" s="999">
        <v>0</v>
      </c>
      <c r="J23" s="999">
        <v>0</v>
      </c>
      <c r="K23" s="214"/>
      <c r="L23" s="361"/>
      <c r="M23" s="615" t="s">
        <v>680</v>
      </c>
      <c r="N23" s="616"/>
      <c r="O23" s="616"/>
      <c r="P23" s="616"/>
      <c r="Q23" s="618"/>
      <c r="R23" s="617" t="s">
        <v>1297</v>
      </c>
      <c r="S23" s="617" t="s">
        <v>1297</v>
      </c>
      <c r="W23" s="350"/>
      <c r="X23" s="350"/>
      <c r="Y23" s="350"/>
      <c r="AP23" s="350"/>
      <c r="AQ23" s="350"/>
    </row>
    <row r="24" spans="1:43" x14ac:dyDescent="0.2">
      <c r="A24" s="491"/>
      <c r="B24" s="173"/>
      <c r="C24" s="486" t="s">
        <v>29</v>
      </c>
      <c r="D24" s="486"/>
      <c r="E24" s="486"/>
      <c r="F24" s="486"/>
      <c r="G24" s="492">
        <v>3762582.2038882519</v>
      </c>
      <c r="H24" s="492">
        <v>4136066.4948832104</v>
      </c>
      <c r="I24" s="999">
        <v>-4</v>
      </c>
      <c r="J24" s="999">
        <v>-4</v>
      </c>
      <c r="K24" s="214"/>
      <c r="M24" s="173"/>
      <c r="N24" s="489" t="s">
        <v>29</v>
      </c>
      <c r="O24" s="489"/>
      <c r="P24" s="489"/>
      <c r="Q24" s="489"/>
      <c r="R24" s="664">
        <v>3760000</v>
      </c>
      <c r="S24" s="664">
        <v>4140000</v>
      </c>
      <c r="W24" s="350"/>
      <c r="X24" s="350"/>
      <c r="Y24" s="350"/>
      <c r="AP24" s="350"/>
      <c r="AQ24" s="350"/>
    </row>
    <row r="25" spans="1:43" x14ac:dyDescent="0.2">
      <c r="A25" s="491"/>
      <c r="B25" s="473"/>
      <c r="C25" s="473"/>
      <c r="D25" s="173" t="s">
        <v>678</v>
      </c>
      <c r="E25" s="173"/>
      <c r="F25" s="173"/>
      <c r="G25" s="241">
        <v>1866534.1063584599</v>
      </c>
      <c r="H25" s="241">
        <v>2056709.8333594454</v>
      </c>
      <c r="I25" s="999">
        <v>-4</v>
      </c>
      <c r="J25" s="999">
        <v>-4</v>
      </c>
      <c r="K25" s="214"/>
      <c r="M25" s="473"/>
      <c r="N25" s="473"/>
      <c r="O25" s="173" t="s">
        <v>678</v>
      </c>
      <c r="P25" s="173"/>
      <c r="Q25" s="173"/>
      <c r="R25" s="519">
        <v>1870000</v>
      </c>
      <c r="S25" s="519">
        <v>2060000</v>
      </c>
      <c r="T25"/>
      <c r="W25" s="350"/>
      <c r="X25" s="350"/>
      <c r="Y25" s="350"/>
      <c r="AP25" s="350"/>
      <c r="AQ25" s="350"/>
    </row>
    <row r="26" spans="1:43" x14ac:dyDescent="0.2">
      <c r="A26" s="491"/>
      <c r="B26" s="473"/>
      <c r="C26" s="473"/>
      <c r="D26" s="173" t="s">
        <v>682</v>
      </c>
      <c r="E26" s="173"/>
      <c r="F26" s="173"/>
      <c r="G26" s="494"/>
      <c r="H26" s="494"/>
      <c r="I26" s="999">
        <v>0</v>
      </c>
      <c r="J26" s="999">
        <v>0</v>
      </c>
      <c r="K26" s="214"/>
      <c r="M26" s="473"/>
      <c r="N26" s="473"/>
      <c r="O26" s="173" t="s">
        <v>691</v>
      </c>
      <c r="P26" s="173"/>
      <c r="Q26" s="173"/>
      <c r="R26" s="666" t="s">
        <v>1297</v>
      </c>
      <c r="S26" s="666" t="s">
        <v>1297</v>
      </c>
      <c r="T26"/>
      <c r="W26" s="350"/>
      <c r="X26" s="350"/>
      <c r="Y26" s="350"/>
      <c r="AP26" s="350"/>
      <c r="AQ26" s="350"/>
    </row>
    <row r="27" spans="1:43" x14ac:dyDescent="0.2">
      <c r="A27" s="491"/>
      <c r="B27" s="473"/>
      <c r="C27" s="473"/>
      <c r="D27" s="473"/>
      <c r="E27" s="498" t="s">
        <v>133</v>
      </c>
      <c r="F27" s="498"/>
      <c r="G27" s="495">
        <v>1565449.9609237434</v>
      </c>
      <c r="H27" s="495">
        <v>1815163.1470527851</v>
      </c>
      <c r="I27" s="999">
        <v>-4</v>
      </c>
      <c r="J27" s="999">
        <v>-4</v>
      </c>
      <c r="K27" s="214"/>
      <c r="M27" s="473"/>
      <c r="N27" s="473"/>
      <c r="O27" s="473"/>
      <c r="P27" s="498" t="s">
        <v>133</v>
      </c>
      <c r="Q27" s="473"/>
      <c r="R27" s="667">
        <v>1570000</v>
      </c>
      <c r="S27" s="667">
        <v>1820000</v>
      </c>
      <c r="T27"/>
      <c r="W27" s="350"/>
      <c r="X27" s="350"/>
      <c r="Y27" s="350"/>
      <c r="AP27" s="350"/>
      <c r="AQ27" s="350"/>
    </row>
    <row r="28" spans="1:43" x14ac:dyDescent="0.2">
      <c r="A28" s="491"/>
      <c r="B28" s="473"/>
      <c r="C28" s="473"/>
      <c r="D28" s="473"/>
      <c r="E28" s="498" t="s">
        <v>25</v>
      </c>
      <c r="F28" s="498"/>
      <c r="G28" s="241">
        <v>284427.46213974222</v>
      </c>
      <c r="H28" s="241">
        <v>215035.96310774286</v>
      </c>
      <c r="I28" s="999">
        <v>-3</v>
      </c>
      <c r="J28" s="999">
        <v>-3</v>
      </c>
      <c r="K28" s="214"/>
      <c r="M28" s="473"/>
      <c r="N28" s="473"/>
      <c r="O28" s="473"/>
      <c r="P28" s="498" t="s">
        <v>25</v>
      </c>
      <c r="Q28" s="473"/>
      <c r="R28" s="497">
        <v>284000</v>
      </c>
      <c r="S28" s="519">
        <v>215000</v>
      </c>
      <c r="T28"/>
      <c r="W28" s="350"/>
      <c r="X28" s="350"/>
      <c r="Y28" s="350"/>
      <c r="AP28" s="350"/>
      <c r="AQ28" s="350"/>
    </row>
    <row r="29" spans="1:43" x14ac:dyDescent="0.2">
      <c r="A29" s="491"/>
      <c r="B29" s="473"/>
      <c r="C29" s="473"/>
      <c r="D29" s="173" t="s">
        <v>14</v>
      </c>
      <c r="E29" s="473"/>
      <c r="F29" s="473"/>
      <c r="G29" s="241"/>
      <c r="H29" s="241"/>
      <c r="I29" s="999">
        <v>0</v>
      </c>
      <c r="J29" s="999">
        <v>0</v>
      </c>
      <c r="K29" s="214"/>
      <c r="M29" s="473"/>
      <c r="N29" s="473"/>
      <c r="O29" s="173" t="s">
        <v>14</v>
      </c>
      <c r="P29" s="473"/>
      <c r="Q29" s="473"/>
      <c r="R29" s="519" t="s">
        <v>1297</v>
      </c>
      <c r="S29" s="519" t="s">
        <v>1297</v>
      </c>
      <c r="W29" s="350"/>
      <c r="X29" s="350"/>
      <c r="Y29" s="350"/>
      <c r="AP29" s="350"/>
      <c r="AQ29" s="350"/>
    </row>
    <row r="30" spans="1:43" x14ac:dyDescent="0.2">
      <c r="A30" s="491"/>
      <c r="B30" s="473"/>
      <c r="C30" s="473"/>
      <c r="D30" s="173"/>
      <c r="E30" s="637" t="s">
        <v>131</v>
      </c>
      <c r="F30" s="498"/>
      <c r="G30" s="241">
        <v>46015.111945072349</v>
      </c>
      <c r="H30" s="241">
        <v>48991.925179167374</v>
      </c>
      <c r="I30" s="999">
        <v>-2</v>
      </c>
      <c r="J30" s="999">
        <v>-2</v>
      </c>
      <c r="K30" s="214"/>
      <c r="M30" s="473"/>
      <c r="N30" s="473"/>
      <c r="O30" s="173"/>
      <c r="P30" s="498" t="s">
        <v>131</v>
      </c>
      <c r="Q30" s="473"/>
      <c r="R30" s="497">
        <v>46000</v>
      </c>
      <c r="S30" s="519">
        <v>49000</v>
      </c>
      <c r="W30" s="350"/>
      <c r="X30" s="350"/>
      <c r="Y30" s="350"/>
      <c r="AP30" s="350"/>
      <c r="AQ30" s="350"/>
    </row>
    <row r="31" spans="1:43" x14ac:dyDescent="0.2">
      <c r="A31" s="491"/>
      <c r="B31" s="473"/>
      <c r="C31" s="473"/>
      <c r="D31" s="173"/>
      <c r="E31" s="637" t="s">
        <v>132</v>
      </c>
      <c r="F31" s="498"/>
      <c r="G31" s="241">
        <v>147.64624970976709</v>
      </c>
      <c r="H31" s="241">
        <v>157.19779248608759</v>
      </c>
      <c r="I31" s="999">
        <v>0</v>
      </c>
      <c r="J31" s="999">
        <v>0</v>
      </c>
      <c r="K31" s="214"/>
      <c r="M31" s="473"/>
      <c r="N31" s="473"/>
      <c r="O31" s="173"/>
      <c r="P31" s="498" t="s">
        <v>132</v>
      </c>
      <c r="Q31" s="473"/>
      <c r="R31" s="497">
        <v>148</v>
      </c>
      <c r="S31" s="519">
        <v>157</v>
      </c>
      <c r="W31" s="350"/>
      <c r="X31" s="350"/>
      <c r="Y31" s="350"/>
      <c r="AP31" s="350"/>
      <c r="AQ31" s="350"/>
    </row>
    <row r="32" spans="1:43" x14ac:dyDescent="0.2">
      <c r="A32" s="491"/>
      <c r="B32" s="473"/>
      <c r="C32" s="473"/>
      <c r="D32" s="173"/>
      <c r="E32" s="637" t="s">
        <v>202</v>
      </c>
      <c r="F32" s="498"/>
      <c r="G32" s="241">
        <v>7.9162715242516635</v>
      </c>
      <c r="H32" s="241">
        <v>8.4283915831186622</v>
      </c>
      <c r="I32" s="999">
        <v>0</v>
      </c>
      <c r="J32" s="999">
        <v>0</v>
      </c>
      <c r="K32" s="214"/>
      <c r="M32" s="473"/>
      <c r="N32" s="473"/>
      <c r="O32" s="173"/>
      <c r="P32" s="498" t="s">
        <v>202</v>
      </c>
      <c r="Q32" s="473"/>
      <c r="R32" s="497">
        <v>8</v>
      </c>
      <c r="S32" s="519">
        <v>8</v>
      </c>
      <c r="W32" s="350"/>
      <c r="X32" s="350"/>
      <c r="Y32" s="350"/>
      <c r="AP32" s="350"/>
      <c r="AQ32" s="350"/>
    </row>
    <row r="33" spans="1:43" x14ac:dyDescent="0.2">
      <c r="A33" s="491"/>
      <c r="B33" s="173"/>
      <c r="C33" s="489" t="s">
        <v>30</v>
      </c>
      <c r="D33" s="489"/>
      <c r="E33" s="489"/>
      <c r="F33" s="489"/>
      <c r="G33" s="490">
        <v>3579791.8019358711</v>
      </c>
      <c r="H33" s="490">
        <v>4044408.9108456257</v>
      </c>
      <c r="I33" s="999">
        <v>-4</v>
      </c>
      <c r="J33" s="999">
        <v>-4</v>
      </c>
      <c r="K33" s="214"/>
      <c r="M33" s="173"/>
      <c r="N33" s="489" t="s">
        <v>30</v>
      </c>
      <c r="O33" s="489"/>
      <c r="P33" s="489"/>
      <c r="Q33" s="489"/>
      <c r="R33" s="665">
        <v>3580000</v>
      </c>
      <c r="S33" s="665">
        <v>4040000</v>
      </c>
      <c r="W33" s="350"/>
      <c r="X33" s="350"/>
      <c r="Y33" s="350"/>
      <c r="AP33" s="350"/>
      <c r="AQ33" s="350"/>
    </row>
    <row r="34" spans="1:43" x14ac:dyDescent="0.2">
      <c r="A34" s="491"/>
      <c r="B34" s="473"/>
      <c r="C34" s="473"/>
      <c r="D34" s="173" t="s">
        <v>678</v>
      </c>
      <c r="E34" s="173"/>
      <c r="F34" s="173"/>
      <c r="G34" s="241">
        <v>2001481.2703278386</v>
      </c>
      <c r="H34" s="241">
        <v>2278281.9927048925</v>
      </c>
      <c r="I34" s="999">
        <v>-4</v>
      </c>
      <c r="J34" s="999">
        <v>-4</v>
      </c>
      <c r="K34" s="214"/>
      <c r="M34" s="473"/>
      <c r="N34" s="473"/>
      <c r="O34" s="173" t="s">
        <v>678</v>
      </c>
      <c r="P34" s="173"/>
      <c r="Q34" s="173"/>
      <c r="R34" s="519">
        <v>2000000</v>
      </c>
      <c r="S34" s="519">
        <v>2280000</v>
      </c>
      <c r="T34"/>
      <c r="W34" s="350"/>
      <c r="X34" s="350"/>
      <c r="Y34" s="350"/>
      <c r="AP34" s="350"/>
      <c r="AQ34" s="350"/>
    </row>
    <row r="35" spans="1:43" x14ac:dyDescent="0.2">
      <c r="A35" s="491"/>
      <c r="B35" s="473"/>
      <c r="C35" s="473"/>
      <c r="D35" s="173" t="s">
        <v>721</v>
      </c>
      <c r="E35" s="173"/>
      <c r="F35" s="173"/>
      <c r="G35" s="494"/>
      <c r="H35" s="241"/>
      <c r="I35" s="999">
        <v>0</v>
      </c>
      <c r="J35" s="999">
        <v>0</v>
      </c>
      <c r="K35" s="214"/>
      <c r="M35" s="473"/>
      <c r="N35" s="473"/>
      <c r="O35" s="173" t="s">
        <v>721</v>
      </c>
      <c r="P35" s="173"/>
      <c r="Q35" s="173"/>
      <c r="R35" s="666" t="s">
        <v>1297</v>
      </c>
      <c r="S35" s="519" t="s">
        <v>1297</v>
      </c>
      <c r="T35"/>
      <c r="W35" s="350"/>
      <c r="X35" s="350"/>
      <c r="Y35" s="350"/>
      <c r="AP35" s="350"/>
      <c r="AQ35" s="350"/>
    </row>
    <row r="36" spans="1:43" x14ac:dyDescent="0.2">
      <c r="A36" s="491"/>
      <c r="B36" s="473"/>
      <c r="C36" s="473"/>
      <c r="D36" s="473"/>
      <c r="E36" s="498" t="s">
        <v>133</v>
      </c>
      <c r="F36" s="473"/>
      <c r="G36" s="241">
        <v>831954.80783429567</v>
      </c>
      <c r="H36" s="241">
        <v>952343.16711714945</v>
      </c>
      <c r="I36" s="999">
        <v>-3</v>
      </c>
      <c r="J36" s="999">
        <v>-3</v>
      </c>
      <c r="K36" s="214"/>
      <c r="M36" s="473"/>
      <c r="N36" s="473"/>
      <c r="O36" s="473"/>
      <c r="P36" s="498" t="s">
        <v>133</v>
      </c>
      <c r="Q36" s="473"/>
      <c r="R36" s="497">
        <v>832000</v>
      </c>
      <c r="S36" s="519">
        <v>952000</v>
      </c>
      <c r="T36"/>
      <c r="W36" s="350"/>
      <c r="X36" s="350"/>
      <c r="Y36" s="350"/>
      <c r="AP36" s="350"/>
      <c r="AQ36" s="350"/>
    </row>
    <row r="37" spans="1:43" x14ac:dyDescent="0.2">
      <c r="A37" s="491"/>
      <c r="B37" s="473"/>
      <c r="C37" s="473"/>
      <c r="D37" s="473"/>
      <c r="E37" s="498" t="s">
        <v>25</v>
      </c>
      <c r="F37" s="473"/>
      <c r="G37" s="494">
        <v>208780.99475738493</v>
      </c>
      <c r="H37" s="494">
        <v>227202.69931051467</v>
      </c>
      <c r="I37" s="999">
        <v>-3</v>
      </c>
      <c r="J37" s="999">
        <v>-3</v>
      </c>
      <c r="K37" s="214"/>
      <c r="M37" s="473"/>
      <c r="N37" s="473"/>
      <c r="O37" s="473"/>
      <c r="P37" s="498" t="s">
        <v>25</v>
      </c>
      <c r="Q37" s="473"/>
      <c r="R37" s="666">
        <v>209000</v>
      </c>
      <c r="S37" s="519">
        <v>227000</v>
      </c>
      <c r="T37"/>
      <c r="W37" s="350"/>
      <c r="X37" s="350"/>
      <c r="Y37" s="350"/>
      <c r="AP37" s="350"/>
      <c r="AQ37" s="350"/>
    </row>
    <row r="38" spans="1:43" x14ac:dyDescent="0.2">
      <c r="A38" s="491"/>
      <c r="B38" s="473"/>
      <c r="C38" s="473"/>
      <c r="D38" s="450" t="s">
        <v>46</v>
      </c>
      <c r="E38" s="498"/>
      <c r="F38" s="473"/>
      <c r="G38" s="494"/>
      <c r="H38" s="494"/>
      <c r="I38" s="999"/>
      <c r="J38" s="999"/>
      <c r="K38" s="214"/>
      <c r="M38" s="473"/>
      <c r="N38" s="473"/>
      <c r="O38" s="173" t="s">
        <v>46</v>
      </c>
      <c r="P38" s="498"/>
      <c r="Q38" s="473"/>
      <c r="R38" s="666"/>
      <c r="S38" s="519"/>
      <c r="T38"/>
      <c r="W38" s="350"/>
      <c r="X38" s="350"/>
      <c r="Y38" s="350"/>
      <c r="AP38" s="350"/>
      <c r="AQ38" s="350"/>
    </row>
    <row r="39" spans="1:43" x14ac:dyDescent="0.2">
      <c r="A39" s="491"/>
      <c r="B39" s="473"/>
      <c r="C39" s="473"/>
      <c r="D39" s="473"/>
      <c r="E39" s="498" t="s">
        <v>132</v>
      </c>
      <c r="F39" s="473"/>
      <c r="G39" s="494">
        <v>100784.79525989</v>
      </c>
      <c r="H39" s="494">
        <v>109403.74801667969</v>
      </c>
      <c r="I39" s="999">
        <v>-3</v>
      </c>
      <c r="J39" s="999">
        <v>-3</v>
      </c>
      <c r="K39" s="214"/>
      <c r="M39" s="473"/>
      <c r="N39" s="473"/>
      <c r="O39" s="473"/>
      <c r="P39" s="498" t="s">
        <v>132</v>
      </c>
      <c r="Q39" s="473"/>
      <c r="R39" s="666">
        <v>101000</v>
      </c>
      <c r="S39" s="519">
        <v>109000</v>
      </c>
      <c r="T39"/>
      <c r="W39" s="350"/>
      <c r="X39" s="350"/>
      <c r="Y39" s="350"/>
      <c r="AP39" s="350"/>
      <c r="AQ39" s="350"/>
    </row>
    <row r="40" spans="1:43" x14ac:dyDescent="0.2">
      <c r="A40" s="491"/>
      <c r="B40" s="473"/>
      <c r="C40" s="473"/>
      <c r="D40" s="473"/>
      <c r="E40" s="498" t="s">
        <v>131</v>
      </c>
      <c r="F40" s="473"/>
      <c r="G40" s="494">
        <v>229882.68359006301</v>
      </c>
      <c r="H40" s="494">
        <v>249541.87905062389</v>
      </c>
      <c r="I40" s="999">
        <v>-3</v>
      </c>
      <c r="J40" s="999">
        <v>-3</v>
      </c>
      <c r="K40" s="214"/>
      <c r="M40" s="473"/>
      <c r="N40" s="473"/>
      <c r="O40" s="473"/>
      <c r="P40" s="498" t="s">
        <v>131</v>
      </c>
      <c r="Q40" s="473"/>
      <c r="R40" s="666">
        <v>230000</v>
      </c>
      <c r="S40" s="519">
        <v>250000</v>
      </c>
      <c r="W40" s="350"/>
      <c r="X40" s="350"/>
      <c r="Y40" s="350"/>
      <c r="AP40" s="350"/>
      <c r="AQ40" s="350"/>
    </row>
    <row r="41" spans="1:43" x14ac:dyDescent="0.2">
      <c r="A41" s="491"/>
      <c r="B41" s="473"/>
      <c r="C41" s="473"/>
      <c r="D41" s="473"/>
      <c r="E41" s="498" t="s">
        <v>202</v>
      </c>
      <c r="F41" s="473"/>
      <c r="G41" s="494">
        <v>10500.932440345654</v>
      </c>
      <c r="H41" s="494">
        <v>11398.955206301494</v>
      </c>
      <c r="I41" s="999">
        <v>-2</v>
      </c>
      <c r="J41" s="999">
        <v>-2</v>
      </c>
      <c r="K41" s="214"/>
      <c r="M41" s="473"/>
      <c r="N41" s="473"/>
      <c r="O41" s="473"/>
      <c r="P41" s="498" t="s">
        <v>202</v>
      </c>
      <c r="Q41" s="473"/>
      <c r="R41" s="666">
        <v>10500</v>
      </c>
      <c r="S41" s="519">
        <v>11400</v>
      </c>
      <c r="W41" s="350"/>
      <c r="X41" s="350"/>
      <c r="Y41" s="350"/>
      <c r="AP41" s="350"/>
      <c r="AQ41" s="350"/>
    </row>
    <row r="42" spans="1:43" x14ac:dyDescent="0.2">
      <c r="A42" s="491"/>
      <c r="B42" s="473"/>
      <c r="C42" s="473"/>
      <c r="D42" s="473"/>
      <c r="E42" s="498" t="s">
        <v>264</v>
      </c>
      <c r="F42" s="473"/>
      <c r="G42" s="494">
        <v>36325.163697133365</v>
      </c>
      <c r="H42" s="494">
        <v>39431.632971401414</v>
      </c>
      <c r="I42" s="999">
        <v>-2</v>
      </c>
      <c r="J42" s="999">
        <v>-2</v>
      </c>
      <c r="K42" s="214"/>
      <c r="M42" s="473"/>
      <c r="N42" s="473"/>
      <c r="O42" s="473"/>
      <c r="P42" s="498" t="s">
        <v>264</v>
      </c>
      <c r="Q42" s="473"/>
      <c r="R42" s="666">
        <v>36300</v>
      </c>
      <c r="S42" s="519">
        <v>39400</v>
      </c>
      <c r="W42" s="350"/>
      <c r="X42" s="350"/>
      <c r="Y42" s="350"/>
      <c r="AP42" s="350"/>
      <c r="AQ42" s="350"/>
    </row>
    <row r="43" spans="1:43" x14ac:dyDescent="0.2">
      <c r="A43" s="485"/>
      <c r="B43" s="473"/>
      <c r="C43" s="473"/>
      <c r="D43" s="173" t="s">
        <v>720</v>
      </c>
      <c r="E43" s="173"/>
      <c r="F43" s="173"/>
      <c r="G43" s="494"/>
      <c r="H43" s="241"/>
      <c r="I43" s="999">
        <v>0</v>
      </c>
      <c r="J43" s="999">
        <v>0</v>
      </c>
      <c r="K43" s="214"/>
      <c r="M43" s="473"/>
      <c r="N43" s="473"/>
      <c r="O43" s="173" t="s">
        <v>720</v>
      </c>
      <c r="P43" s="173"/>
      <c r="Q43" s="173"/>
      <c r="R43" s="666" t="s">
        <v>1297</v>
      </c>
      <c r="S43" s="519" t="s">
        <v>1297</v>
      </c>
      <c r="W43" s="350"/>
      <c r="X43" s="350"/>
      <c r="Y43" s="350"/>
      <c r="AP43" s="350"/>
      <c r="AQ43" s="350"/>
    </row>
    <row r="44" spans="1:43" x14ac:dyDescent="0.2">
      <c r="A44" s="485"/>
      <c r="B44" s="473"/>
      <c r="C44" s="473"/>
      <c r="D44" s="173"/>
      <c r="E44" s="498" t="s">
        <v>133</v>
      </c>
      <c r="F44" s="473"/>
      <c r="G44" s="495">
        <v>160081.15402892014</v>
      </c>
      <c r="H44" s="495">
        <v>176252.8617572583</v>
      </c>
      <c r="I44" s="999">
        <v>-3</v>
      </c>
      <c r="J44" s="999">
        <v>-3</v>
      </c>
      <c r="K44" s="214"/>
      <c r="M44" s="473"/>
      <c r="N44" s="473"/>
      <c r="O44" s="173"/>
      <c r="P44" s="498" t="s">
        <v>133</v>
      </c>
      <c r="Q44" s="473"/>
      <c r="R44" s="667">
        <v>160000</v>
      </c>
      <c r="S44" s="519">
        <v>176000</v>
      </c>
      <c r="W44" s="350"/>
      <c r="X44" s="350"/>
      <c r="Y44" s="350"/>
      <c r="AP44" s="350"/>
      <c r="AQ44" s="350"/>
    </row>
    <row r="45" spans="1:43" x14ac:dyDescent="0.2">
      <c r="A45" s="485"/>
      <c r="B45" s="473"/>
      <c r="C45" s="473"/>
      <c r="D45" s="173"/>
      <c r="E45" s="498" t="s">
        <v>25</v>
      </c>
      <c r="F45" s="473"/>
      <c r="G45" s="495">
        <v>0</v>
      </c>
      <c r="H45" s="495">
        <v>551.97471080411503</v>
      </c>
      <c r="I45" s="999">
        <v>0</v>
      </c>
      <c r="J45" s="999">
        <v>0</v>
      </c>
      <c r="K45" s="214"/>
      <c r="M45" s="473"/>
      <c r="N45" s="473"/>
      <c r="O45" s="173"/>
      <c r="P45" s="498" t="s">
        <v>25</v>
      </c>
      <c r="Q45" s="473"/>
      <c r="R45" s="667">
        <v>0</v>
      </c>
      <c r="S45" s="519">
        <v>552</v>
      </c>
      <c r="W45" s="350"/>
      <c r="X45" s="350"/>
      <c r="Y45" s="350"/>
      <c r="AP45" s="350"/>
      <c r="AQ45" s="350"/>
    </row>
    <row r="46" spans="1:43" x14ac:dyDescent="0.2">
      <c r="A46" s="485"/>
      <c r="B46" s="473"/>
      <c r="C46" s="489" t="s">
        <v>689</v>
      </c>
      <c r="D46" s="489"/>
      <c r="E46" s="489"/>
      <c r="F46" s="489"/>
      <c r="G46" s="490">
        <v>7342374.0058241226</v>
      </c>
      <c r="H46" s="490">
        <v>8180475.4057288356</v>
      </c>
      <c r="I46" s="999">
        <v>-4</v>
      </c>
      <c r="J46" s="999">
        <v>-4</v>
      </c>
      <c r="K46" s="214"/>
      <c r="M46" s="473"/>
      <c r="N46" s="489" t="s">
        <v>689</v>
      </c>
      <c r="O46" s="489"/>
      <c r="P46" s="489"/>
      <c r="Q46" s="489"/>
      <c r="R46" s="665">
        <v>7340000</v>
      </c>
      <c r="S46" s="665">
        <v>8180000</v>
      </c>
      <c r="W46" s="350"/>
      <c r="X46" s="350"/>
      <c r="Y46" s="350"/>
      <c r="AP46" s="350"/>
      <c r="AQ46" s="350"/>
    </row>
    <row r="47" spans="1:43" ht="12.75" customHeight="1" x14ac:dyDescent="0.2">
      <c r="A47" s="485"/>
      <c r="B47" s="609" t="s">
        <v>871</v>
      </c>
      <c r="C47" s="607"/>
      <c r="D47" s="607"/>
      <c r="E47" s="607"/>
      <c r="F47" s="607"/>
      <c r="G47" s="630"/>
      <c r="H47" s="630"/>
      <c r="I47" s="999">
        <v>0</v>
      </c>
      <c r="J47" s="999">
        <v>0</v>
      </c>
      <c r="K47" s="214"/>
      <c r="M47" s="609" t="s">
        <v>871</v>
      </c>
      <c r="N47" s="609"/>
      <c r="O47" s="609"/>
      <c r="P47" s="609"/>
      <c r="Q47" s="609"/>
      <c r="R47" s="608" t="s">
        <v>1297</v>
      </c>
      <c r="S47" s="608" t="s">
        <v>1297</v>
      </c>
      <c r="U47"/>
      <c r="W47" s="350"/>
      <c r="X47" s="350"/>
      <c r="Y47" s="350"/>
      <c r="AP47" s="350"/>
      <c r="AQ47" s="350"/>
    </row>
    <row r="48" spans="1:43" x14ac:dyDescent="0.2">
      <c r="A48" s="491"/>
      <c r="B48" s="173"/>
      <c r="C48" s="489" t="s">
        <v>722</v>
      </c>
      <c r="D48" s="489"/>
      <c r="E48" s="489"/>
      <c r="F48" s="489"/>
      <c r="G48" s="490">
        <v>2170588.0378657775</v>
      </c>
      <c r="H48" s="490">
        <v>3349250.4500484988</v>
      </c>
      <c r="I48" s="999">
        <v>-4</v>
      </c>
      <c r="J48" s="999">
        <v>-4</v>
      </c>
      <c r="K48" s="214"/>
      <c r="M48" s="173"/>
      <c r="N48" s="489" t="s">
        <v>722</v>
      </c>
      <c r="O48" s="489"/>
      <c r="P48" s="489"/>
      <c r="Q48" s="489"/>
      <c r="R48" s="665">
        <v>2170000</v>
      </c>
      <c r="S48" s="665">
        <v>3350000</v>
      </c>
      <c r="U48"/>
      <c r="W48" s="350"/>
      <c r="X48" s="350"/>
      <c r="Y48" s="350"/>
      <c r="AP48" s="350"/>
      <c r="AQ48" s="350"/>
    </row>
    <row r="49" spans="1:43" x14ac:dyDescent="0.2">
      <c r="A49" s="485"/>
      <c r="B49" s="473"/>
      <c r="C49" s="473"/>
      <c r="D49" s="173" t="s">
        <v>678</v>
      </c>
      <c r="E49" s="173"/>
      <c r="F49" s="474"/>
      <c r="G49" s="494">
        <v>534708.13401730801</v>
      </c>
      <c r="H49" s="494">
        <v>503629.9844031235</v>
      </c>
      <c r="I49" s="999">
        <v>-3</v>
      </c>
      <c r="J49" s="999">
        <v>-3</v>
      </c>
      <c r="K49" s="214"/>
      <c r="M49" s="473"/>
      <c r="N49" s="473"/>
      <c r="O49" s="173" t="s">
        <v>678</v>
      </c>
      <c r="P49" s="173"/>
      <c r="Q49" s="474"/>
      <c r="R49" s="666">
        <v>535000</v>
      </c>
      <c r="S49" s="666">
        <v>504000</v>
      </c>
      <c r="V49"/>
      <c r="W49" s="350"/>
      <c r="X49" s="350"/>
      <c r="Y49" s="350"/>
      <c r="AP49" s="350"/>
      <c r="AQ49" s="350"/>
    </row>
    <row r="50" spans="1:43" x14ac:dyDescent="0.2">
      <c r="A50" s="485"/>
      <c r="B50" s="473"/>
      <c r="C50" s="473"/>
      <c r="D50" s="173" t="s">
        <v>682</v>
      </c>
      <c r="E50" s="173"/>
      <c r="F50" s="474"/>
      <c r="G50" s="494"/>
      <c r="H50" s="494"/>
      <c r="I50" s="999">
        <v>0</v>
      </c>
      <c r="J50" s="999">
        <v>0</v>
      </c>
      <c r="K50" s="214"/>
      <c r="M50" s="473"/>
      <c r="N50" s="473"/>
      <c r="O50" s="173" t="s">
        <v>682</v>
      </c>
      <c r="P50" s="173"/>
      <c r="Q50" s="474"/>
      <c r="R50" s="666" t="s">
        <v>1297</v>
      </c>
      <c r="S50" s="666" t="s">
        <v>1297</v>
      </c>
      <c r="V50"/>
      <c r="W50" s="350"/>
      <c r="X50" s="350"/>
      <c r="Y50" s="350"/>
      <c r="AP50" s="350"/>
      <c r="AQ50" s="350"/>
    </row>
    <row r="51" spans="1:43" x14ac:dyDescent="0.2">
      <c r="A51" s="485"/>
      <c r="B51" s="473"/>
      <c r="C51" s="473"/>
      <c r="D51" s="473"/>
      <c r="E51" s="498" t="s">
        <v>133</v>
      </c>
      <c r="F51" s="473"/>
      <c r="G51" s="494">
        <v>524162.0912656599</v>
      </c>
      <c r="H51" s="494">
        <v>510643.34432334267</v>
      </c>
      <c r="I51" s="999">
        <v>-3</v>
      </c>
      <c r="J51" s="999">
        <v>-3</v>
      </c>
      <c r="K51" s="214"/>
      <c r="M51" s="473"/>
      <c r="N51" s="473"/>
      <c r="O51" s="473"/>
      <c r="P51" s="498" t="s">
        <v>133</v>
      </c>
      <c r="Q51" s="473"/>
      <c r="R51" s="666">
        <v>524000</v>
      </c>
      <c r="S51" s="666">
        <v>511000</v>
      </c>
      <c r="V51"/>
      <c r="W51" s="350"/>
      <c r="X51" s="350"/>
      <c r="Y51" s="350"/>
      <c r="AP51" s="350"/>
      <c r="AQ51" s="350"/>
    </row>
    <row r="52" spans="1:43" x14ac:dyDescent="0.2">
      <c r="A52" s="485"/>
      <c r="B52" s="473"/>
      <c r="C52" s="473"/>
      <c r="D52" s="473"/>
      <c r="E52" s="498" t="s">
        <v>25</v>
      </c>
      <c r="F52" s="473"/>
      <c r="G52" s="494">
        <v>89059.205223995261</v>
      </c>
      <c r="H52" s="494">
        <v>1198922.2301042632</v>
      </c>
      <c r="I52" s="999">
        <v>-2</v>
      </c>
      <c r="J52" s="999">
        <v>-4</v>
      </c>
      <c r="K52" s="214"/>
      <c r="M52" s="473"/>
      <c r="N52" s="473"/>
      <c r="O52" s="473"/>
      <c r="P52" s="498" t="s">
        <v>25</v>
      </c>
      <c r="Q52" s="473"/>
      <c r="R52" s="666">
        <v>89100</v>
      </c>
      <c r="S52" s="666">
        <v>1200000</v>
      </c>
      <c r="V52"/>
      <c r="W52" s="350"/>
      <c r="X52" s="350"/>
      <c r="Y52" s="350"/>
      <c r="AP52" s="350"/>
      <c r="AQ52" s="350"/>
    </row>
    <row r="53" spans="1:43" x14ac:dyDescent="0.2">
      <c r="A53" s="485"/>
      <c r="B53" s="473"/>
      <c r="C53" s="173"/>
      <c r="D53" s="173"/>
      <c r="E53" s="637" t="s">
        <v>49</v>
      </c>
      <c r="F53" s="331"/>
      <c r="G53" s="496">
        <v>286186.18622956501</v>
      </c>
      <c r="H53" s="496">
        <v>337941.17712677934</v>
      </c>
      <c r="I53" s="999">
        <v>-3</v>
      </c>
      <c r="J53" s="999">
        <v>-3</v>
      </c>
      <c r="K53" s="214"/>
      <c r="M53" s="473"/>
      <c r="N53" s="173"/>
      <c r="O53" s="173"/>
      <c r="P53" s="487" t="s">
        <v>49</v>
      </c>
      <c r="Q53" s="331"/>
      <c r="R53" s="668">
        <v>286000</v>
      </c>
      <c r="S53" s="668">
        <v>338000</v>
      </c>
      <c r="W53" s="350"/>
      <c r="X53" s="350"/>
      <c r="Y53" s="350"/>
      <c r="AP53" s="350"/>
      <c r="AQ53" s="350"/>
    </row>
    <row r="54" spans="1:43" x14ac:dyDescent="0.2">
      <c r="A54" s="485"/>
      <c r="B54" s="473"/>
      <c r="C54" s="173"/>
      <c r="D54" s="173"/>
      <c r="E54" s="637" t="s">
        <v>701</v>
      </c>
      <c r="F54" s="331"/>
      <c r="G54" s="496">
        <v>17013.932732676825</v>
      </c>
      <c r="H54" s="496">
        <v>17128.298879999998</v>
      </c>
      <c r="I54" s="999">
        <v>-2</v>
      </c>
      <c r="J54" s="999">
        <v>-2</v>
      </c>
      <c r="K54" s="214"/>
      <c r="M54" s="473"/>
      <c r="N54" s="173"/>
      <c r="O54" s="173"/>
      <c r="P54" s="487" t="s">
        <v>701</v>
      </c>
      <c r="Q54" s="331"/>
      <c r="R54" s="668">
        <v>17000</v>
      </c>
      <c r="S54" s="668">
        <v>17100</v>
      </c>
      <c r="W54" s="350"/>
      <c r="X54" s="350"/>
      <c r="Y54" s="350"/>
      <c r="AP54" s="350"/>
      <c r="AQ54" s="350"/>
    </row>
    <row r="55" spans="1:43" x14ac:dyDescent="0.2">
      <c r="A55" s="485"/>
      <c r="B55" s="473"/>
      <c r="C55" s="473"/>
      <c r="D55" s="450" t="s">
        <v>716</v>
      </c>
      <c r="E55" s="498"/>
      <c r="F55" s="473"/>
      <c r="G55" s="494"/>
      <c r="H55" s="494"/>
      <c r="I55" s="999"/>
      <c r="J55" s="999"/>
      <c r="K55" s="214"/>
      <c r="M55" s="473"/>
      <c r="N55" s="473"/>
      <c r="O55" s="173" t="s">
        <v>716</v>
      </c>
      <c r="P55" s="498"/>
      <c r="Q55" s="473"/>
      <c r="R55" s="666"/>
      <c r="S55" s="666"/>
      <c r="V55"/>
      <c r="W55" s="350"/>
      <c r="X55" s="350"/>
      <c r="Y55" s="350"/>
      <c r="AP55" s="350"/>
      <c r="AQ55" s="350"/>
    </row>
    <row r="56" spans="1:43" x14ac:dyDescent="0.2">
      <c r="A56" s="485"/>
      <c r="B56" s="473"/>
      <c r="C56" s="473"/>
      <c r="D56" s="473"/>
      <c r="E56" s="498" t="s">
        <v>132</v>
      </c>
      <c r="F56" s="473"/>
      <c r="G56" s="494">
        <v>560202.29937735747</v>
      </c>
      <c r="H56" s="494">
        <v>608109.89436852338</v>
      </c>
      <c r="I56" s="999">
        <v>-3</v>
      </c>
      <c r="J56" s="999">
        <v>-3</v>
      </c>
      <c r="K56" s="214"/>
      <c r="M56" s="473"/>
      <c r="N56" s="473"/>
      <c r="O56" s="473"/>
      <c r="P56" s="498" t="s">
        <v>132</v>
      </c>
      <c r="Q56" s="473"/>
      <c r="R56" s="666">
        <v>560000</v>
      </c>
      <c r="S56" s="666">
        <v>608000</v>
      </c>
      <c r="U56"/>
      <c r="V56"/>
      <c r="W56" s="350"/>
      <c r="X56" s="350"/>
      <c r="Y56" s="350"/>
      <c r="AP56" s="350"/>
      <c r="AQ56" s="350"/>
    </row>
    <row r="57" spans="1:43" x14ac:dyDescent="0.2">
      <c r="A57" s="485"/>
      <c r="B57" s="473"/>
      <c r="C57" s="473"/>
      <c r="D57" s="473"/>
      <c r="E57" s="498" t="s">
        <v>131</v>
      </c>
      <c r="F57" s="473"/>
      <c r="G57" s="494">
        <v>14877.041433345628</v>
      </c>
      <c r="H57" s="494">
        <v>16149.301965742017</v>
      </c>
      <c r="I57" s="999">
        <v>-2</v>
      </c>
      <c r="J57" s="999">
        <v>-2</v>
      </c>
      <c r="K57" s="214"/>
      <c r="M57" s="473"/>
      <c r="N57" s="473"/>
      <c r="O57" s="473"/>
      <c r="P57" s="498" t="s">
        <v>131</v>
      </c>
      <c r="Q57" s="473"/>
      <c r="R57" s="666">
        <v>14900</v>
      </c>
      <c r="S57" s="666">
        <v>16100</v>
      </c>
      <c r="V57"/>
      <c r="W57" s="350"/>
      <c r="X57" s="350"/>
      <c r="Y57" s="350"/>
      <c r="AP57" s="350"/>
      <c r="AQ57" s="350"/>
    </row>
    <row r="58" spans="1:43" x14ac:dyDescent="0.2">
      <c r="A58" s="485"/>
      <c r="B58" s="473"/>
      <c r="C58" s="473"/>
      <c r="D58" s="473"/>
      <c r="E58" s="498" t="s">
        <v>202</v>
      </c>
      <c r="F58" s="473"/>
      <c r="G58" s="494">
        <v>96649.941697402654</v>
      </c>
      <c r="H58" s="494">
        <v>104915.28846214342</v>
      </c>
      <c r="I58" s="999">
        <v>-2</v>
      </c>
      <c r="J58" s="999">
        <v>-3</v>
      </c>
      <c r="K58" s="214"/>
      <c r="M58" s="473"/>
      <c r="N58" s="473"/>
      <c r="O58" s="473"/>
      <c r="P58" s="498" t="s">
        <v>202</v>
      </c>
      <c r="Q58" s="473"/>
      <c r="R58" s="666">
        <v>96600</v>
      </c>
      <c r="S58" s="666">
        <v>105000</v>
      </c>
      <c r="V58"/>
      <c r="W58" s="350"/>
      <c r="X58" s="350"/>
      <c r="Y58" s="350"/>
      <c r="AP58" s="350"/>
      <c r="AQ58" s="350"/>
    </row>
    <row r="59" spans="1:43" ht="12.75" customHeight="1" x14ac:dyDescent="0.2">
      <c r="A59" s="485"/>
      <c r="B59" s="473"/>
      <c r="C59" s="473"/>
      <c r="D59" s="473"/>
      <c r="E59" s="498" t="s">
        <v>264</v>
      </c>
      <c r="F59" s="473"/>
      <c r="G59" s="494">
        <v>47729.205888466466</v>
      </c>
      <c r="H59" s="494">
        <v>51810.930414581555</v>
      </c>
      <c r="I59" s="999">
        <v>-2</v>
      </c>
      <c r="J59" s="999">
        <v>-2</v>
      </c>
      <c r="K59" s="214"/>
      <c r="M59" s="473"/>
      <c r="N59" s="473"/>
      <c r="O59" s="473"/>
      <c r="P59" s="498" t="s">
        <v>264</v>
      </c>
      <c r="Q59" s="473"/>
      <c r="R59" s="666">
        <v>47700</v>
      </c>
      <c r="S59" s="666">
        <v>51800</v>
      </c>
      <c r="V59"/>
      <c r="W59" s="350"/>
      <c r="X59" s="350"/>
      <c r="Y59" s="350"/>
      <c r="AP59" s="350"/>
      <c r="AQ59" s="350"/>
    </row>
    <row r="60" spans="1:43" x14ac:dyDescent="0.2">
      <c r="A60" s="485"/>
      <c r="B60" s="473"/>
      <c r="C60" s="489" t="s">
        <v>54</v>
      </c>
      <c r="D60" s="489"/>
      <c r="E60" s="489"/>
      <c r="F60" s="499"/>
      <c r="G60" s="490">
        <v>451499.23418948852</v>
      </c>
      <c r="H60" s="490">
        <v>435007.8194521399</v>
      </c>
      <c r="I60" s="999">
        <v>-3</v>
      </c>
      <c r="J60" s="999">
        <v>-3</v>
      </c>
      <c r="K60" s="214"/>
      <c r="M60" s="473"/>
      <c r="N60" s="489" t="s">
        <v>54</v>
      </c>
      <c r="O60" s="489"/>
      <c r="P60" s="489"/>
      <c r="Q60" s="499"/>
      <c r="R60" s="665">
        <v>451000</v>
      </c>
      <c r="S60" s="665">
        <v>435000</v>
      </c>
      <c r="U60"/>
      <c r="W60" s="350"/>
      <c r="X60" s="350"/>
      <c r="Y60" s="350"/>
      <c r="AP60" s="350"/>
      <c r="AQ60" s="350"/>
    </row>
    <row r="61" spans="1:43" x14ac:dyDescent="0.2">
      <c r="A61" s="485"/>
      <c r="B61" s="473"/>
      <c r="C61" s="173"/>
      <c r="D61" s="173" t="s">
        <v>690</v>
      </c>
      <c r="E61" s="173"/>
      <c r="F61" s="474"/>
      <c r="G61" s="496"/>
      <c r="H61" s="496"/>
      <c r="I61" s="999">
        <v>0</v>
      </c>
      <c r="J61" s="999">
        <v>0</v>
      </c>
      <c r="K61" s="214"/>
      <c r="M61" s="473"/>
      <c r="N61" s="173"/>
      <c r="O61" s="173" t="s">
        <v>690</v>
      </c>
      <c r="P61" s="173"/>
      <c r="Q61" s="474"/>
      <c r="R61" s="668" t="s">
        <v>1297</v>
      </c>
      <c r="S61" s="668" t="s">
        <v>1297</v>
      </c>
      <c r="W61" s="350"/>
      <c r="X61" s="350"/>
      <c r="Y61" s="350"/>
      <c r="AP61" s="350"/>
      <c r="AQ61" s="350"/>
    </row>
    <row r="62" spans="1:43" x14ac:dyDescent="0.2">
      <c r="A62" s="485"/>
      <c r="B62" s="473"/>
      <c r="C62" s="173"/>
      <c r="D62" s="173"/>
      <c r="E62" s="637" t="s">
        <v>683</v>
      </c>
      <c r="F62" s="331"/>
      <c r="G62" s="496">
        <v>411380.49062961666</v>
      </c>
      <c r="H62" s="496">
        <v>394643.51949045953</v>
      </c>
      <c r="I62" s="999">
        <v>-3</v>
      </c>
      <c r="J62" s="999">
        <v>-3</v>
      </c>
      <c r="K62" s="214"/>
      <c r="M62" s="473"/>
      <c r="N62" s="173"/>
      <c r="O62" s="173"/>
      <c r="P62" s="487" t="s">
        <v>683</v>
      </c>
      <c r="Q62" s="331"/>
      <c r="R62" s="668">
        <v>411000</v>
      </c>
      <c r="S62" s="668">
        <v>395000</v>
      </c>
      <c r="W62" s="350"/>
      <c r="X62" s="350"/>
      <c r="Y62" s="350"/>
      <c r="AP62" s="350"/>
      <c r="AQ62" s="350"/>
    </row>
    <row r="63" spans="1:43" x14ac:dyDescent="0.2">
      <c r="A63" s="485"/>
      <c r="B63" s="473"/>
      <c r="C63" s="473"/>
      <c r="D63" s="173" t="s">
        <v>849</v>
      </c>
      <c r="E63" s="173"/>
      <c r="F63" s="474"/>
      <c r="G63" s="241">
        <v>40118.743559871873</v>
      </c>
      <c r="H63" s="241">
        <v>40364.299961680372</v>
      </c>
      <c r="I63" s="999">
        <v>-2</v>
      </c>
      <c r="J63" s="999">
        <v>-2</v>
      </c>
      <c r="K63" s="214"/>
      <c r="M63" s="473"/>
      <c r="N63" s="473"/>
      <c r="O63" s="173" t="s">
        <v>849</v>
      </c>
      <c r="P63" s="173"/>
      <c r="Q63" s="474"/>
      <c r="R63" s="519">
        <v>40100</v>
      </c>
      <c r="S63" s="519">
        <v>40400</v>
      </c>
      <c r="W63" s="350"/>
      <c r="X63" s="350"/>
      <c r="Y63" s="350"/>
      <c r="AP63" s="350"/>
      <c r="AQ63" s="350"/>
    </row>
    <row r="64" spans="1:43" x14ac:dyDescent="0.2">
      <c r="A64" s="485"/>
      <c r="B64" s="473"/>
      <c r="C64" s="489" t="s">
        <v>707</v>
      </c>
      <c r="D64" s="489"/>
      <c r="E64" s="489"/>
      <c r="F64" s="499"/>
      <c r="G64" s="490">
        <v>592617.11735346261</v>
      </c>
      <c r="H64" s="490">
        <v>731758.25221599825</v>
      </c>
      <c r="I64" s="999">
        <v>-3</v>
      </c>
      <c r="J64" s="999">
        <v>-3</v>
      </c>
      <c r="K64" s="214"/>
      <c r="M64" s="473"/>
      <c r="N64" s="489" t="s">
        <v>707</v>
      </c>
      <c r="O64" s="489"/>
      <c r="P64" s="489"/>
      <c r="Q64" s="499"/>
      <c r="R64" s="665">
        <v>593000</v>
      </c>
      <c r="S64" s="665">
        <v>732000</v>
      </c>
      <c r="W64" s="350"/>
      <c r="X64" s="350"/>
      <c r="Y64" s="350"/>
      <c r="AP64" s="350"/>
      <c r="AQ64" s="350"/>
    </row>
    <row r="65" spans="1:43" x14ac:dyDescent="0.2">
      <c r="A65" s="485"/>
      <c r="B65" s="473"/>
      <c r="C65" s="173"/>
      <c r="D65" s="493" t="s">
        <v>872</v>
      </c>
      <c r="E65" s="173"/>
      <c r="F65" s="473"/>
      <c r="G65" s="494">
        <v>541770.95647584868</v>
      </c>
      <c r="H65" s="494">
        <v>675579.35552460991</v>
      </c>
      <c r="I65" s="999">
        <v>-3</v>
      </c>
      <c r="J65" s="999">
        <v>-3</v>
      </c>
      <c r="K65" s="214"/>
      <c r="M65" s="473"/>
      <c r="N65" s="173"/>
      <c r="O65" s="173" t="s">
        <v>872</v>
      </c>
      <c r="P65" s="173"/>
      <c r="Q65" s="474"/>
      <c r="R65" s="519">
        <v>542000</v>
      </c>
      <c r="S65" s="519">
        <v>676000</v>
      </c>
      <c r="W65" s="350"/>
      <c r="X65" s="350"/>
      <c r="Y65" s="350"/>
      <c r="AP65" s="350"/>
      <c r="AQ65" s="350"/>
    </row>
    <row r="66" spans="1:43" x14ac:dyDescent="0.2">
      <c r="A66" s="485"/>
      <c r="B66" s="473"/>
      <c r="C66" s="473"/>
      <c r="D66" s="173" t="s">
        <v>851</v>
      </c>
      <c r="E66" s="173"/>
      <c r="F66" s="474"/>
      <c r="G66" s="241">
        <v>50846.160877613882</v>
      </c>
      <c r="H66" s="241">
        <v>56178.896691388327</v>
      </c>
      <c r="I66" s="999">
        <v>-2</v>
      </c>
      <c r="J66" s="999">
        <v>-2</v>
      </c>
      <c r="K66" s="214"/>
      <c r="M66" s="473"/>
      <c r="N66" s="473"/>
      <c r="O66" s="173" t="s">
        <v>851</v>
      </c>
      <c r="P66" s="173"/>
      <c r="Q66" s="474"/>
      <c r="R66" s="519">
        <v>50800</v>
      </c>
      <c r="S66" s="519">
        <v>56200</v>
      </c>
      <c r="W66" s="350"/>
      <c r="X66" s="350"/>
      <c r="Y66" s="350"/>
      <c r="AP66" s="350"/>
      <c r="AQ66" s="350"/>
    </row>
    <row r="67" spans="1:43" x14ac:dyDescent="0.2">
      <c r="A67" s="485"/>
      <c r="B67" s="473"/>
      <c r="C67" s="489" t="s">
        <v>689</v>
      </c>
      <c r="D67" s="489"/>
      <c r="E67" s="489"/>
      <c r="F67" s="489"/>
      <c r="G67" s="490">
        <v>3214704.3894087286</v>
      </c>
      <c r="H67" s="490">
        <v>4516016.5217166375</v>
      </c>
      <c r="I67" s="999">
        <v>-4</v>
      </c>
      <c r="J67" s="999">
        <v>-4</v>
      </c>
      <c r="K67" s="214"/>
      <c r="M67" s="473"/>
      <c r="N67" s="489" t="s">
        <v>689</v>
      </c>
      <c r="O67" s="489"/>
      <c r="P67" s="489"/>
      <c r="Q67" s="489"/>
      <c r="R67" s="665">
        <v>3210000</v>
      </c>
      <c r="S67" s="665">
        <v>4520000</v>
      </c>
      <c r="W67" s="350"/>
      <c r="X67" s="350"/>
      <c r="Y67" s="350"/>
      <c r="AP67" s="350"/>
      <c r="AQ67" s="350"/>
    </row>
    <row r="68" spans="1:43" x14ac:dyDescent="0.2">
      <c r="A68" s="491"/>
      <c r="B68" s="651" t="s">
        <v>710</v>
      </c>
      <c r="C68" s="652"/>
      <c r="D68" s="652"/>
      <c r="E68" s="652"/>
      <c r="F68" s="652"/>
      <c r="G68" s="670"/>
      <c r="H68" s="670"/>
      <c r="I68" s="999">
        <v>0</v>
      </c>
      <c r="J68" s="999">
        <v>0</v>
      </c>
      <c r="K68" s="418"/>
      <c r="M68" s="651" t="s">
        <v>710</v>
      </c>
      <c r="N68" s="652"/>
      <c r="O68" s="652"/>
      <c r="P68" s="652"/>
      <c r="Q68" s="652"/>
      <c r="R68" s="653"/>
      <c r="S68" s="653"/>
      <c r="W68" s="350"/>
      <c r="X68" s="350"/>
      <c r="Y68" s="350"/>
      <c r="AP68" s="350"/>
      <c r="AQ68" s="350"/>
    </row>
    <row r="69" spans="1:43" x14ac:dyDescent="0.2">
      <c r="A69" s="485"/>
      <c r="B69" s="473"/>
      <c r="C69" s="331"/>
      <c r="D69" s="286" t="s">
        <v>870</v>
      </c>
      <c r="E69" s="331"/>
      <c r="F69" s="331"/>
      <c r="G69" s="241">
        <v>214235.46650713612</v>
      </c>
      <c r="H69" s="241">
        <v>212784.80998784158</v>
      </c>
      <c r="I69" s="999">
        <v>-3</v>
      </c>
      <c r="J69" s="999">
        <v>-3</v>
      </c>
      <c r="K69" s="418"/>
      <c r="M69" s="473"/>
      <c r="N69" s="331"/>
      <c r="O69" s="286" t="s">
        <v>870</v>
      </c>
      <c r="P69" s="331"/>
      <c r="Q69" s="331"/>
      <c r="R69" s="519">
        <v>214000</v>
      </c>
      <c r="S69" s="519">
        <v>213000</v>
      </c>
      <c r="W69" s="350"/>
      <c r="X69" s="350"/>
      <c r="Y69" s="350"/>
      <c r="AP69" s="350"/>
      <c r="AQ69" s="350"/>
    </row>
    <row r="70" spans="1:43" x14ac:dyDescent="0.2">
      <c r="A70" s="485"/>
      <c r="B70" s="473"/>
      <c r="C70" s="331"/>
      <c r="D70" s="286" t="s">
        <v>13</v>
      </c>
      <c r="E70" s="331"/>
      <c r="F70" s="331"/>
      <c r="G70" s="241">
        <v>3693.0787502028761</v>
      </c>
      <c r="H70" s="241">
        <v>3931.9916906143217</v>
      </c>
      <c r="I70" s="999">
        <v>-1</v>
      </c>
      <c r="J70" s="999">
        <v>-1</v>
      </c>
      <c r="K70" s="418"/>
      <c r="M70" s="473"/>
      <c r="N70" s="331"/>
      <c r="O70" s="286" t="s">
        <v>13</v>
      </c>
      <c r="P70" s="331"/>
      <c r="Q70" s="331"/>
      <c r="R70" s="519">
        <v>3690</v>
      </c>
      <c r="S70" s="519">
        <v>3930</v>
      </c>
      <c r="W70" s="350"/>
      <c r="X70" s="350"/>
      <c r="Y70" s="350"/>
      <c r="AP70" s="350"/>
      <c r="AQ70" s="350"/>
    </row>
    <row r="71" spans="1:43" x14ac:dyDescent="0.2">
      <c r="A71" s="485"/>
      <c r="B71" s="473"/>
      <c r="C71" s="489" t="s">
        <v>689</v>
      </c>
      <c r="D71" s="489"/>
      <c r="E71" s="489"/>
      <c r="F71" s="489"/>
      <c r="G71" s="490">
        <v>217928.54525733899</v>
      </c>
      <c r="H71" s="490">
        <v>216716.8016784559</v>
      </c>
      <c r="I71" s="999">
        <v>-3</v>
      </c>
      <c r="J71" s="999">
        <v>-3</v>
      </c>
      <c r="K71" s="214"/>
      <c r="M71" s="473"/>
      <c r="N71" s="489" t="s">
        <v>689</v>
      </c>
      <c r="O71" s="489"/>
      <c r="P71" s="489"/>
      <c r="Q71" s="489"/>
      <c r="R71" s="665">
        <v>218000</v>
      </c>
      <c r="S71" s="665">
        <v>217000</v>
      </c>
      <c r="W71" s="350"/>
      <c r="X71" s="350"/>
      <c r="Y71" s="350"/>
      <c r="AP71" s="350"/>
      <c r="AQ71" s="350"/>
    </row>
    <row r="72" spans="1:43" x14ac:dyDescent="0.2">
      <c r="A72" s="485"/>
      <c r="B72" s="604" t="s">
        <v>755</v>
      </c>
      <c r="C72" s="605"/>
      <c r="D72" s="605"/>
      <c r="E72" s="605"/>
      <c r="F72" s="605"/>
      <c r="G72" s="671"/>
      <c r="H72" s="671"/>
      <c r="I72" s="999"/>
      <c r="J72" s="999"/>
      <c r="K72" s="418"/>
      <c r="M72" s="604" t="s">
        <v>755</v>
      </c>
      <c r="N72" s="605"/>
      <c r="O72" s="605"/>
      <c r="P72" s="605"/>
      <c r="Q72" s="605"/>
      <c r="R72" s="606"/>
      <c r="S72" s="606"/>
      <c r="W72" s="350"/>
      <c r="X72" s="350"/>
      <c r="Y72" s="350"/>
      <c r="AP72" s="350"/>
      <c r="AQ72" s="350"/>
    </row>
    <row r="73" spans="1:43" x14ac:dyDescent="0.2">
      <c r="A73" s="485"/>
      <c r="B73" s="473"/>
      <c r="C73" s="286" t="s">
        <v>732</v>
      </c>
      <c r="E73" s="331"/>
      <c r="F73" s="331"/>
      <c r="G73" s="241">
        <v>52395.657299999999</v>
      </c>
      <c r="H73" s="241">
        <v>56590.1578128275</v>
      </c>
      <c r="I73" s="999">
        <v>-2</v>
      </c>
      <c r="J73" s="999">
        <v>-2</v>
      </c>
      <c r="K73" s="418"/>
      <c r="M73" s="473"/>
      <c r="N73" s="286" t="s">
        <v>732</v>
      </c>
      <c r="P73" s="331"/>
      <c r="Q73" s="331"/>
      <c r="R73" s="519">
        <v>52400</v>
      </c>
      <c r="S73" s="519">
        <v>56600</v>
      </c>
      <c r="W73" s="350"/>
      <c r="X73" s="350"/>
      <c r="Y73" s="350"/>
      <c r="AP73" s="350"/>
      <c r="AQ73" s="350"/>
    </row>
    <row r="74" spans="1:43" x14ac:dyDescent="0.2">
      <c r="A74" s="485"/>
      <c r="B74" s="473"/>
      <c r="C74" s="286" t="s">
        <v>731</v>
      </c>
      <c r="E74" s="331"/>
      <c r="F74" s="331"/>
      <c r="G74" s="241">
        <v>84659.819800961515</v>
      </c>
      <c r="H74" s="241">
        <v>94432.705838738912</v>
      </c>
      <c r="I74" s="999">
        <v>-2</v>
      </c>
      <c r="J74" s="999">
        <v>-2</v>
      </c>
      <c r="K74" s="418"/>
      <c r="M74" s="473"/>
      <c r="N74" s="286" t="s">
        <v>731</v>
      </c>
      <c r="P74" s="331"/>
      <c r="Q74" s="331"/>
      <c r="R74" s="519">
        <v>84700</v>
      </c>
      <c r="S74" s="519">
        <v>94400</v>
      </c>
      <c r="W74" s="350"/>
      <c r="X74" s="350"/>
      <c r="Y74" s="350"/>
      <c r="AP74" s="350"/>
      <c r="AQ74" s="350"/>
    </row>
    <row r="75" spans="1:43" x14ac:dyDescent="0.2">
      <c r="A75" s="485"/>
      <c r="B75" s="473"/>
      <c r="C75" s="286" t="s">
        <v>850</v>
      </c>
      <c r="E75" s="331"/>
      <c r="F75" s="331"/>
      <c r="G75" s="241">
        <v>7451.6379772401069</v>
      </c>
      <c r="H75" s="241">
        <v>6488.2056724530139</v>
      </c>
      <c r="I75" s="999">
        <v>-1</v>
      </c>
      <c r="J75" s="999">
        <v>-1</v>
      </c>
      <c r="K75" s="418"/>
      <c r="M75" s="473"/>
      <c r="N75" s="286" t="s">
        <v>850</v>
      </c>
      <c r="P75" s="331"/>
      <c r="Q75" s="331"/>
      <c r="R75" s="519">
        <v>7450</v>
      </c>
      <c r="S75" s="519">
        <v>6490</v>
      </c>
      <c r="W75" s="350"/>
      <c r="X75" s="350"/>
      <c r="Y75" s="350"/>
      <c r="AP75" s="350"/>
      <c r="AQ75" s="350"/>
    </row>
    <row r="76" spans="1:43" x14ac:dyDescent="0.2">
      <c r="A76" s="485"/>
      <c r="B76" s="473"/>
      <c r="C76" s="489" t="s">
        <v>689</v>
      </c>
      <c r="D76" s="489"/>
      <c r="E76" s="489"/>
      <c r="F76" s="489"/>
      <c r="G76" s="490">
        <v>144507.11507820163</v>
      </c>
      <c r="H76" s="490">
        <v>157511.06932401942</v>
      </c>
      <c r="I76" s="999">
        <v>-3</v>
      </c>
      <c r="J76" s="999">
        <v>-3</v>
      </c>
      <c r="K76" s="418"/>
      <c r="M76" s="473"/>
      <c r="N76" s="286" t="s">
        <v>689</v>
      </c>
      <c r="P76" s="331"/>
      <c r="Q76" s="331"/>
      <c r="R76" s="256">
        <v>145000</v>
      </c>
      <c r="S76" s="256">
        <v>158000</v>
      </c>
      <c r="W76" s="350"/>
      <c r="X76" s="350"/>
      <c r="Y76" s="350"/>
      <c r="AP76" s="350"/>
      <c r="AQ76" s="350"/>
    </row>
    <row r="77" spans="1:43" x14ac:dyDescent="0.2">
      <c r="A77" s="485"/>
      <c r="B77" s="654" t="s">
        <v>955</v>
      </c>
      <c r="C77" s="655"/>
      <c r="D77" s="655"/>
      <c r="E77" s="655"/>
      <c r="F77" s="655"/>
      <c r="G77" s="672"/>
      <c r="H77" s="672"/>
      <c r="I77" s="999"/>
      <c r="J77" s="999"/>
      <c r="K77" s="418"/>
      <c r="M77" s="654" t="s">
        <v>955</v>
      </c>
      <c r="N77" s="655"/>
      <c r="O77" s="655"/>
      <c r="P77" s="655"/>
      <c r="Q77" s="655"/>
      <c r="R77" s="656"/>
      <c r="S77" s="656"/>
      <c r="W77" s="350"/>
      <c r="X77" s="350"/>
      <c r="Y77" s="350"/>
      <c r="AP77" s="350"/>
      <c r="AQ77" s="350"/>
    </row>
    <row r="78" spans="1:43" x14ac:dyDescent="0.2">
      <c r="A78" s="485"/>
      <c r="B78" s="473"/>
      <c r="C78" s="286" t="s">
        <v>956</v>
      </c>
      <c r="E78" s="331"/>
      <c r="F78" s="331"/>
      <c r="G78" s="241">
        <v>122780.83821320487</v>
      </c>
      <c r="H78" s="241">
        <v>53277.493728684618</v>
      </c>
      <c r="I78" s="999">
        <v>-3</v>
      </c>
      <c r="J78" s="999">
        <v>-2</v>
      </c>
      <c r="K78" s="418"/>
      <c r="M78" s="473"/>
      <c r="N78" s="286" t="s">
        <v>956</v>
      </c>
      <c r="P78" s="331"/>
      <c r="Q78" s="331"/>
      <c r="R78" s="519">
        <v>123000</v>
      </c>
      <c r="S78" s="519">
        <v>53300</v>
      </c>
      <c r="W78" s="350"/>
      <c r="X78" s="350"/>
      <c r="Y78" s="350"/>
      <c r="AP78" s="350"/>
      <c r="AQ78" s="350"/>
    </row>
    <row r="79" spans="1:43" x14ac:dyDescent="0.2">
      <c r="A79" s="485"/>
      <c r="B79" s="473"/>
      <c r="C79" s="489" t="s">
        <v>689</v>
      </c>
      <c r="D79" s="489"/>
      <c r="E79" s="489"/>
      <c r="F79" s="489"/>
      <c r="G79" s="490">
        <v>122780.83821320487</v>
      </c>
      <c r="H79" s="490">
        <v>53277.493728684618</v>
      </c>
      <c r="I79" s="999">
        <v>-3</v>
      </c>
      <c r="J79" s="999">
        <v>-2</v>
      </c>
      <c r="K79" s="418"/>
      <c r="M79" s="473"/>
      <c r="N79" s="286" t="s">
        <v>689</v>
      </c>
      <c r="P79" s="331"/>
      <c r="Q79" s="331"/>
      <c r="R79" s="519">
        <v>123000</v>
      </c>
      <c r="S79" s="519">
        <v>53300</v>
      </c>
      <c r="W79" s="350"/>
      <c r="X79" s="350"/>
      <c r="Y79" s="350"/>
      <c r="AP79" s="350"/>
      <c r="AQ79" s="350"/>
    </row>
    <row r="80" spans="1:43" ht="12.75" thickBot="1" x14ac:dyDescent="0.25">
      <c r="A80" s="485"/>
      <c r="B80" s="638" t="s">
        <v>875</v>
      </c>
      <c r="C80" s="639"/>
      <c r="D80" s="639"/>
      <c r="E80" s="639"/>
      <c r="F80" s="639"/>
      <c r="G80" s="673">
        <v>22372022.439044189</v>
      </c>
      <c r="H80" s="673">
        <v>24477733.119451731</v>
      </c>
      <c r="I80" s="999">
        <v>-5</v>
      </c>
      <c r="J80" s="999">
        <v>-5</v>
      </c>
      <c r="K80" s="1011">
        <v>2.1057106804075429</v>
      </c>
      <c r="L80" s="917">
        <v>9.4122499927972808E-2</v>
      </c>
      <c r="M80" s="638" t="s">
        <v>875</v>
      </c>
      <c r="N80" s="639"/>
      <c r="O80" s="639"/>
      <c r="P80" s="639"/>
      <c r="Q80" s="639"/>
      <c r="R80" s="640">
        <v>22400000</v>
      </c>
      <c r="S80" s="640">
        <v>24500000</v>
      </c>
      <c r="T80" s="603"/>
      <c r="W80" s="350"/>
      <c r="X80" s="350"/>
      <c r="Y80" s="350"/>
      <c r="AP80" s="350"/>
      <c r="AQ80" s="350"/>
    </row>
    <row r="81" spans="1:232" s="416" customFormat="1" ht="12" customHeight="1" x14ac:dyDescent="0.2">
      <c r="A81" s="331"/>
      <c r="B81" s="286"/>
      <c r="C81" s="331"/>
      <c r="D81" s="500"/>
      <c r="E81" s="331"/>
      <c r="F81" s="331"/>
      <c r="G81" s="331"/>
      <c r="H81" s="255"/>
      <c r="I81" s="1001"/>
      <c r="J81" s="1002"/>
      <c r="K81" s="214"/>
      <c r="N81" s="279"/>
      <c r="O81" s="279"/>
      <c r="P81" s="214"/>
      <c r="Q81" s="214"/>
      <c r="R81" s="501"/>
      <c r="S81" s="502"/>
    </row>
    <row r="82" spans="1:232" s="416" customFormat="1" ht="12" customHeight="1" x14ac:dyDescent="0.2">
      <c r="A82" s="331"/>
      <c r="B82" s="286"/>
      <c r="C82" s="331"/>
      <c r="D82" s="500"/>
      <c r="E82" s="331"/>
      <c r="F82" s="331"/>
      <c r="G82" s="331"/>
      <c r="H82" s="255"/>
      <c r="I82" s="1001"/>
      <c r="J82" s="1002"/>
      <c r="K82" s="214"/>
      <c r="R82" s="418"/>
    </row>
    <row r="83" spans="1:232" s="629" customFormat="1" x14ac:dyDescent="0.2">
      <c r="A83" s="623" t="s">
        <v>699</v>
      </c>
      <c r="B83" s="624"/>
      <c r="C83" s="624"/>
      <c r="D83" s="624"/>
      <c r="E83" s="624"/>
      <c r="F83" s="625"/>
      <c r="G83" s="624"/>
      <c r="H83" s="624"/>
      <c r="I83" s="1003"/>
      <c r="J83" s="1003"/>
      <c r="K83" s="626"/>
      <c r="L83" s="626"/>
      <c r="M83" s="626"/>
      <c r="N83" s="626"/>
      <c r="O83" s="626"/>
      <c r="P83" s="626"/>
      <c r="Q83" s="626"/>
      <c r="R83" s="626"/>
      <c r="S83" s="626"/>
      <c r="T83" s="626"/>
      <c r="U83" s="626"/>
      <c r="V83" s="623"/>
      <c r="W83" s="624"/>
      <c r="X83" s="624"/>
      <c r="Y83" s="624"/>
      <c r="Z83" s="624"/>
      <c r="AA83" s="625"/>
      <c r="AB83" s="624"/>
      <c r="AC83" s="624"/>
      <c r="AD83" s="626"/>
      <c r="AE83" s="626"/>
      <c r="AF83" s="626"/>
      <c r="AG83" s="626"/>
      <c r="AH83" s="626"/>
      <c r="AI83" s="626"/>
      <c r="AJ83" s="626"/>
      <c r="AK83" s="626"/>
      <c r="AL83" s="626"/>
      <c r="AM83" s="626"/>
      <c r="AN83" s="626"/>
      <c r="AO83" s="626"/>
      <c r="AP83" s="626"/>
      <c r="AQ83" s="623"/>
      <c r="AR83" s="623"/>
      <c r="AS83" s="624"/>
      <c r="AT83" s="624"/>
      <c r="AU83" s="627"/>
      <c r="AV83" s="627"/>
      <c r="AW83" s="628"/>
      <c r="AX83" s="624"/>
      <c r="AY83" s="624"/>
      <c r="AZ83" s="626"/>
      <c r="BA83" s="626"/>
      <c r="BB83" s="626"/>
      <c r="BC83" s="623"/>
      <c r="BD83" s="623"/>
      <c r="BE83" s="624"/>
      <c r="BF83" s="624"/>
      <c r="BG83" s="627"/>
      <c r="BH83" s="627"/>
      <c r="BI83" s="628"/>
      <c r="BJ83" s="624"/>
      <c r="BK83" s="624"/>
      <c r="BL83" s="624"/>
      <c r="BM83" s="624"/>
      <c r="BN83" s="624"/>
      <c r="BO83" s="624"/>
      <c r="BP83" s="624"/>
      <c r="BQ83" s="624"/>
      <c r="BR83" s="624"/>
      <c r="BS83" s="624"/>
      <c r="BT83" s="624"/>
      <c r="BU83" s="626"/>
      <c r="BV83" s="626"/>
      <c r="BW83" s="626"/>
      <c r="BX83" s="626"/>
      <c r="BY83" s="626"/>
      <c r="BZ83" s="626"/>
      <c r="CA83" s="626"/>
      <c r="CB83" s="626"/>
      <c r="CC83" s="626"/>
      <c r="CD83" s="626"/>
      <c r="CE83" s="626"/>
      <c r="CF83" s="626"/>
      <c r="CG83" s="626"/>
      <c r="CH83" s="626"/>
      <c r="CI83" s="623"/>
      <c r="CJ83" s="624"/>
      <c r="CK83" s="624"/>
      <c r="CL83" s="624"/>
      <c r="CM83" s="624"/>
      <c r="CN83" s="625"/>
      <c r="CO83" s="624"/>
      <c r="CP83" s="624"/>
      <c r="CQ83" s="626"/>
      <c r="CR83" s="626"/>
      <c r="CS83" s="626"/>
      <c r="CT83" s="626"/>
      <c r="CU83" s="626"/>
      <c r="CV83" s="626"/>
      <c r="CW83" s="626"/>
      <c r="CX83" s="626"/>
      <c r="CY83" s="626"/>
      <c r="CZ83" s="626"/>
      <c r="DA83" s="626"/>
      <c r="DB83" s="626"/>
      <c r="DC83" s="626"/>
      <c r="DD83" s="626"/>
      <c r="DE83" s="623"/>
      <c r="DF83" s="624"/>
      <c r="DG83" s="624"/>
      <c r="DH83" s="624"/>
      <c r="DI83" s="624"/>
      <c r="DJ83" s="625"/>
      <c r="DK83" s="624"/>
      <c r="DL83" s="624"/>
      <c r="DM83" s="626"/>
      <c r="DN83" s="626"/>
      <c r="DO83" s="626"/>
      <c r="DP83" s="626"/>
      <c r="DQ83" s="626"/>
      <c r="DR83" s="626"/>
      <c r="DS83" s="626"/>
      <c r="DT83" s="626"/>
      <c r="DU83" s="626"/>
      <c r="DV83" s="626"/>
      <c r="DW83" s="626"/>
      <c r="DX83" s="626"/>
      <c r="DY83" s="626"/>
      <c r="DZ83" s="626"/>
      <c r="EA83" s="623"/>
      <c r="EB83" s="624"/>
      <c r="EC83" s="624"/>
      <c r="ED83" s="624"/>
      <c r="EE83" s="624"/>
      <c r="EF83" s="625"/>
      <c r="EG83" s="624"/>
      <c r="EH83" s="624"/>
      <c r="EI83" s="626"/>
      <c r="EJ83" s="626"/>
      <c r="EK83" s="626"/>
      <c r="EL83" s="626"/>
      <c r="EM83" s="626"/>
      <c r="EN83" s="626"/>
      <c r="EO83" s="626"/>
      <c r="EP83" s="626"/>
      <c r="EQ83" s="626"/>
      <c r="ER83" s="626"/>
      <c r="ES83" s="626"/>
      <c r="ET83" s="626"/>
      <c r="EU83" s="626"/>
      <c r="EV83" s="626"/>
      <c r="EW83" s="623"/>
      <c r="EX83" s="624"/>
      <c r="EY83" s="624"/>
      <c r="EZ83" s="624"/>
      <c r="FA83" s="624"/>
      <c r="FB83" s="625"/>
      <c r="FC83" s="624"/>
      <c r="FD83" s="624"/>
      <c r="FE83" s="626"/>
      <c r="FF83" s="626"/>
      <c r="FG83" s="626"/>
      <c r="FH83" s="626"/>
      <c r="FI83" s="626"/>
      <c r="FJ83" s="626"/>
      <c r="FK83" s="626"/>
      <c r="FL83" s="626"/>
      <c r="FM83" s="626"/>
      <c r="FN83" s="626"/>
      <c r="FO83" s="626"/>
      <c r="FP83" s="626"/>
      <c r="FQ83" s="626"/>
      <c r="FR83" s="626"/>
      <c r="FS83" s="623"/>
      <c r="FT83" s="624"/>
      <c r="FU83" s="624"/>
      <c r="FV83" s="624"/>
      <c r="FW83" s="624"/>
      <c r="FX83" s="625"/>
      <c r="FY83" s="624"/>
      <c r="FZ83" s="624"/>
      <c r="GA83" s="626"/>
      <c r="GB83" s="626"/>
      <c r="GC83" s="626"/>
      <c r="GD83" s="626"/>
      <c r="GE83" s="626"/>
      <c r="GF83" s="626"/>
      <c r="GG83" s="626"/>
      <c r="GH83" s="626"/>
      <c r="GI83" s="626"/>
      <c r="GJ83" s="626"/>
      <c r="GK83" s="626"/>
      <c r="GL83" s="626"/>
      <c r="GM83" s="626"/>
      <c r="GN83" s="626"/>
      <c r="GO83" s="623"/>
      <c r="GP83" s="624"/>
      <c r="GQ83" s="624"/>
      <c r="GR83" s="624"/>
      <c r="GS83" s="624"/>
      <c r="GT83" s="625"/>
      <c r="GU83" s="624"/>
      <c r="GV83" s="624"/>
      <c r="GW83" s="626"/>
      <c r="GX83" s="626"/>
      <c r="GY83" s="626"/>
      <c r="GZ83" s="626"/>
      <c r="HA83" s="626"/>
      <c r="HB83" s="626"/>
      <c r="HC83" s="626"/>
      <c r="HD83" s="626"/>
      <c r="HE83" s="626"/>
      <c r="HF83" s="626"/>
      <c r="HG83" s="626"/>
      <c r="HH83" s="626"/>
      <c r="HI83" s="626"/>
      <c r="HJ83" s="626"/>
      <c r="HK83" s="623"/>
      <c r="HL83" s="624"/>
      <c r="HM83" s="624"/>
      <c r="HN83" s="624"/>
      <c r="HO83" s="624"/>
      <c r="HP83" s="625"/>
      <c r="HQ83" s="624"/>
      <c r="HR83" s="624"/>
      <c r="HS83" s="626"/>
      <c r="HT83" s="626"/>
      <c r="HU83" s="626"/>
      <c r="HV83" s="626"/>
      <c r="HW83" s="626"/>
      <c r="HX83" s="626"/>
    </row>
    <row r="84" spans="1:232" x14ac:dyDescent="0.2">
      <c r="G84" s="350"/>
      <c r="I84" s="999"/>
      <c r="J84" s="999"/>
      <c r="W84" s="350"/>
      <c r="X84" s="350"/>
      <c r="Y84" s="350"/>
      <c r="AP84" s="350"/>
      <c r="AQ84" s="350"/>
    </row>
    <row r="85" spans="1:232" x14ac:dyDescent="0.2">
      <c r="A85" s="271" t="s">
        <v>700</v>
      </c>
      <c r="B85" s="169"/>
      <c r="C85" s="338"/>
      <c r="D85" s="338"/>
      <c r="E85" s="74"/>
      <c r="F85" s="74"/>
      <c r="G85" s="350"/>
      <c r="I85" s="999"/>
      <c r="J85" s="999"/>
      <c r="N85" s="271" t="s">
        <v>700</v>
      </c>
      <c r="O85" s="169"/>
      <c r="W85" s="350"/>
      <c r="X85" s="350"/>
      <c r="Y85" s="350"/>
      <c r="AP85" s="350"/>
      <c r="AQ85" s="350"/>
    </row>
    <row r="86" spans="1:232" ht="12.75" thickBot="1" x14ac:dyDescent="0.25">
      <c r="A86" s="159"/>
      <c r="G86" s="350"/>
      <c r="I86" s="999"/>
      <c r="J86" s="1000"/>
      <c r="W86" s="350"/>
      <c r="X86" s="350"/>
      <c r="Y86" s="350"/>
      <c r="AP86" s="350"/>
      <c r="AQ86" s="350"/>
    </row>
    <row r="87" spans="1:232" ht="14.25" customHeight="1" thickTop="1" x14ac:dyDescent="0.25">
      <c r="F87" s="364"/>
      <c r="G87" s="1778" t="s">
        <v>55</v>
      </c>
      <c r="H87" s="1778"/>
      <c r="I87" s="999"/>
      <c r="J87" s="1000"/>
      <c r="N87" s="159"/>
      <c r="P87" s="141"/>
      <c r="Q87" s="141"/>
      <c r="R87" s="1778" t="s">
        <v>55</v>
      </c>
      <c r="S87" s="1778"/>
      <c r="W87" s="350"/>
      <c r="X87" s="350"/>
      <c r="Y87" s="350"/>
      <c r="AP87" s="350"/>
      <c r="AQ87" s="350"/>
    </row>
    <row r="88" spans="1:232" x14ac:dyDescent="0.2">
      <c r="F88" s="365"/>
      <c r="G88" s="421">
        <v>2003</v>
      </c>
      <c r="H88" s="421">
        <v>2008</v>
      </c>
      <c r="I88" s="999"/>
      <c r="J88" s="1000"/>
      <c r="P88" s="161"/>
      <c r="Q88" s="161"/>
      <c r="R88" s="335">
        <v>2003</v>
      </c>
      <c r="S88" s="335">
        <v>2008</v>
      </c>
      <c r="W88" s="350"/>
      <c r="X88" s="350"/>
      <c r="Y88" s="350"/>
      <c r="AP88" s="350"/>
      <c r="AQ88" s="350"/>
    </row>
    <row r="89" spans="1:232" x14ac:dyDescent="0.2">
      <c r="F89" s="422" t="s">
        <v>711</v>
      </c>
      <c r="G89" s="802">
        <v>3076682.7195889056</v>
      </c>
      <c r="H89" s="802">
        <v>3115451.630561586</v>
      </c>
      <c r="I89" s="999">
        <v>-4</v>
      </c>
      <c r="J89" s="999">
        <v>-4</v>
      </c>
      <c r="P89" s="424" t="s">
        <v>711</v>
      </c>
      <c r="Q89" s="426"/>
      <c r="R89" s="423">
        <v>3080000</v>
      </c>
      <c r="S89" s="423">
        <v>3120000</v>
      </c>
      <c r="W89" s="350"/>
      <c r="X89" s="350"/>
      <c r="Y89" s="350"/>
      <c r="AP89" s="350"/>
      <c r="AQ89" s="350"/>
    </row>
    <row r="90" spans="1:232" x14ac:dyDescent="0.2">
      <c r="F90" s="422" t="s">
        <v>702</v>
      </c>
      <c r="G90" s="802">
        <v>121023.21678847107</v>
      </c>
      <c r="H90" s="802">
        <v>112679.09272403718</v>
      </c>
      <c r="I90" s="999">
        <v>-3</v>
      </c>
      <c r="J90" s="999">
        <v>-3</v>
      </c>
      <c r="P90" s="424" t="s">
        <v>702</v>
      </c>
      <c r="Q90" s="426"/>
      <c r="R90" s="423">
        <v>121000</v>
      </c>
      <c r="S90" s="423">
        <v>113000</v>
      </c>
      <c r="W90" s="350"/>
      <c r="X90" s="350"/>
      <c r="Y90" s="350"/>
      <c r="AP90" s="350"/>
      <c r="AQ90" s="350"/>
    </row>
    <row r="91" spans="1:232" x14ac:dyDescent="0.2">
      <c r="F91" s="422" t="s">
        <v>684</v>
      </c>
      <c r="G91" s="802">
        <v>5963832.73751067</v>
      </c>
      <c r="H91" s="802">
        <v>5633434.8276841715</v>
      </c>
      <c r="I91" s="999">
        <v>-4</v>
      </c>
      <c r="J91" s="999">
        <v>-4</v>
      </c>
      <c r="P91" s="424" t="s">
        <v>684</v>
      </c>
      <c r="Q91" s="426"/>
      <c r="R91" s="423">
        <v>5960000</v>
      </c>
      <c r="S91" s="423">
        <v>5630000</v>
      </c>
      <c r="W91" s="350"/>
      <c r="X91" s="350"/>
      <c r="Y91" s="350"/>
      <c r="AP91" s="350"/>
      <c r="AQ91" s="350"/>
    </row>
    <row r="92" spans="1:232" x14ac:dyDescent="0.2">
      <c r="F92" s="422" t="s">
        <v>692</v>
      </c>
      <c r="G92" s="806">
        <v>7038.1640553379557</v>
      </c>
      <c r="H92" s="806">
        <v>6258.7856325154926</v>
      </c>
      <c r="I92" s="999">
        <v>-1</v>
      </c>
      <c r="J92" s="999">
        <v>-1</v>
      </c>
      <c r="P92" s="424" t="s">
        <v>692</v>
      </c>
      <c r="Q92" s="426"/>
      <c r="R92" s="427">
        <v>7040</v>
      </c>
      <c r="S92" s="427">
        <v>6260</v>
      </c>
      <c r="W92" s="350"/>
      <c r="X92" s="350"/>
      <c r="Y92" s="350"/>
      <c r="AP92" s="350"/>
      <c r="AQ92" s="350"/>
    </row>
    <row r="93" spans="1:232" ht="12.75" thickBot="1" x14ac:dyDescent="0.25">
      <c r="F93" s="368" t="s">
        <v>693</v>
      </c>
      <c r="G93" s="820">
        <v>9168576.8379433844</v>
      </c>
      <c r="H93" s="820">
        <v>8867824.3366023097</v>
      </c>
      <c r="I93" s="999">
        <v>-4</v>
      </c>
      <c r="J93" s="999">
        <v>-4</v>
      </c>
      <c r="P93" s="166" t="s">
        <v>693</v>
      </c>
      <c r="Q93" s="166"/>
      <c r="R93" s="428">
        <v>9170000</v>
      </c>
      <c r="S93" s="428">
        <v>8870000</v>
      </c>
      <c r="W93" s="350"/>
      <c r="X93" s="350"/>
      <c r="Y93" s="350"/>
      <c r="AP93" s="350"/>
      <c r="AQ93" s="350"/>
    </row>
    <row r="94" spans="1:232" ht="12.75" thickTop="1" x14ac:dyDescent="0.2">
      <c r="A94" s="159"/>
      <c r="F94" s="429"/>
      <c r="G94" s="429" t="b">
        <v>1</v>
      </c>
      <c r="H94" s="429" t="b">
        <v>1</v>
      </c>
      <c r="I94" s="999"/>
      <c r="J94" s="999"/>
      <c r="P94" s="429"/>
      <c r="Q94" s="429"/>
      <c r="R94" s="429"/>
      <c r="S94" s="429"/>
      <c r="W94" s="350"/>
      <c r="X94" s="350"/>
      <c r="Y94" s="350"/>
      <c r="AP94" s="350"/>
      <c r="AQ94" s="350"/>
    </row>
    <row r="95" spans="1:232" x14ac:dyDescent="0.2">
      <c r="A95" s="143" t="s">
        <v>847</v>
      </c>
      <c r="B95" s="75"/>
      <c r="C95" s="75"/>
      <c r="D95" s="75"/>
      <c r="E95" s="75"/>
      <c r="F95" s="75"/>
      <c r="G95" s="350"/>
      <c r="I95" s="999"/>
      <c r="J95" s="999"/>
      <c r="N95" s="143" t="s">
        <v>847</v>
      </c>
      <c r="O95" s="75"/>
      <c r="P95" s="75"/>
      <c r="W95" s="350"/>
      <c r="X95" s="350"/>
      <c r="Y95" s="350"/>
      <c r="AP95" s="350"/>
      <c r="AQ95" s="350"/>
    </row>
    <row r="96" spans="1:232" ht="12.75" thickBot="1" x14ac:dyDescent="0.25">
      <c r="A96" s="159"/>
      <c r="G96" s="350"/>
      <c r="I96" s="999"/>
      <c r="J96" s="999"/>
      <c r="W96" s="350"/>
      <c r="X96" s="350"/>
      <c r="Y96" s="350"/>
      <c r="AP96" s="350"/>
      <c r="AQ96" s="350"/>
    </row>
    <row r="97" spans="1:43" ht="14.25" customHeight="1" thickTop="1" x14ac:dyDescent="0.25">
      <c r="F97" s="364"/>
      <c r="G97" s="1778" t="s">
        <v>55</v>
      </c>
      <c r="H97" s="1778"/>
      <c r="I97" s="999"/>
      <c r="J97" s="999"/>
      <c r="N97" s="159"/>
      <c r="P97" s="141"/>
      <c r="Q97" s="141"/>
      <c r="R97" s="1778" t="s">
        <v>55</v>
      </c>
      <c r="S97" s="1778"/>
      <c r="W97" s="350"/>
      <c r="X97" s="350"/>
      <c r="Y97" s="350"/>
      <c r="AP97" s="350"/>
      <c r="AQ97" s="350"/>
    </row>
    <row r="98" spans="1:43" x14ac:dyDescent="0.2">
      <c r="F98" s="365"/>
      <c r="G98" s="421">
        <v>2003</v>
      </c>
      <c r="H98" s="421" t="s">
        <v>127</v>
      </c>
      <c r="I98" s="999"/>
      <c r="J98" s="999"/>
      <c r="P98" s="161"/>
      <c r="Q98" s="161"/>
      <c r="R98" s="421">
        <v>2003</v>
      </c>
      <c r="S98" s="421" t="s">
        <v>127</v>
      </c>
      <c r="W98" s="350"/>
      <c r="X98" s="350"/>
      <c r="Y98" s="350"/>
      <c r="AP98" s="350"/>
      <c r="AQ98" s="350"/>
    </row>
    <row r="99" spans="1:43" x14ac:dyDescent="0.2">
      <c r="F99" s="422" t="s">
        <v>685</v>
      </c>
      <c r="G99" s="802">
        <v>1307.6914887476212</v>
      </c>
      <c r="H99" s="802">
        <v>1392.288769190274</v>
      </c>
      <c r="I99" s="999">
        <v>-1</v>
      </c>
      <c r="J99" s="999">
        <v>-1</v>
      </c>
      <c r="P99" s="426" t="s">
        <v>685</v>
      </c>
      <c r="Q99" s="426"/>
      <c r="R99" s="430">
        <v>1310</v>
      </c>
      <c r="S99" s="430">
        <v>1390</v>
      </c>
      <c r="W99" s="350"/>
      <c r="X99" s="350"/>
      <c r="Y99" s="350"/>
      <c r="AP99" s="350"/>
      <c r="AQ99" s="350"/>
    </row>
    <row r="100" spans="1:43" x14ac:dyDescent="0.2">
      <c r="F100" s="422" t="s">
        <v>686</v>
      </c>
      <c r="G100" s="802">
        <v>6329.1068167986814</v>
      </c>
      <c r="H100" s="802">
        <v>6738.5498918201465</v>
      </c>
      <c r="I100" s="999">
        <v>-1</v>
      </c>
      <c r="J100" s="999">
        <v>-1</v>
      </c>
      <c r="P100" s="426" t="s">
        <v>686</v>
      </c>
      <c r="Q100" s="426"/>
      <c r="R100" s="430">
        <v>6330</v>
      </c>
      <c r="S100" s="430">
        <v>6740</v>
      </c>
      <c r="W100" s="350"/>
      <c r="X100" s="350"/>
      <c r="Y100" s="350"/>
      <c r="AP100" s="350"/>
      <c r="AQ100" s="350"/>
    </row>
    <row r="101" spans="1:43" x14ac:dyDescent="0.2">
      <c r="F101" s="432" t="s">
        <v>40</v>
      </c>
      <c r="G101" s="814">
        <v>50518.578380974206</v>
      </c>
      <c r="H101" s="814">
        <v>39489.073049157698</v>
      </c>
      <c r="I101" s="999">
        <v>-2</v>
      </c>
      <c r="J101" s="999">
        <v>-2</v>
      </c>
      <c r="P101" s="434" t="s">
        <v>40</v>
      </c>
      <c r="Q101" s="434"/>
      <c r="R101" s="433">
        <v>50500</v>
      </c>
      <c r="S101" s="433">
        <v>39500</v>
      </c>
      <c r="W101" s="350"/>
      <c r="X101" s="350"/>
      <c r="Y101" s="350"/>
      <c r="AP101" s="350"/>
      <c r="AQ101" s="350"/>
    </row>
    <row r="102" spans="1:43" x14ac:dyDescent="0.2">
      <c r="F102" s="432" t="s">
        <v>41</v>
      </c>
      <c r="G102" s="814">
        <v>122595.44571470271</v>
      </c>
      <c r="H102" s="814">
        <v>146365.61551311292</v>
      </c>
      <c r="I102" s="999">
        <v>-3</v>
      </c>
      <c r="J102" s="999">
        <v>-3</v>
      </c>
      <c r="P102" s="434" t="s">
        <v>41</v>
      </c>
      <c r="Q102" s="434"/>
      <c r="R102" s="433">
        <v>123000</v>
      </c>
      <c r="S102" s="433">
        <v>146000</v>
      </c>
      <c r="W102" s="350"/>
      <c r="X102" s="350"/>
      <c r="Y102" s="350"/>
      <c r="AP102" s="350"/>
      <c r="AQ102" s="350"/>
    </row>
    <row r="103" spans="1:43" x14ac:dyDescent="0.2">
      <c r="F103" s="432" t="s">
        <v>703</v>
      </c>
      <c r="G103" s="815">
        <v>36530.186559029287</v>
      </c>
      <c r="H103" s="815">
        <v>45066.213605152559</v>
      </c>
      <c r="I103" s="999">
        <v>-2</v>
      </c>
      <c r="J103" s="999">
        <v>-2</v>
      </c>
      <c r="P103" s="434" t="s">
        <v>703</v>
      </c>
      <c r="Q103" s="434"/>
      <c r="R103" s="435">
        <v>36500</v>
      </c>
      <c r="S103" s="435">
        <v>45100</v>
      </c>
      <c r="W103" s="350"/>
      <c r="X103" s="350"/>
      <c r="Y103" s="350"/>
      <c r="AP103" s="350"/>
      <c r="AQ103" s="350"/>
    </row>
    <row r="104" spans="1:43" hidden="1" x14ac:dyDescent="0.2">
      <c r="F104" s="432" t="s">
        <v>687</v>
      </c>
      <c r="G104" s="808" t="e">
        <v>#REF!</v>
      </c>
      <c r="H104" s="808" t="e">
        <v>#REF!</v>
      </c>
      <c r="I104" s="999" t="e">
        <v>#REF!</v>
      </c>
      <c r="J104" s="999" t="e">
        <v>#REF!</v>
      </c>
      <c r="P104" s="434" t="s">
        <v>687</v>
      </c>
      <c r="Q104" s="434"/>
      <c r="R104" s="433" t="e">
        <v>#REF!</v>
      </c>
      <c r="S104" s="433" t="e">
        <v>#REF!</v>
      </c>
      <c r="W104" s="350"/>
      <c r="X104" s="350"/>
      <c r="Y104" s="350"/>
      <c r="AP104" s="350"/>
      <c r="AQ104" s="350"/>
    </row>
    <row r="105" spans="1:43" ht="12.75" thickBot="1" x14ac:dyDescent="0.25">
      <c r="F105" s="372" t="s">
        <v>693</v>
      </c>
      <c r="G105" s="803">
        <v>217281.00896025251</v>
      </c>
      <c r="H105" s="803">
        <v>239051.7408284336</v>
      </c>
      <c r="I105" s="999">
        <v>-3</v>
      </c>
      <c r="J105" s="999">
        <v>-3</v>
      </c>
      <c r="P105" s="167" t="s">
        <v>693</v>
      </c>
      <c r="Q105" s="167"/>
      <c r="R105" s="436">
        <v>217000</v>
      </c>
      <c r="S105" s="436">
        <v>239000</v>
      </c>
      <c r="W105" s="350"/>
      <c r="X105" s="350"/>
      <c r="Y105" s="350"/>
      <c r="AP105" s="350"/>
      <c r="AQ105" s="350"/>
    </row>
    <row r="106" spans="1:43" ht="12.75" thickTop="1" x14ac:dyDescent="0.2">
      <c r="F106" s="159"/>
      <c r="G106" s="159" t="b">
        <v>1</v>
      </c>
      <c r="H106" s="159" t="b">
        <v>1</v>
      </c>
      <c r="I106" s="999"/>
      <c r="J106" s="999"/>
      <c r="P106" s="159"/>
      <c r="Q106" s="159"/>
      <c r="R106" s="159"/>
      <c r="S106" s="159"/>
      <c r="W106" s="350"/>
      <c r="X106" s="350"/>
      <c r="Y106" s="350"/>
      <c r="AP106" s="350"/>
      <c r="AQ106" s="350"/>
    </row>
    <row r="107" spans="1:43" x14ac:dyDescent="0.2">
      <c r="A107" s="143" t="s">
        <v>687</v>
      </c>
      <c r="B107" s="75"/>
      <c r="C107" s="75"/>
      <c r="D107" s="75"/>
      <c r="E107" s="75"/>
      <c r="F107" s="75"/>
      <c r="G107" s="159"/>
      <c r="H107" s="159"/>
      <c r="I107" s="999"/>
      <c r="J107" s="999"/>
      <c r="N107" s="143" t="s">
        <v>687</v>
      </c>
      <c r="O107" s="75"/>
      <c r="P107" s="75"/>
      <c r="W107" s="350"/>
      <c r="X107" s="350"/>
      <c r="Y107" s="350"/>
      <c r="AP107" s="350"/>
      <c r="AQ107" s="350"/>
    </row>
    <row r="108" spans="1:43" ht="12.75" thickBot="1" x14ac:dyDescent="0.25">
      <c r="F108" s="159"/>
      <c r="G108" s="159"/>
      <c r="H108" s="159"/>
      <c r="I108" s="999"/>
      <c r="J108" s="999"/>
      <c r="W108" s="350"/>
      <c r="X108" s="350"/>
      <c r="Y108" s="350"/>
      <c r="AP108" s="350"/>
      <c r="AQ108" s="350"/>
    </row>
    <row r="109" spans="1:43" ht="13.5" customHeight="1" thickTop="1" x14ac:dyDescent="0.25">
      <c r="F109" s="367"/>
      <c r="G109" s="1778" t="s">
        <v>55</v>
      </c>
      <c r="H109" s="1778"/>
      <c r="I109" s="999"/>
      <c r="J109" s="999"/>
      <c r="N109" s="159"/>
      <c r="P109" s="141"/>
      <c r="Q109" s="141"/>
      <c r="R109" s="1778" t="s">
        <v>55</v>
      </c>
      <c r="S109" s="1778"/>
      <c r="W109" s="350"/>
      <c r="X109" s="350"/>
      <c r="Y109" s="350"/>
      <c r="AP109" s="350"/>
      <c r="AQ109" s="350"/>
    </row>
    <row r="110" spans="1:43" x14ac:dyDescent="0.2">
      <c r="F110" s="369"/>
      <c r="G110" s="421">
        <v>2003</v>
      </c>
      <c r="H110" s="438" t="s">
        <v>127</v>
      </c>
      <c r="I110" s="999"/>
      <c r="J110" s="999"/>
      <c r="P110" s="161"/>
      <c r="Q110" s="161"/>
      <c r="R110" s="421">
        <v>2003</v>
      </c>
      <c r="S110" s="421" t="s">
        <v>127</v>
      </c>
      <c r="W110" s="350"/>
      <c r="X110" s="350"/>
      <c r="Y110" s="350"/>
      <c r="AP110" s="350"/>
      <c r="AQ110" s="350"/>
    </row>
    <row r="111" spans="1:43" x14ac:dyDescent="0.2">
      <c r="F111" s="439" t="s">
        <v>719</v>
      </c>
      <c r="G111" s="801">
        <v>11109.477951823716</v>
      </c>
      <c r="H111" s="801">
        <v>15882.897605643078</v>
      </c>
      <c r="I111" s="999">
        <v>-2</v>
      </c>
      <c r="J111" s="999">
        <v>-2</v>
      </c>
      <c r="P111" s="426" t="s">
        <v>719</v>
      </c>
      <c r="Q111" s="426"/>
      <c r="R111" s="430">
        <v>11100</v>
      </c>
      <c r="S111" s="430">
        <v>15900</v>
      </c>
      <c r="W111" s="350"/>
      <c r="X111" s="350"/>
      <c r="Y111" s="350"/>
      <c r="AP111" s="350"/>
      <c r="AQ111" s="350"/>
    </row>
    <row r="112" spans="1:43" x14ac:dyDescent="0.2">
      <c r="F112" s="440" t="s">
        <v>718</v>
      </c>
      <c r="G112" s="802">
        <v>13748.310283386569</v>
      </c>
      <c r="H112" s="802">
        <v>19655.559462701171</v>
      </c>
      <c r="I112" s="999">
        <v>-2</v>
      </c>
      <c r="J112" s="999">
        <v>-2</v>
      </c>
      <c r="P112" s="426" t="s">
        <v>718</v>
      </c>
      <c r="Q112" s="426"/>
      <c r="R112" s="430">
        <v>13700</v>
      </c>
      <c r="S112" s="430">
        <v>19700</v>
      </c>
      <c r="W112" s="350"/>
      <c r="X112" s="350"/>
      <c r="Y112" s="350"/>
      <c r="AP112" s="350"/>
      <c r="AQ112" s="350"/>
    </row>
    <row r="113" spans="1:232" x14ac:dyDescent="0.2">
      <c r="F113" s="441" t="s">
        <v>714</v>
      </c>
      <c r="G113" s="802">
        <v>23981.875891563755</v>
      </c>
      <c r="H113" s="802">
        <v>34286.190658888627</v>
      </c>
      <c r="I113" s="999">
        <v>-2</v>
      </c>
      <c r="J113" s="999">
        <v>-2</v>
      </c>
      <c r="P113" s="434" t="s">
        <v>714</v>
      </c>
      <c r="Q113" s="434"/>
      <c r="R113" s="433">
        <v>24000</v>
      </c>
      <c r="S113" s="433">
        <v>34300</v>
      </c>
      <c r="W113" s="350"/>
      <c r="X113" s="350"/>
      <c r="Y113" s="350"/>
      <c r="AP113" s="350"/>
      <c r="AQ113" s="350"/>
    </row>
    <row r="114" spans="1:232" ht="12.75" thickBot="1" x14ac:dyDescent="0.25">
      <c r="F114" s="366" t="s">
        <v>715</v>
      </c>
      <c r="G114" s="819">
        <v>48839.664126774034</v>
      </c>
      <c r="H114" s="819">
        <v>69824.647727232878</v>
      </c>
      <c r="I114" s="999">
        <v>-2</v>
      </c>
      <c r="J114" s="999">
        <v>-2</v>
      </c>
      <c r="P114" s="366" t="s">
        <v>715</v>
      </c>
      <c r="Q114" s="442"/>
      <c r="R114" s="810">
        <v>48800</v>
      </c>
      <c r="S114" s="810">
        <v>69800</v>
      </c>
      <c r="W114" s="350"/>
      <c r="X114" s="350"/>
      <c r="Y114" s="350"/>
      <c r="AP114" s="350"/>
      <c r="AQ114" s="350"/>
    </row>
    <row r="115" spans="1:232" ht="12.75" thickTop="1" x14ac:dyDescent="0.2">
      <c r="G115" s="350" t="b">
        <v>1</v>
      </c>
      <c r="H115" s="350" t="b">
        <v>1</v>
      </c>
      <c r="I115" s="999"/>
      <c r="J115" s="999"/>
      <c r="W115" s="350"/>
      <c r="X115" s="350"/>
      <c r="Y115" s="350"/>
      <c r="AP115" s="350"/>
      <c r="AQ115" s="350"/>
    </row>
    <row r="116" spans="1:232" x14ac:dyDescent="0.2">
      <c r="C116" s="361"/>
      <c r="D116" s="361"/>
      <c r="E116" s="361"/>
      <c r="F116" s="361"/>
      <c r="G116" s="361"/>
      <c r="H116" s="361"/>
      <c r="I116" s="999"/>
      <c r="J116" s="999"/>
      <c r="O116" s="361"/>
      <c r="P116" s="361"/>
      <c r="Q116" s="361"/>
      <c r="R116" s="361"/>
      <c r="S116" s="361"/>
      <c r="W116" s="350"/>
      <c r="X116" s="350"/>
      <c r="Y116" s="350"/>
      <c r="AP116" s="350"/>
      <c r="AQ116" s="350"/>
    </row>
    <row r="117" spans="1:232" x14ac:dyDescent="0.2">
      <c r="A117" s="143" t="s">
        <v>36</v>
      </c>
      <c r="B117" s="75"/>
      <c r="C117" s="75"/>
      <c r="D117" s="75"/>
      <c r="E117" s="75"/>
      <c r="F117" s="262"/>
      <c r="G117" s="262"/>
      <c r="H117" s="262"/>
      <c r="I117" s="999"/>
      <c r="J117" s="999"/>
      <c r="N117" s="143" t="s">
        <v>36</v>
      </c>
      <c r="O117" s="75"/>
      <c r="P117" s="75"/>
      <c r="W117" s="350"/>
      <c r="X117" s="350"/>
      <c r="Y117" s="350"/>
      <c r="AP117" s="350"/>
      <c r="AQ117" s="350"/>
    </row>
    <row r="118" spans="1:232" ht="12.75" thickBot="1" x14ac:dyDescent="0.25">
      <c r="F118" s="159"/>
      <c r="G118" s="159"/>
      <c r="H118" s="159"/>
      <c r="I118" s="999"/>
      <c r="J118" s="999"/>
      <c r="P118" s="159"/>
      <c r="Q118" s="159"/>
      <c r="R118" s="270"/>
      <c r="S118" s="270"/>
      <c r="W118" s="350"/>
      <c r="X118" s="350"/>
      <c r="Y118" s="350"/>
      <c r="AP118" s="350"/>
      <c r="AQ118" s="350"/>
    </row>
    <row r="119" spans="1:232" ht="14.25" customHeight="1" thickTop="1" x14ac:dyDescent="0.25">
      <c r="F119" s="364"/>
      <c r="G119" s="1778" t="s">
        <v>55</v>
      </c>
      <c r="H119" s="1778"/>
      <c r="I119" s="999"/>
      <c r="J119" s="999"/>
      <c r="N119" s="361"/>
      <c r="O119" s="361"/>
      <c r="P119" s="141"/>
      <c r="Q119" s="141"/>
      <c r="R119" s="1778" t="s">
        <v>55</v>
      </c>
      <c r="S119" s="1778"/>
      <c r="W119" s="350"/>
      <c r="X119" s="350"/>
      <c r="Y119" s="350"/>
      <c r="AP119" s="350"/>
      <c r="AQ119" s="350"/>
    </row>
    <row r="120" spans="1:232" x14ac:dyDescent="0.2">
      <c r="F120" s="365"/>
      <c r="G120" s="421">
        <v>2003</v>
      </c>
      <c r="H120" s="438" t="s">
        <v>127</v>
      </c>
      <c r="I120" s="999"/>
      <c r="J120" s="999"/>
      <c r="N120" s="361"/>
      <c r="O120" s="361"/>
      <c r="P120" s="144"/>
      <c r="Q120" s="144"/>
      <c r="R120" s="576">
        <v>2003</v>
      </c>
      <c r="S120" s="444" t="s">
        <v>127</v>
      </c>
      <c r="W120" s="350"/>
      <c r="X120" s="350"/>
      <c r="Y120" s="350"/>
      <c r="AP120" s="350"/>
      <c r="AQ120" s="350"/>
    </row>
    <row r="121" spans="1:232" x14ac:dyDescent="0.2">
      <c r="F121" s="441" t="s">
        <v>147</v>
      </c>
      <c r="G121" s="804">
        <v>138331.8128123733</v>
      </c>
      <c r="H121" s="801">
        <v>133584.89082315794</v>
      </c>
      <c r="I121" s="999">
        <v>-3</v>
      </c>
      <c r="J121" s="999">
        <v>-3</v>
      </c>
      <c r="N121" s="361"/>
      <c r="O121" s="361"/>
      <c r="P121" s="445" t="s">
        <v>147</v>
      </c>
      <c r="Q121" s="600"/>
      <c r="R121" s="439">
        <v>138000</v>
      </c>
      <c r="S121" s="439">
        <v>134000</v>
      </c>
      <c r="W121" s="350"/>
      <c r="X121" s="350"/>
      <c r="Y121" s="350"/>
      <c r="AP121" s="350"/>
      <c r="AQ121" s="350"/>
    </row>
    <row r="122" spans="1:232" x14ac:dyDescent="0.2">
      <c r="F122" s="441" t="s">
        <v>704</v>
      </c>
      <c r="G122" s="805">
        <v>1756698.2214198047</v>
      </c>
      <c r="H122" s="806">
        <v>2043450.2112939602</v>
      </c>
      <c r="I122" s="999">
        <v>-4</v>
      </c>
      <c r="J122" s="999">
        <v>-4</v>
      </c>
      <c r="N122" s="361"/>
      <c r="O122" s="361"/>
      <c r="P122" s="447" t="s">
        <v>704</v>
      </c>
      <c r="Q122" s="441"/>
      <c r="R122" s="446">
        <v>1760000</v>
      </c>
      <c r="S122" s="446">
        <v>2040000</v>
      </c>
      <c r="W122" s="350"/>
      <c r="X122" s="350"/>
      <c r="Y122" s="350"/>
      <c r="AP122" s="350"/>
      <c r="AQ122" s="350"/>
    </row>
    <row r="123" spans="1:232" ht="12.75" thickBot="1" x14ac:dyDescent="0.25">
      <c r="F123" s="366" t="s">
        <v>693</v>
      </c>
      <c r="G123" s="803">
        <v>1895030.034232178</v>
      </c>
      <c r="H123" s="803">
        <v>2177035.102117118</v>
      </c>
      <c r="I123" s="999">
        <v>-4</v>
      </c>
      <c r="J123" s="999">
        <v>-4</v>
      </c>
      <c r="N123" s="361"/>
      <c r="O123" s="361"/>
      <c r="P123" s="168" t="s">
        <v>693</v>
      </c>
      <c r="Q123" s="366"/>
      <c r="R123" s="442">
        <v>1900000</v>
      </c>
      <c r="S123" s="442">
        <v>2180000</v>
      </c>
      <c r="W123" s="350"/>
      <c r="X123" s="350"/>
      <c r="Y123" s="350"/>
      <c r="AP123" s="350"/>
      <c r="AQ123" s="350"/>
    </row>
    <row r="124" spans="1:232" ht="12.75" thickTop="1" x14ac:dyDescent="0.2">
      <c r="F124" s="159"/>
      <c r="G124" s="159" t="b">
        <v>1</v>
      </c>
      <c r="H124" s="159" t="b">
        <v>1</v>
      </c>
      <c r="I124" s="1004"/>
      <c r="J124" s="1004"/>
      <c r="N124" s="361"/>
      <c r="O124" s="361"/>
      <c r="P124" s="159"/>
      <c r="Q124" s="159"/>
      <c r="R124" s="270"/>
      <c r="S124" s="270"/>
      <c r="W124" s="350"/>
      <c r="X124" s="350"/>
      <c r="Y124" s="350"/>
      <c r="AP124" s="350"/>
      <c r="AQ124" s="350"/>
    </row>
    <row r="125" spans="1:232" s="416" customFormat="1" ht="11.25" customHeight="1" x14ac:dyDescent="0.2">
      <c r="A125" s="331"/>
      <c r="B125" s="286"/>
      <c r="C125" s="331"/>
      <c r="D125" s="500"/>
      <c r="E125" s="331"/>
      <c r="F125" s="331"/>
      <c r="I125" s="1005"/>
      <c r="J125" s="1006"/>
    </row>
    <row r="126" spans="1:232" s="622" customFormat="1" x14ac:dyDescent="0.2">
      <c r="A126" s="619" t="s">
        <v>723</v>
      </c>
      <c r="B126" s="618"/>
      <c r="C126" s="618"/>
      <c r="D126" s="618"/>
      <c r="E126" s="618"/>
      <c r="F126" s="620"/>
      <c r="G126" s="619"/>
      <c r="H126" s="618"/>
      <c r="I126" s="1007"/>
      <c r="J126" s="1007"/>
      <c r="K126" s="620"/>
      <c r="L126" s="619"/>
      <c r="M126" s="618"/>
      <c r="N126" s="618"/>
      <c r="O126" s="618"/>
      <c r="P126" s="618"/>
      <c r="Q126" s="620"/>
      <c r="R126" s="619"/>
      <c r="S126" s="618"/>
      <c r="T126" s="618"/>
      <c r="U126" s="618"/>
      <c r="V126" s="618"/>
      <c r="W126" s="620"/>
      <c r="X126" s="619"/>
      <c r="Y126" s="618"/>
      <c r="Z126" s="618"/>
      <c r="AA126" s="618"/>
      <c r="AB126" s="618"/>
      <c r="AC126" s="620"/>
      <c r="AD126" s="619"/>
      <c r="AE126" s="618"/>
      <c r="AF126" s="618"/>
      <c r="AG126" s="618"/>
      <c r="AH126" s="618"/>
      <c r="AI126" s="620"/>
      <c r="AJ126" s="619"/>
      <c r="AK126" s="618"/>
      <c r="AL126" s="618"/>
      <c r="AM126" s="618"/>
      <c r="AN126" s="618"/>
      <c r="AO126" s="620"/>
      <c r="AP126" s="619"/>
      <c r="AQ126" s="618"/>
      <c r="AR126" s="618"/>
      <c r="AS126" s="618"/>
      <c r="AT126" s="618"/>
      <c r="AU126" s="621" t="s">
        <v>723</v>
      </c>
      <c r="AV126" s="619"/>
      <c r="AW126" s="618"/>
      <c r="AX126" s="618"/>
      <c r="AY126" s="618" t="s">
        <v>1297</v>
      </c>
      <c r="AZ126" s="618"/>
      <c r="BA126" s="620"/>
      <c r="BB126" s="619"/>
      <c r="BC126" s="618"/>
      <c r="BD126" s="618"/>
      <c r="BE126" s="618"/>
      <c r="BF126" s="618"/>
      <c r="BG126" s="620"/>
      <c r="BH126" s="619"/>
      <c r="BI126" s="618"/>
      <c r="BJ126" s="618"/>
      <c r="BK126" s="618"/>
      <c r="BL126" s="618"/>
      <c r="BM126" s="620"/>
      <c r="BN126" s="619"/>
      <c r="BO126" s="618"/>
      <c r="BP126" s="618"/>
      <c r="BQ126" s="618"/>
      <c r="BR126" s="618"/>
      <c r="BS126" s="618"/>
      <c r="BT126" s="620"/>
      <c r="BU126" s="619"/>
      <c r="BV126" s="618"/>
      <c r="BW126" s="618"/>
      <c r="BX126" s="618"/>
      <c r="BY126" s="618"/>
      <c r="BZ126" s="620"/>
      <c r="CA126" s="619"/>
      <c r="CB126" s="618"/>
      <c r="CC126" s="618"/>
      <c r="CD126" s="618"/>
      <c r="CE126" s="618"/>
      <c r="CF126" s="620"/>
      <c r="CG126" s="619"/>
      <c r="CH126" s="618"/>
      <c r="CI126" s="618"/>
      <c r="CJ126" s="618"/>
      <c r="CK126" s="618"/>
      <c r="CL126" s="620"/>
      <c r="CM126" s="619"/>
      <c r="CN126" s="618"/>
      <c r="CO126" s="618"/>
      <c r="CP126" s="618"/>
      <c r="CQ126" s="618"/>
      <c r="CR126" s="620"/>
      <c r="CS126" s="619"/>
      <c r="CT126" s="618"/>
      <c r="CU126" s="618"/>
      <c r="CV126" s="618"/>
      <c r="CW126" s="618"/>
      <c r="CX126" s="620"/>
      <c r="CY126" s="619"/>
      <c r="CZ126" s="618"/>
      <c r="DA126" s="618"/>
      <c r="DB126" s="618"/>
      <c r="DC126" s="618"/>
      <c r="DD126" s="620"/>
      <c r="DE126" s="619"/>
      <c r="DF126" s="618"/>
      <c r="DG126" s="618"/>
      <c r="DH126" s="618"/>
      <c r="DI126" s="618"/>
      <c r="DJ126" s="620"/>
      <c r="DK126" s="619"/>
      <c r="DL126" s="618"/>
      <c r="DM126" s="618"/>
      <c r="DN126" s="618"/>
      <c r="DO126" s="618"/>
      <c r="DP126" s="620"/>
      <c r="DQ126" s="619"/>
      <c r="DR126" s="618"/>
      <c r="DS126" s="618"/>
      <c r="DT126" s="618"/>
      <c r="DU126" s="618"/>
      <c r="DV126" s="620"/>
      <c r="DW126" s="619"/>
      <c r="DX126" s="618"/>
      <c r="DY126" s="618"/>
      <c r="DZ126" s="618"/>
      <c r="EA126" s="618"/>
      <c r="EB126" s="620"/>
      <c r="EC126" s="619"/>
      <c r="ED126" s="618"/>
      <c r="EE126" s="618"/>
      <c r="EF126" s="618"/>
      <c r="EG126" s="618"/>
      <c r="EH126" s="620"/>
      <c r="EI126" s="619"/>
      <c r="EJ126" s="618"/>
      <c r="EK126" s="618"/>
      <c r="EL126" s="618"/>
      <c r="EM126" s="618"/>
      <c r="EN126" s="620"/>
      <c r="EO126" s="619"/>
      <c r="EP126" s="618"/>
      <c r="EQ126" s="618"/>
      <c r="ER126" s="618"/>
      <c r="ES126" s="618"/>
      <c r="ET126" s="620"/>
      <c r="EU126" s="619"/>
      <c r="EV126" s="618"/>
      <c r="EW126" s="618"/>
      <c r="EX126" s="618"/>
      <c r="EY126" s="618"/>
      <c r="EZ126" s="620"/>
      <c r="FA126" s="619"/>
      <c r="FB126" s="618"/>
      <c r="FC126" s="618"/>
      <c r="FD126" s="618"/>
      <c r="FE126" s="618"/>
      <c r="FF126" s="620"/>
      <c r="FG126" s="619"/>
      <c r="FH126" s="618"/>
      <c r="FI126" s="618"/>
      <c r="FJ126" s="618"/>
      <c r="FK126" s="618"/>
      <c r="FL126" s="620"/>
      <c r="FM126" s="619"/>
      <c r="FN126" s="618"/>
      <c r="FO126" s="618"/>
      <c r="FP126" s="618"/>
      <c r="FQ126" s="618"/>
      <c r="FR126" s="620"/>
      <c r="FS126" s="619"/>
      <c r="FT126" s="618"/>
      <c r="FU126" s="618"/>
      <c r="FV126" s="618"/>
      <c r="FW126" s="618"/>
      <c r="FX126" s="620"/>
      <c r="FY126" s="619"/>
      <c r="FZ126" s="618"/>
      <c r="GA126" s="618"/>
      <c r="GB126" s="618"/>
      <c r="GC126" s="618"/>
      <c r="GD126" s="620"/>
      <c r="GE126" s="619"/>
      <c r="GF126" s="618"/>
      <c r="GG126" s="618"/>
      <c r="GH126" s="618"/>
      <c r="GI126" s="618"/>
      <c r="GJ126" s="620"/>
      <c r="GK126" s="619"/>
      <c r="GL126" s="618"/>
      <c r="GM126" s="618"/>
      <c r="GN126" s="618"/>
      <c r="GO126" s="618"/>
      <c r="GP126" s="620"/>
      <c r="GQ126" s="619"/>
      <c r="GR126" s="618"/>
      <c r="GS126" s="618"/>
      <c r="GT126" s="618"/>
      <c r="GU126" s="618"/>
      <c r="GV126" s="620"/>
      <c r="GW126" s="619"/>
      <c r="GX126" s="618"/>
      <c r="GY126" s="618"/>
      <c r="GZ126" s="618"/>
      <c r="HA126" s="618"/>
      <c r="HB126" s="620"/>
      <c r="HC126" s="619"/>
      <c r="HD126" s="618"/>
      <c r="HE126" s="618"/>
      <c r="HF126" s="618"/>
      <c r="HG126" s="618"/>
      <c r="HH126" s="620"/>
      <c r="HI126" s="619"/>
      <c r="HJ126" s="618"/>
      <c r="HK126" s="618"/>
      <c r="HL126" s="618"/>
      <c r="HM126" s="618"/>
      <c r="HN126" s="620"/>
      <c r="HO126" s="619"/>
      <c r="HP126" s="618"/>
      <c r="HQ126" s="618"/>
      <c r="HR126" s="618"/>
      <c r="HS126" s="618"/>
      <c r="HT126" s="620"/>
      <c r="HU126" s="619"/>
      <c r="HV126" s="618"/>
      <c r="HW126" s="618"/>
      <c r="HX126" s="618"/>
    </row>
    <row r="127" spans="1:232" x14ac:dyDescent="0.2">
      <c r="A127" s="159"/>
      <c r="G127" s="350"/>
      <c r="I127" s="1004"/>
      <c r="K127" s="214"/>
      <c r="L127" s="420"/>
      <c r="N127" s="159"/>
      <c r="W127" s="350"/>
      <c r="X127" s="350"/>
      <c r="Y127" s="350"/>
      <c r="AP127" s="350"/>
      <c r="AQ127" s="350"/>
    </row>
    <row r="128" spans="1:232" x14ac:dyDescent="0.2">
      <c r="A128" s="159"/>
      <c r="G128" s="350"/>
      <c r="I128" s="1004"/>
      <c r="J128" s="1004"/>
      <c r="K128" s="418"/>
      <c r="L128" s="420"/>
      <c r="N128" s="159"/>
      <c r="W128" s="350"/>
      <c r="X128" s="350"/>
      <c r="Y128" s="350"/>
      <c r="AP128" s="350"/>
      <c r="AQ128" s="350"/>
    </row>
    <row r="129" spans="1:43" x14ac:dyDescent="0.2">
      <c r="A129" s="143" t="s">
        <v>679</v>
      </c>
      <c r="B129" s="75"/>
      <c r="C129" s="75"/>
      <c r="D129" s="75"/>
      <c r="E129" s="75"/>
      <c r="F129" s="75"/>
      <c r="G129" s="350"/>
      <c r="I129" s="1004"/>
      <c r="J129" s="1004"/>
      <c r="K129" s="418"/>
      <c r="L129" s="420"/>
      <c r="N129" s="143" t="s">
        <v>679</v>
      </c>
      <c r="O129" s="75"/>
      <c r="P129" s="75"/>
      <c r="W129" s="350"/>
      <c r="X129" s="350"/>
      <c r="Y129" s="350"/>
      <c r="AP129" s="350"/>
      <c r="AQ129" s="350"/>
    </row>
    <row r="130" spans="1:43" ht="12.75" thickBot="1" x14ac:dyDescent="0.25">
      <c r="A130" s="159"/>
      <c r="G130" s="350"/>
      <c r="I130" s="1004"/>
      <c r="J130" s="1004"/>
      <c r="K130" s="418"/>
      <c r="L130" s="420"/>
      <c r="N130" s="159"/>
      <c r="W130" s="350"/>
      <c r="X130" s="350"/>
      <c r="Y130" s="350"/>
      <c r="AH130" s="350" t="s">
        <v>852</v>
      </c>
      <c r="AP130" s="350"/>
      <c r="AQ130" s="350"/>
    </row>
    <row r="131" spans="1:43" ht="14.25" thickTop="1" x14ac:dyDescent="0.25">
      <c r="F131" s="364"/>
      <c r="G131" s="1778" t="s">
        <v>55</v>
      </c>
      <c r="H131" s="1778"/>
      <c r="I131" s="1004"/>
      <c r="J131" s="1004"/>
      <c r="K131" s="418"/>
      <c r="L131" s="420"/>
      <c r="P131" s="364"/>
      <c r="Q131" s="1778" t="s">
        <v>55</v>
      </c>
      <c r="R131" s="1778"/>
      <c r="W131" s="350"/>
      <c r="X131" s="350"/>
      <c r="Y131" s="350"/>
      <c r="AP131" s="350"/>
      <c r="AQ131" s="350"/>
    </row>
    <row r="132" spans="1:43" x14ac:dyDescent="0.2">
      <c r="F132" s="365"/>
      <c r="G132" s="421">
        <v>2003</v>
      </c>
      <c r="H132" s="421" t="s">
        <v>127</v>
      </c>
      <c r="I132" s="1004"/>
      <c r="J132" s="1004"/>
      <c r="K132" s="418"/>
      <c r="L132" s="420"/>
      <c r="P132" s="365"/>
      <c r="Q132" s="421">
        <v>2003</v>
      </c>
      <c r="R132" s="421" t="s">
        <v>127</v>
      </c>
      <c r="W132" s="350"/>
      <c r="X132" s="350"/>
      <c r="Y132" s="350"/>
      <c r="AP132" s="350"/>
      <c r="AQ132" s="350"/>
    </row>
    <row r="133" spans="1:43" x14ac:dyDescent="0.2">
      <c r="F133" s="448" t="s">
        <v>717</v>
      </c>
      <c r="G133" s="802">
        <v>1866534.1063584599</v>
      </c>
      <c r="H133" s="802">
        <v>2056709.8333594454</v>
      </c>
      <c r="I133" s="999">
        <v>-4</v>
      </c>
      <c r="J133" s="999">
        <v>-4</v>
      </c>
      <c r="K133" s="214"/>
      <c r="L133" s="420"/>
      <c r="P133" s="448" t="s">
        <v>717</v>
      </c>
      <c r="Q133" s="440">
        <v>1870000</v>
      </c>
      <c r="R133" s="440">
        <v>2060000</v>
      </c>
      <c r="W133" s="350"/>
      <c r="X133" s="350"/>
      <c r="Y133" s="350"/>
      <c r="AP133" s="350"/>
      <c r="AQ133" s="350"/>
    </row>
    <row r="134" spans="1:43" x14ac:dyDescent="0.2">
      <c r="F134" s="448" t="s">
        <v>682</v>
      </c>
      <c r="G134" s="802"/>
      <c r="H134" s="802"/>
      <c r="I134" s="999">
        <v>0</v>
      </c>
      <c r="J134" s="999">
        <v>0</v>
      </c>
      <c r="K134" s="214"/>
      <c r="L134" s="420"/>
      <c r="P134" s="448" t="s">
        <v>682</v>
      </c>
      <c r="Q134" s="440" t="s">
        <v>1297</v>
      </c>
      <c r="R134" s="440" t="s">
        <v>1297</v>
      </c>
      <c r="W134" s="350"/>
      <c r="X134" s="350"/>
      <c r="Y134" s="350"/>
      <c r="AP134" s="350"/>
      <c r="AQ134" s="350"/>
    </row>
    <row r="135" spans="1:43" x14ac:dyDescent="0.2">
      <c r="F135" s="451" t="s">
        <v>121</v>
      </c>
      <c r="G135" s="802">
        <v>1565449.9609237434</v>
      </c>
      <c r="H135" s="802">
        <v>1815163.1470527851</v>
      </c>
      <c r="I135" s="999">
        <v>-4</v>
      </c>
      <c r="J135" s="999">
        <v>-4</v>
      </c>
      <c r="K135" s="214"/>
      <c r="L135" s="420"/>
      <c r="P135" s="451" t="s">
        <v>121</v>
      </c>
      <c r="Q135" s="423">
        <v>1570000</v>
      </c>
      <c r="R135" s="423">
        <v>1820000</v>
      </c>
      <c r="W135" s="350"/>
      <c r="X135" s="350"/>
      <c r="Y135" s="350"/>
      <c r="AP135" s="350"/>
      <c r="AQ135" s="350"/>
    </row>
    <row r="136" spans="1:43" x14ac:dyDescent="0.2">
      <c r="F136" s="451" t="s">
        <v>25</v>
      </c>
      <c r="G136" s="802">
        <v>284427.46213974222</v>
      </c>
      <c r="H136" s="802">
        <v>215035.96310774286</v>
      </c>
      <c r="I136" s="999">
        <v>-3</v>
      </c>
      <c r="J136" s="999">
        <v>-3</v>
      </c>
      <c r="K136" s="425"/>
      <c r="L136" s="420"/>
      <c r="P136" s="451" t="s">
        <v>25</v>
      </c>
      <c r="Q136" s="423">
        <v>284000</v>
      </c>
      <c r="R136" s="423">
        <v>215000</v>
      </c>
      <c r="W136" s="350"/>
      <c r="X136" s="350"/>
      <c r="Y136" s="350"/>
      <c r="AP136" s="350"/>
      <c r="AQ136" s="350"/>
    </row>
    <row r="137" spans="1:43" x14ac:dyDescent="0.2">
      <c r="F137" s="450" t="s">
        <v>14</v>
      </c>
      <c r="G137" s="802"/>
      <c r="H137" s="802"/>
      <c r="I137" s="999">
        <v>0</v>
      </c>
      <c r="J137" s="999">
        <v>0</v>
      </c>
      <c r="K137" s="425"/>
      <c r="L137" s="420"/>
      <c r="P137" s="450" t="s">
        <v>14</v>
      </c>
      <c r="Q137" s="423" t="s">
        <v>1297</v>
      </c>
      <c r="R137" s="423" t="s">
        <v>1297</v>
      </c>
      <c r="W137" s="350"/>
      <c r="X137" s="350"/>
      <c r="Y137" s="350"/>
      <c r="AP137" s="350"/>
      <c r="AQ137" s="350"/>
    </row>
    <row r="138" spans="1:43" x14ac:dyDescent="0.2">
      <c r="F138" s="451" t="s">
        <v>131</v>
      </c>
      <c r="G138" s="802">
        <v>46015.111945072349</v>
      </c>
      <c r="H138" s="802">
        <v>48991.925179167374</v>
      </c>
      <c r="I138" s="999">
        <v>-2</v>
      </c>
      <c r="J138" s="999">
        <v>-2</v>
      </c>
      <c r="K138" s="214"/>
      <c r="L138" s="420"/>
      <c r="P138" s="451" t="s">
        <v>131</v>
      </c>
      <c r="Q138" s="423">
        <v>46000</v>
      </c>
      <c r="R138" s="423">
        <v>49000</v>
      </c>
      <c r="W138" s="350"/>
      <c r="X138" s="350"/>
      <c r="Y138" s="350"/>
      <c r="AP138" s="350"/>
      <c r="AQ138" s="350"/>
    </row>
    <row r="139" spans="1:43" x14ac:dyDescent="0.2">
      <c r="F139" s="451" t="s">
        <v>132</v>
      </c>
      <c r="G139" s="802">
        <v>147.64624970976709</v>
      </c>
      <c r="H139" s="802">
        <v>157.19779248608759</v>
      </c>
      <c r="I139" s="999">
        <v>0</v>
      </c>
      <c r="J139" s="999">
        <v>0</v>
      </c>
      <c r="K139" s="214"/>
      <c r="L139" s="420"/>
      <c r="P139" s="451" t="s">
        <v>132</v>
      </c>
      <c r="Q139" s="423">
        <v>148</v>
      </c>
      <c r="R139" s="423">
        <v>157</v>
      </c>
      <c r="W139" s="350"/>
      <c r="X139" s="350"/>
      <c r="Y139" s="350"/>
      <c r="AP139" s="350"/>
      <c r="AQ139" s="350"/>
    </row>
    <row r="140" spans="1:43" x14ac:dyDescent="0.2">
      <c r="F140" s="451" t="s">
        <v>202</v>
      </c>
      <c r="G140" s="806">
        <v>7.9162715242516635</v>
      </c>
      <c r="H140" s="806">
        <v>8.4283915831186622</v>
      </c>
      <c r="I140" s="999">
        <v>0</v>
      </c>
      <c r="J140" s="999">
        <v>0</v>
      </c>
      <c r="K140" s="214"/>
      <c r="L140" s="420"/>
      <c r="P140" s="451" t="s">
        <v>202</v>
      </c>
      <c r="Q140" s="427">
        <v>8</v>
      </c>
      <c r="R140" s="427">
        <v>8</v>
      </c>
      <c r="W140" s="350"/>
      <c r="X140" s="350"/>
      <c r="Y140" s="350"/>
      <c r="AP140" s="350"/>
      <c r="AQ140" s="350"/>
    </row>
    <row r="141" spans="1:43" ht="12.75" thickBot="1" x14ac:dyDescent="0.25">
      <c r="F141" s="366" t="s">
        <v>693</v>
      </c>
      <c r="G141" s="811">
        <v>3762582.2038882519</v>
      </c>
      <c r="H141" s="811">
        <v>4136066.4948832104</v>
      </c>
      <c r="I141" s="999">
        <v>-4</v>
      </c>
      <c r="J141" s="999">
        <v>-4</v>
      </c>
      <c r="K141" s="418"/>
      <c r="L141" s="420"/>
      <c r="P141" s="366" t="s">
        <v>693</v>
      </c>
      <c r="Q141" s="452">
        <v>3760000</v>
      </c>
      <c r="R141" s="452">
        <v>4140000</v>
      </c>
      <c r="W141" s="350"/>
      <c r="X141" s="350"/>
      <c r="Y141" s="350"/>
      <c r="AP141" s="350"/>
      <c r="AQ141" s="350"/>
    </row>
    <row r="142" spans="1:43" ht="12.75" thickTop="1" x14ac:dyDescent="0.2">
      <c r="G142" s="416" t="b">
        <v>1</v>
      </c>
      <c r="H142" s="416" t="b">
        <v>1</v>
      </c>
      <c r="I142" s="999"/>
      <c r="J142" s="999"/>
      <c r="K142" s="418"/>
      <c r="L142" s="420"/>
      <c r="S142" s="361"/>
      <c r="W142" s="350"/>
      <c r="X142" s="350"/>
      <c r="Y142" s="350"/>
      <c r="AP142" s="350"/>
      <c r="AQ142" s="350"/>
    </row>
    <row r="143" spans="1:43" x14ac:dyDescent="0.2">
      <c r="A143" s="143" t="s">
        <v>19</v>
      </c>
      <c r="G143" s="350"/>
      <c r="I143" s="999"/>
      <c r="J143" s="999"/>
      <c r="K143" s="418"/>
      <c r="L143" s="420"/>
      <c r="N143" s="143" t="s">
        <v>19</v>
      </c>
      <c r="Q143" s="350" t="s">
        <v>1297</v>
      </c>
      <c r="R143" s="350" t="s">
        <v>1297</v>
      </c>
      <c r="S143" s="361"/>
      <c r="W143" s="350"/>
      <c r="X143" s="350"/>
      <c r="Y143" s="350"/>
      <c r="AP143" s="350"/>
      <c r="AQ143" s="350"/>
    </row>
    <row r="144" spans="1:43" ht="12.75" thickBot="1" x14ac:dyDescent="0.25">
      <c r="A144" s="159"/>
      <c r="G144" s="350"/>
      <c r="I144" s="999"/>
      <c r="J144" s="999"/>
      <c r="K144" s="214"/>
      <c r="L144" s="420"/>
      <c r="Q144" s="350" t="s">
        <v>1297</v>
      </c>
      <c r="R144" s="350" t="s">
        <v>1297</v>
      </c>
      <c r="S144" s="361"/>
      <c r="W144" s="350"/>
      <c r="X144" s="350"/>
      <c r="Y144" s="350"/>
      <c r="AH144" s="350" t="s">
        <v>852</v>
      </c>
      <c r="AP144" s="350"/>
      <c r="AQ144" s="350"/>
    </row>
    <row r="145" spans="2:43" ht="14.25" thickTop="1" x14ac:dyDescent="0.25">
      <c r="F145" s="364"/>
      <c r="G145" s="1778" t="s">
        <v>55</v>
      </c>
      <c r="H145" s="1778"/>
      <c r="I145" s="999"/>
      <c r="J145" s="999"/>
      <c r="K145" s="214"/>
      <c r="L145" s="420"/>
      <c r="P145" s="364"/>
      <c r="Q145" s="1778" t="s">
        <v>55</v>
      </c>
      <c r="R145" s="1778"/>
      <c r="S145" s="144"/>
      <c r="W145" s="350"/>
      <c r="X145" s="350"/>
      <c r="Y145" s="350"/>
      <c r="AP145" s="350"/>
      <c r="AQ145" s="350"/>
    </row>
    <row r="146" spans="2:43" x14ac:dyDescent="0.2">
      <c r="F146" s="365"/>
      <c r="G146" s="421">
        <v>2003</v>
      </c>
      <c r="H146" s="421" t="s">
        <v>127</v>
      </c>
      <c r="I146" s="999"/>
      <c r="J146" s="999"/>
      <c r="K146" s="214"/>
      <c r="L146" s="420"/>
      <c r="P146" s="365"/>
      <c r="Q146" s="421">
        <v>2003</v>
      </c>
      <c r="R146" s="421" t="s">
        <v>127</v>
      </c>
      <c r="S146" s="144"/>
      <c r="W146" s="350"/>
      <c r="X146" s="350"/>
      <c r="Y146" s="350"/>
      <c r="AP146" s="350"/>
      <c r="AQ146" s="350"/>
    </row>
    <row r="147" spans="2:43" x14ac:dyDescent="0.2">
      <c r="F147" s="448" t="s">
        <v>678</v>
      </c>
      <c r="G147" s="807">
        <v>2001481.2703278386</v>
      </c>
      <c r="H147" s="807">
        <v>2278281.9927048925</v>
      </c>
      <c r="I147" s="999">
        <v>-4</v>
      </c>
      <c r="J147" s="999">
        <v>-4</v>
      </c>
      <c r="K147" s="214"/>
      <c r="L147" s="420"/>
      <c r="P147" s="431" t="s">
        <v>678</v>
      </c>
      <c r="Q147" s="440">
        <v>2000000</v>
      </c>
      <c r="R147" s="440">
        <v>2280000</v>
      </c>
      <c r="S147" s="144"/>
      <c r="W147" s="350"/>
      <c r="X147" s="350"/>
      <c r="Y147" s="350"/>
      <c r="AP147" s="350"/>
      <c r="AQ147" s="350"/>
    </row>
    <row r="148" spans="2:43" x14ac:dyDescent="0.2">
      <c r="F148" s="448" t="s">
        <v>682</v>
      </c>
      <c r="G148" s="807"/>
      <c r="H148" s="807"/>
      <c r="I148" s="999">
        <v>0</v>
      </c>
      <c r="J148" s="999">
        <v>0</v>
      </c>
      <c r="K148" s="214"/>
      <c r="L148" s="420"/>
      <c r="P148" s="144" t="s">
        <v>682</v>
      </c>
      <c r="Q148" s="440" t="s">
        <v>1297</v>
      </c>
      <c r="R148" s="440" t="s">
        <v>1297</v>
      </c>
      <c r="S148" s="144"/>
      <c r="W148" s="350"/>
      <c r="X148" s="350"/>
      <c r="Y148" s="350"/>
      <c r="AP148" s="350"/>
      <c r="AQ148" s="350"/>
    </row>
    <row r="149" spans="2:43" x14ac:dyDescent="0.2">
      <c r="F149" s="451" t="s">
        <v>133</v>
      </c>
      <c r="G149" s="807">
        <v>831954.80783429567</v>
      </c>
      <c r="H149" s="807">
        <v>952343.16711714945</v>
      </c>
      <c r="I149" s="999">
        <v>-3</v>
      </c>
      <c r="J149" s="999">
        <v>-3</v>
      </c>
      <c r="K149" s="418"/>
      <c r="L149" s="420"/>
      <c r="P149" s="424" t="s">
        <v>133</v>
      </c>
      <c r="Q149" s="423">
        <v>832000</v>
      </c>
      <c r="R149" s="423">
        <v>952000</v>
      </c>
      <c r="S149" s="424"/>
      <c r="W149" s="350"/>
      <c r="X149" s="350"/>
      <c r="Y149" s="350"/>
      <c r="AP149" s="350"/>
      <c r="AQ149" s="350"/>
    </row>
    <row r="150" spans="2:43" x14ac:dyDescent="0.2">
      <c r="F150" s="451" t="s">
        <v>25</v>
      </c>
      <c r="G150" s="807">
        <v>208780.99475738493</v>
      </c>
      <c r="H150" s="807">
        <v>227202.69931051467</v>
      </c>
      <c r="I150" s="999">
        <v>-3</v>
      </c>
      <c r="J150" s="999">
        <v>-3</v>
      </c>
      <c r="K150" s="418"/>
      <c r="L150" s="420"/>
      <c r="P150" s="424" t="s">
        <v>25</v>
      </c>
      <c r="Q150" s="423">
        <v>209000</v>
      </c>
      <c r="R150" s="423">
        <v>227000</v>
      </c>
      <c r="S150" s="424"/>
      <c r="W150" s="350"/>
      <c r="X150" s="350"/>
      <c r="Y150" s="350"/>
      <c r="AP150" s="350"/>
      <c r="AQ150" s="350"/>
    </row>
    <row r="151" spans="2:43" x14ac:dyDescent="0.2">
      <c r="F151" s="450" t="s">
        <v>46</v>
      </c>
      <c r="G151" s="807"/>
      <c r="H151" s="807"/>
      <c r="I151" s="999">
        <v>0</v>
      </c>
      <c r="J151" s="999">
        <v>0</v>
      </c>
      <c r="K151" s="418"/>
      <c r="L151" s="420"/>
      <c r="P151" s="424"/>
      <c r="Q151" s="423" t="s">
        <v>1297</v>
      </c>
      <c r="R151" s="423" t="s">
        <v>1297</v>
      </c>
      <c r="S151" s="424"/>
      <c r="W151" s="350"/>
      <c r="X151" s="350"/>
      <c r="Y151" s="350"/>
      <c r="AP151" s="350"/>
      <c r="AQ151" s="350"/>
    </row>
    <row r="152" spans="2:43" x14ac:dyDescent="0.2">
      <c r="F152" s="451" t="s">
        <v>697</v>
      </c>
      <c r="G152" s="807">
        <v>100784.79525989</v>
      </c>
      <c r="H152" s="807">
        <v>109403.74801667969</v>
      </c>
      <c r="I152" s="999">
        <v>-3</v>
      </c>
      <c r="J152" s="999">
        <v>-3</v>
      </c>
      <c r="K152" s="418"/>
      <c r="L152" s="420"/>
      <c r="P152" s="424" t="s">
        <v>697</v>
      </c>
      <c r="Q152" s="423">
        <v>101000</v>
      </c>
      <c r="R152" s="423">
        <v>109000</v>
      </c>
      <c r="S152" s="424"/>
      <c r="W152" s="350"/>
      <c r="X152" s="350"/>
      <c r="Y152" s="350"/>
      <c r="AP152" s="350"/>
      <c r="AQ152" s="350"/>
    </row>
    <row r="153" spans="2:43" x14ac:dyDescent="0.2">
      <c r="F153" s="451" t="s">
        <v>698</v>
      </c>
      <c r="G153" s="807">
        <v>229882.68359006301</v>
      </c>
      <c r="H153" s="807">
        <v>249541.87905062389</v>
      </c>
      <c r="I153" s="999">
        <v>-3</v>
      </c>
      <c r="J153" s="999">
        <v>-3</v>
      </c>
      <c r="K153" s="214"/>
      <c r="L153" s="420"/>
      <c r="P153" s="424" t="s">
        <v>698</v>
      </c>
      <c r="Q153" s="423">
        <v>230000</v>
      </c>
      <c r="R153" s="423">
        <v>250000</v>
      </c>
      <c r="S153" s="424"/>
      <c r="W153" s="350"/>
      <c r="X153" s="350"/>
      <c r="Y153" s="350"/>
      <c r="AP153" s="350"/>
      <c r="AQ153" s="350"/>
    </row>
    <row r="154" spans="2:43" x14ac:dyDescent="0.2">
      <c r="F154" s="453" t="s">
        <v>694</v>
      </c>
      <c r="G154" s="808">
        <v>10500.932440345654</v>
      </c>
      <c r="H154" s="808">
        <v>11398.955206301494</v>
      </c>
      <c r="I154" s="999">
        <v>-2</v>
      </c>
      <c r="J154" s="999">
        <v>-2</v>
      </c>
      <c r="K154" s="214"/>
      <c r="L154" s="420"/>
      <c r="P154" s="455" t="s">
        <v>694</v>
      </c>
      <c r="Q154" s="454">
        <v>10500</v>
      </c>
      <c r="R154" s="454">
        <v>11400</v>
      </c>
      <c r="S154" s="455"/>
      <c r="W154" s="350"/>
      <c r="X154" s="350"/>
      <c r="Y154" s="350"/>
      <c r="AP154" s="350"/>
      <c r="AQ154" s="350"/>
    </row>
    <row r="155" spans="2:43" x14ac:dyDescent="0.2">
      <c r="F155" s="453" t="s">
        <v>695</v>
      </c>
      <c r="G155" s="808">
        <v>36325.163697133365</v>
      </c>
      <c r="H155" s="808">
        <v>39431.632971401414</v>
      </c>
      <c r="I155" s="999">
        <v>-2</v>
      </c>
      <c r="J155" s="999">
        <v>-2</v>
      </c>
      <c r="K155" s="214"/>
      <c r="L155" s="420"/>
      <c r="P155" s="455" t="s">
        <v>695</v>
      </c>
      <c r="Q155" s="454">
        <v>36300</v>
      </c>
      <c r="R155" s="454">
        <v>39400</v>
      </c>
      <c r="S155" s="455"/>
      <c r="W155" s="350"/>
      <c r="X155" s="350"/>
      <c r="Y155" s="350"/>
      <c r="AP155" s="350"/>
      <c r="AQ155" s="350"/>
    </row>
    <row r="156" spans="2:43" x14ac:dyDescent="0.2">
      <c r="F156" s="456" t="s">
        <v>104</v>
      </c>
      <c r="G156" s="808"/>
      <c r="H156" s="808"/>
      <c r="I156" s="999">
        <v>0</v>
      </c>
      <c r="J156" s="999">
        <v>0</v>
      </c>
      <c r="K156" s="425"/>
      <c r="L156" s="420"/>
      <c r="P156" s="151" t="s">
        <v>104</v>
      </c>
      <c r="Q156" s="433" t="s">
        <v>1297</v>
      </c>
      <c r="R156" s="433" t="s">
        <v>1297</v>
      </c>
      <c r="S156" s="151"/>
      <c r="W156" s="350"/>
      <c r="X156" s="350"/>
      <c r="Y156" s="350"/>
      <c r="AP156" s="350"/>
      <c r="AQ156" s="350"/>
    </row>
    <row r="157" spans="2:43" x14ac:dyDescent="0.2">
      <c r="F157" s="453" t="s">
        <v>133</v>
      </c>
      <c r="G157" s="808">
        <v>160081.15402892014</v>
      </c>
      <c r="H157" s="808">
        <v>176252.8617572583</v>
      </c>
      <c r="I157" s="999">
        <v>-3</v>
      </c>
      <c r="J157" s="999">
        <v>-3</v>
      </c>
      <c r="K157" s="214"/>
      <c r="L157" s="420"/>
      <c r="P157" s="455" t="s">
        <v>133</v>
      </c>
      <c r="Q157" s="454">
        <v>160000</v>
      </c>
      <c r="R157" s="454">
        <v>176000</v>
      </c>
      <c r="S157" s="455"/>
      <c r="W157" s="350"/>
      <c r="X157" s="350"/>
      <c r="Y157" s="350"/>
      <c r="AP157" s="350"/>
      <c r="AQ157" s="350"/>
    </row>
    <row r="158" spans="2:43" x14ac:dyDescent="0.2">
      <c r="F158" s="453" t="s">
        <v>696</v>
      </c>
      <c r="G158" s="809">
        <v>0</v>
      </c>
      <c r="H158" s="809">
        <v>551.97471080411503</v>
      </c>
      <c r="I158" s="999">
        <v>0</v>
      </c>
      <c r="J158" s="999">
        <v>0</v>
      </c>
      <c r="K158" s="418"/>
      <c r="L158" s="420"/>
      <c r="P158" s="455" t="s">
        <v>696</v>
      </c>
      <c r="Q158" s="457">
        <v>0</v>
      </c>
      <c r="R158" s="457">
        <v>552</v>
      </c>
      <c r="S158" s="455"/>
      <c r="W158" s="350"/>
      <c r="X158" s="350"/>
      <c r="Y158" s="350"/>
      <c r="AP158" s="350"/>
      <c r="AQ158" s="350"/>
    </row>
    <row r="159" spans="2:43" ht="12.75" thickBot="1" x14ac:dyDescent="0.25">
      <c r="F159" s="366" t="s">
        <v>693</v>
      </c>
      <c r="G159" s="812">
        <v>3579791.8019358711</v>
      </c>
      <c r="H159" s="812">
        <v>4044408.9108456257</v>
      </c>
      <c r="I159" s="999">
        <v>-4</v>
      </c>
      <c r="J159" s="999">
        <v>-4</v>
      </c>
      <c r="K159" s="418"/>
      <c r="L159" s="420"/>
      <c r="P159" s="168" t="s">
        <v>693</v>
      </c>
      <c r="Q159" s="452">
        <v>3580000</v>
      </c>
      <c r="R159" s="452">
        <v>4040000</v>
      </c>
      <c r="S159" s="144"/>
      <c r="W159" s="350"/>
      <c r="X159" s="350"/>
      <c r="Y159" s="350"/>
      <c r="AP159" s="350"/>
      <c r="AQ159" s="350"/>
    </row>
    <row r="160" spans="2:43" ht="12.75" thickTop="1" x14ac:dyDescent="0.2">
      <c r="B160" s="429"/>
      <c r="D160" s="429"/>
      <c r="E160" s="429"/>
      <c r="F160" s="429"/>
      <c r="G160" s="648" t="b">
        <v>1</v>
      </c>
      <c r="H160" s="648" t="b">
        <v>1</v>
      </c>
      <c r="I160" s="999"/>
      <c r="J160" s="999"/>
      <c r="K160" s="418"/>
      <c r="L160" s="420"/>
      <c r="O160" s="429"/>
      <c r="P160" s="429"/>
      <c r="Q160" s="429"/>
      <c r="R160" s="429"/>
      <c r="S160" s="458"/>
      <c r="W160" s="350"/>
      <c r="X160" s="350"/>
      <c r="Y160" s="350"/>
      <c r="AP160" s="350"/>
      <c r="AQ160" s="350"/>
    </row>
    <row r="161" spans="1:43" x14ac:dyDescent="0.2">
      <c r="A161" s="143" t="s">
        <v>677</v>
      </c>
      <c r="B161" s="75"/>
      <c r="C161" s="75"/>
      <c r="D161" s="75"/>
      <c r="E161" s="75"/>
      <c r="F161" s="75"/>
      <c r="G161" s="350"/>
      <c r="I161" s="999"/>
      <c r="J161" s="999"/>
      <c r="K161" s="418"/>
      <c r="L161" s="420"/>
      <c r="N161" s="143" t="s">
        <v>677</v>
      </c>
      <c r="O161" s="429"/>
      <c r="Q161" s="350" t="s">
        <v>1297</v>
      </c>
      <c r="R161" s="350" t="s">
        <v>1297</v>
      </c>
      <c r="S161" s="361"/>
      <c r="W161" s="350"/>
      <c r="X161" s="350"/>
      <c r="Y161" s="350"/>
      <c r="AP161" s="350"/>
      <c r="AQ161" s="350"/>
    </row>
    <row r="162" spans="1:43" ht="12.75" thickBot="1" x14ac:dyDescent="0.25">
      <c r="A162" s="159"/>
      <c r="G162" s="350"/>
      <c r="I162" s="999"/>
      <c r="J162" s="999"/>
      <c r="K162" s="214"/>
      <c r="L162" s="420"/>
      <c r="O162" s="75"/>
      <c r="Q162" s="350" t="s">
        <v>1297</v>
      </c>
      <c r="R162" s="350" t="s">
        <v>1297</v>
      </c>
      <c r="S162" s="361"/>
      <c r="W162" s="350"/>
      <c r="X162" s="350"/>
      <c r="Y162" s="350"/>
      <c r="AH162" s="350" t="s">
        <v>852</v>
      </c>
      <c r="AP162" s="350"/>
      <c r="AQ162" s="350"/>
    </row>
    <row r="163" spans="1:43" ht="14.25" thickTop="1" x14ac:dyDescent="0.25">
      <c r="F163" s="364"/>
      <c r="G163" s="1778" t="s">
        <v>55</v>
      </c>
      <c r="H163" s="1778"/>
      <c r="I163" s="999"/>
      <c r="J163" s="999"/>
      <c r="K163" s="214"/>
      <c r="L163" s="420"/>
      <c r="N163" s="159"/>
      <c r="P163" s="364"/>
      <c r="Q163" s="1778" t="s">
        <v>55</v>
      </c>
      <c r="R163" s="1778"/>
      <c r="S163" s="144"/>
      <c r="W163" s="350"/>
      <c r="X163" s="350"/>
      <c r="Y163" s="350"/>
      <c r="AP163" s="350"/>
      <c r="AQ163" s="350"/>
    </row>
    <row r="164" spans="1:43" x14ac:dyDescent="0.2">
      <c r="F164" s="365"/>
      <c r="G164" s="421">
        <v>2003</v>
      </c>
      <c r="H164" s="421" t="s">
        <v>127</v>
      </c>
      <c r="I164" s="999"/>
      <c r="J164" s="999"/>
      <c r="K164" s="214"/>
      <c r="L164" s="420"/>
      <c r="P164" s="365"/>
      <c r="Q164" s="421">
        <v>2003</v>
      </c>
      <c r="R164" s="421" t="s">
        <v>127</v>
      </c>
      <c r="S164" s="144"/>
      <c r="W164" s="350"/>
      <c r="X164" s="350"/>
      <c r="Y164" s="350"/>
      <c r="AP164" s="350"/>
      <c r="AQ164" s="350"/>
    </row>
    <row r="165" spans="1:43" x14ac:dyDescent="0.2">
      <c r="F165" s="448" t="s">
        <v>678</v>
      </c>
      <c r="G165" s="802">
        <v>534708.13401730801</v>
      </c>
      <c r="H165" s="802">
        <v>503629.9844031235</v>
      </c>
      <c r="I165" s="999">
        <v>-3</v>
      </c>
      <c r="J165" s="999">
        <v>-3</v>
      </c>
      <c r="K165" s="425"/>
      <c r="L165" s="420"/>
      <c r="P165" s="431" t="s">
        <v>678</v>
      </c>
      <c r="Q165" s="440">
        <v>535000</v>
      </c>
      <c r="R165" s="440">
        <v>504000</v>
      </c>
      <c r="S165" s="144"/>
      <c r="W165" s="350"/>
      <c r="X165" s="350"/>
      <c r="Y165" s="350"/>
      <c r="AP165" s="350"/>
      <c r="AQ165" s="350"/>
    </row>
    <row r="166" spans="1:43" x14ac:dyDescent="0.2">
      <c r="F166" s="448" t="s">
        <v>706</v>
      </c>
      <c r="G166" s="802"/>
      <c r="H166" s="802"/>
      <c r="I166" s="999">
        <v>0</v>
      </c>
      <c r="J166" s="999">
        <v>0</v>
      </c>
      <c r="K166" s="214"/>
      <c r="L166" s="420"/>
      <c r="P166" s="144" t="s">
        <v>706</v>
      </c>
      <c r="Q166" s="440" t="s">
        <v>1297</v>
      </c>
      <c r="R166" s="440" t="s">
        <v>1297</v>
      </c>
      <c r="S166" s="144"/>
      <c r="W166" s="350"/>
      <c r="X166" s="350"/>
      <c r="Y166" s="350"/>
      <c r="AP166" s="350"/>
      <c r="AQ166" s="350"/>
    </row>
    <row r="167" spans="1:43" x14ac:dyDescent="0.2">
      <c r="F167" s="451" t="s">
        <v>121</v>
      </c>
      <c r="G167" s="802">
        <v>524162.0912656599</v>
      </c>
      <c r="H167" s="802">
        <v>510643.34432334267</v>
      </c>
      <c r="I167" s="999">
        <v>-3</v>
      </c>
      <c r="J167" s="999">
        <v>-3</v>
      </c>
      <c r="K167" s="418"/>
      <c r="L167" s="420"/>
      <c r="P167" s="424" t="s">
        <v>121</v>
      </c>
      <c r="Q167" s="423">
        <v>524000</v>
      </c>
      <c r="R167" s="423">
        <v>511000</v>
      </c>
      <c r="S167" s="424"/>
      <c r="W167" s="350"/>
      <c r="X167" s="350"/>
      <c r="Y167" s="350"/>
      <c r="AP167" s="350"/>
      <c r="AQ167" s="350"/>
    </row>
    <row r="168" spans="1:43" x14ac:dyDescent="0.2">
      <c r="F168" s="451" t="s">
        <v>25</v>
      </c>
      <c r="G168" s="802">
        <v>89059.205223995261</v>
      </c>
      <c r="H168" s="802">
        <v>1198922.2301042632</v>
      </c>
      <c r="I168" s="999">
        <v>-2</v>
      </c>
      <c r="J168" s="999">
        <v>-4</v>
      </c>
      <c r="K168" s="418"/>
      <c r="L168" s="420"/>
      <c r="P168" s="424" t="s">
        <v>25</v>
      </c>
      <c r="Q168" s="423">
        <v>89100</v>
      </c>
      <c r="R168" s="423">
        <v>1200000</v>
      </c>
      <c r="S168" s="424"/>
      <c r="W168" s="350"/>
      <c r="X168" s="350"/>
      <c r="Y168" s="350"/>
      <c r="AP168" s="350"/>
      <c r="AQ168" s="350"/>
    </row>
    <row r="169" spans="1:43" x14ac:dyDescent="0.2">
      <c r="F169" s="450" t="s">
        <v>716</v>
      </c>
      <c r="G169" s="802"/>
      <c r="H169" s="802"/>
      <c r="I169" s="999">
        <v>0</v>
      </c>
      <c r="J169" s="999">
        <v>0</v>
      </c>
      <c r="K169" s="418"/>
      <c r="L169" s="420"/>
      <c r="P169" s="424"/>
      <c r="Q169" s="423" t="s">
        <v>1297</v>
      </c>
      <c r="R169" s="423" t="s">
        <v>1297</v>
      </c>
      <c r="S169" s="424"/>
      <c r="W169" s="350"/>
      <c r="X169" s="350"/>
      <c r="Y169" s="350"/>
      <c r="AP169" s="350"/>
      <c r="AQ169" s="350"/>
    </row>
    <row r="170" spans="1:43" x14ac:dyDescent="0.2">
      <c r="F170" s="451" t="s">
        <v>132</v>
      </c>
      <c r="G170" s="802">
        <v>560202.29937735747</v>
      </c>
      <c r="H170" s="802">
        <v>608109.89436852338</v>
      </c>
      <c r="I170" s="999">
        <v>-3</v>
      </c>
      <c r="J170" s="999">
        <v>-3</v>
      </c>
      <c r="K170" s="418"/>
      <c r="L170" s="420"/>
      <c r="P170" s="424" t="s">
        <v>132</v>
      </c>
      <c r="Q170" s="423">
        <v>560000</v>
      </c>
      <c r="R170" s="423">
        <v>608000</v>
      </c>
      <c r="S170" s="424"/>
      <c r="W170" s="350"/>
      <c r="X170" s="350"/>
      <c r="Y170" s="350"/>
      <c r="AP170" s="350"/>
      <c r="AQ170" s="350"/>
    </row>
    <row r="171" spans="1:43" x14ac:dyDescent="0.2">
      <c r="F171" s="451" t="s">
        <v>131</v>
      </c>
      <c r="G171" s="802">
        <v>14877.041433345628</v>
      </c>
      <c r="H171" s="802">
        <v>16149.301965742017</v>
      </c>
      <c r="I171" s="999">
        <v>-2</v>
      </c>
      <c r="J171" s="999">
        <v>-2</v>
      </c>
      <c r="K171" s="418"/>
      <c r="L171" s="420"/>
      <c r="P171" s="424" t="s">
        <v>131</v>
      </c>
      <c r="Q171" s="423">
        <v>14900</v>
      </c>
      <c r="R171" s="423">
        <v>16100</v>
      </c>
      <c r="S171" s="424"/>
      <c r="W171" s="350"/>
      <c r="X171" s="350"/>
      <c r="Y171" s="350"/>
      <c r="AP171" s="350"/>
      <c r="AQ171" s="350"/>
    </row>
    <row r="172" spans="1:43" x14ac:dyDescent="0.2">
      <c r="F172" s="453" t="s">
        <v>202</v>
      </c>
      <c r="G172" s="814">
        <v>96649.941697402654</v>
      </c>
      <c r="H172" s="814">
        <v>104915.28846214342</v>
      </c>
      <c r="I172" s="999">
        <v>-2</v>
      </c>
      <c r="J172" s="999">
        <v>-3</v>
      </c>
      <c r="K172" s="418"/>
      <c r="L172" s="420"/>
      <c r="P172" s="424" t="s">
        <v>202</v>
      </c>
      <c r="Q172" s="454">
        <v>96600</v>
      </c>
      <c r="R172" s="454">
        <v>105000</v>
      </c>
      <c r="S172" s="455"/>
      <c r="W172" s="350"/>
      <c r="X172" s="350"/>
      <c r="Y172" s="350"/>
      <c r="AP172" s="350"/>
      <c r="AQ172" s="350"/>
    </row>
    <row r="173" spans="1:43" x14ac:dyDescent="0.2">
      <c r="F173" s="459" t="s">
        <v>264</v>
      </c>
      <c r="G173" s="815">
        <v>47729.205888466466</v>
      </c>
      <c r="H173" s="815">
        <v>51810.930414581555</v>
      </c>
      <c r="I173" s="999">
        <v>-2</v>
      </c>
      <c r="J173" s="999">
        <v>-2</v>
      </c>
      <c r="K173" s="418"/>
      <c r="L173" s="420"/>
      <c r="P173" s="455" t="s">
        <v>264</v>
      </c>
      <c r="Q173" s="457">
        <v>47700</v>
      </c>
      <c r="R173" s="457">
        <v>51800</v>
      </c>
      <c r="S173" s="460"/>
      <c r="W173" s="350"/>
      <c r="X173" s="350"/>
      <c r="Y173" s="350"/>
      <c r="AP173" s="350"/>
      <c r="AQ173" s="350"/>
    </row>
    <row r="174" spans="1:43" ht="12.75" thickBot="1" x14ac:dyDescent="0.25">
      <c r="F174" s="368" t="s">
        <v>693</v>
      </c>
      <c r="G174" s="816">
        <v>1867387.9189035355</v>
      </c>
      <c r="H174" s="816">
        <v>2994180.9740417195</v>
      </c>
      <c r="I174" s="999">
        <v>-4</v>
      </c>
      <c r="J174" s="999">
        <v>-4</v>
      </c>
      <c r="K174" s="418"/>
      <c r="L174" s="420"/>
      <c r="P174" s="168" t="s">
        <v>693</v>
      </c>
      <c r="Q174" s="461">
        <v>1870000</v>
      </c>
      <c r="R174" s="461">
        <v>2990000</v>
      </c>
      <c r="S174" s="151"/>
      <c r="W174" s="350"/>
      <c r="X174" s="350"/>
      <c r="Y174" s="350"/>
      <c r="AP174" s="350"/>
      <c r="AQ174" s="350"/>
    </row>
    <row r="175" spans="1:43" ht="12.75" thickTop="1" x14ac:dyDescent="0.2">
      <c r="A175" s="159"/>
      <c r="F175" s="429"/>
      <c r="G175" s="648" t="b">
        <v>1</v>
      </c>
      <c r="H175" s="648" t="b">
        <v>1</v>
      </c>
      <c r="I175" s="1004"/>
      <c r="K175" s="214"/>
      <c r="L175" s="420"/>
      <c r="P175" s="429"/>
      <c r="Q175" s="429"/>
      <c r="R175" s="429"/>
      <c r="S175" s="458"/>
      <c r="W175" s="350"/>
      <c r="X175" s="350"/>
      <c r="Y175" s="350"/>
      <c r="AP175" s="350"/>
      <c r="AQ175" s="350"/>
    </row>
    <row r="176" spans="1:43" x14ac:dyDescent="0.2">
      <c r="G176" s="603"/>
      <c r="I176" s="1004"/>
      <c r="K176" s="214"/>
      <c r="L176" s="420"/>
      <c r="N176" s="159"/>
      <c r="W176" s="350"/>
      <c r="X176" s="350"/>
      <c r="Y176" s="350"/>
      <c r="AP176" s="350"/>
      <c r="AQ176" s="350"/>
    </row>
    <row r="177" spans="1:229" s="614" customFormat="1" x14ac:dyDescent="0.2">
      <c r="A177" s="610" t="s">
        <v>681</v>
      </c>
      <c r="B177" s="611"/>
      <c r="C177" s="611"/>
      <c r="D177" s="611"/>
      <c r="E177" s="611"/>
      <c r="F177" s="612"/>
      <c r="G177" s="611"/>
      <c r="H177" s="611"/>
      <c r="I177" s="1008"/>
      <c r="J177" s="1008"/>
      <c r="K177" s="608"/>
      <c r="L177" s="608"/>
      <c r="M177" s="608"/>
      <c r="N177" s="608"/>
      <c r="O177" s="608"/>
      <c r="P177" s="608"/>
      <c r="Q177" s="608"/>
      <c r="R177" s="608"/>
      <c r="S177" s="610"/>
      <c r="T177" s="611"/>
      <c r="U177" s="612"/>
      <c r="V177" s="611"/>
      <c r="W177" s="611"/>
      <c r="X177" s="608"/>
      <c r="Y177" s="608"/>
      <c r="Z177" s="608"/>
      <c r="AA177" s="608"/>
      <c r="AB177" s="608"/>
      <c r="AC177" s="608"/>
      <c r="AD177" s="611"/>
      <c r="AE177" s="611"/>
      <c r="AF177" s="608"/>
      <c r="AG177" s="608"/>
      <c r="AH177" s="608"/>
      <c r="AI177" s="608"/>
      <c r="AJ177" s="611"/>
      <c r="AK177" s="611"/>
      <c r="AL177" s="608"/>
      <c r="AM177" s="608"/>
      <c r="AN177" s="608"/>
      <c r="AO177" s="608"/>
      <c r="AP177" s="608"/>
      <c r="AQ177" s="608"/>
      <c r="AR177" s="610" t="s">
        <v>681</v>
      </c>
      <c r="AS177" s="608"/>
      <c r="AT177" s="608"/>
      <c r="AU177" s="608"/>
      <c r="AV177" s="608"/>
      <c r="AW177" s="608"/>
      <c r="AX177" s="608"/>
      <c r="AY177" s="608"/>
      <c r="AZ177" s="608"/>
      <c r="BA177" s="608"/>
      <c r="BB177" s="610"/>
      <c r="BC177" s="611"/>
      <c r="BD177" s="611"/>
      <c r="BE177" s="611"/>
      <c r="BF177" s="611"/>
      <c r="BG177" s="612"/>
      <c r="BH177" s="611"/>
      <c r="BI177" s="611"/>
      <c r="BJ177" s="608"/>
      <c r="BK177" s="608"/>
      <c r="BL177" s="608"/>
      <c r="BM177" s="608"/>
      <c r="BN177" s="608"/>
      <c r="BO177" s="608"/>
      <c r="BP177" s="608"/>
      <c r="BQ177" s="610"/>
      <c r="BR177" s="611"/>
      <c r="BS177" s="611"/>
      <c r="BT177" s="611"/>
      <c r="BU177" s="611"/>
      <c r="BV177" s="612"/>
      <c r="BW177" s="611"/>
      <c r="BX177" s="611"/>
      <c r="BY177" s="608"/>
      <c r="BZ177" s="608"/>
      <c r="CA177" s="608"/>
      <c r="CB177" s="608"/>
      <c r="CC177" s="608"/>
      <c r="CD177" s="608"/>
      <c r="CE177" s="608"/>
      <c r="CF177" s="608"/>
      <c r="CG177" s="608"/>
      <c r="CH177" s="608"/>
      <c r="CI177" s="608"/>
      <c r="CJ177" s="610"/>
      <c r="CK177" s="611"/>
      <c r="CL177" s="611"/>
      <c r="CM177" s="611"/>
      <c r="CN177" s="611"/>
      <c r="CO177" s="612"/>
      <c r="CP177" s="611"/>
      <c r="CQ177" s="611"/>
      <c r="CR177" s="608"/>
      <c r="CS177" s="608"/>
      <c r="CT177" s="608"/>
      <c r="CU177" s="608"/>
      <c r="CV177" s="608"/>
      <c r="CW177" s="608"/>
      <c r="CX177" s="608"/>
      <c r="CY177" s="608"/>
      <c r="CZ177" s="608"/>
      <c r="DA177" s="608"/>
      <c r="DB177" s="608"/>
      <c r="DC177" s="610"/>
      <c r="DD177" s="611"/>
      <c r="DE177" s="611"/>
      <c r="DF177" s="611"/>
      <c r="DG177" s="611"/>
      <c r="DH177" s="612"/>
      <c r="DI177" s="611"/>
      <c r="DJ177" s="611"/>
      <c r="DK177" s="608"/>
      <c r="DL177" s="608"/>
      <c r="DM177" s="608"/>
      <c r="DN177" s="608"/>
      <c r="DO177" s="608"/>
      <c r="DP177" s="608"/>
      <c r="DQ177" s="608"/>
      <c r="DR177" s="608"/>
      <c r="DS177" s="608"/>
      <c r="DT177" s="608"/>
      <c r="DU177" s="608"/>
      <c r="DV177" s="610"/>
      <c r="DW177" s="611"/>
      <c r="DX177" s="611"/>
      <c r="DY177" s="611"/>
      <c r="DZ177" s="611"/>
      <c r="EA177" s="612"/>
      <c r="EB177" s="611"/>
      <c r="EC177" s="611"/>
      <c r="ED177" s="608"/>
      <c r="EE177" s="608"/>
      <c r="EF177" s="608"/>
      <c r="EG177" s="608"/>
      <c r="EH177" s="608"/>
      <c r="EI177" s="608"/>
      <c r="EJ177" s="608"/>
      <c r="EK177" s="608"/>
      <c r="EL177" s="608"/>
      <c r="EM177" s="608"/>
      <c r="EN177" s="608"/>
      <c r="EO177" s="610"/>
      <c r="EP177" s="611"/>
      <c r="EQ177" s="611"/>
      <c r="ER177" s="611"/>
      <c r="ES177" s="611"/>
      <c r="ET177" s="612"/>
      <c r="EU177" s="611"/>
      <c r="EV177" s="611"/>
      <c r="EW177" s="608"/>
      <c r="EX177" s="608"/>
      <c r="EY177" s="608"/>
      <c r="EZ177" s="608"/>
      <c r="FA177" s="608"/>
      <c r="FB177" s="608"/>
      <c r="FC177" s="608"/>
      <c r="FD177" s="608"/>
      <c r="FE177" s="608"/>
      <c r="FF177" s="608"/>
      <c r="FG177" s="608"/>
      <c r="FH177" s="610"/>
      <c r="FI177" s="611"/>
      <c r="FJ177" s="611"/>
      <c r="FK177" s="611"/>
      <c r="FL177" s="611"/>
      <c r="FM177" s="612"/>
      <c r="FN177" s="611"/>
      <c r="FO177" s="611"/>
      <c r="FP177" s="608"/>
      <c r="FQ177" s="608"/>
      <c r="FR177" s="608"/>
      <c r="FS177" s="608"/>
      <c r="FT177" s="608"/>
      <c r="FU177" s="608"/>
      <c r="FV177" s="608"/>
      <c r="FW177" s="608"/>
      <c r="FX177" s="608"/>
      <c r="FY177" s="608"/>
      <c r="FZ177" s="608"/>
      <c r="GA177" s="610"/>
      <c r="GB177" s="611"/>
      <c r="GC177" s="611"/>
      <c r="GD177" s="611"/>
      <c r="GE177" s="611"/>
      <c r="GF177" s="612"/>
      <c r="GG177" s="611"/>
      <c r="GH177" s="611"/>
      <c r="GI177" s="608"/>
      <c r="GJ177" s="608"/>
      <c r="GK177" s="608"/>
      <c r="GL177" s="608"/>
      <c r="GM177" s="608"/>
      <c r="GN177" s="608"/>
      <c r="GO177" s="608"/>
      <c r="GP177" s="608"/>
      <c r="GQ177" s="608"/>
      <c r="GR177" s="608"/>
      <c r="GS177" s="608"/>
      <c r="GT177" s="610"/>
      <c r="GU177" s="611"/>
      <c r="GV177" s="611"/>
      <c r="GW177" s="611"/>
      <c r="GX177" s="611"/>
      <c r="GY177" s="612"/>
      <c r="GZ177" s="611"/>
      <c r="HA177" s="611"/>
      <c r="HB177" s="608"/>
      <c r="HC177" s="608"/>
      <c r="HD177" s="608"/>
      <c r="HE177" s="608"/>
      <c r="HF177" s="608"/>
      <c r="HG177" s="608"/>
      <c r="HH177" s="608"/>
      <c r="HI177" s="608"/>
      <c r="HJ177" s="608"/>
      <c r="HK177" s="608"/>
      <c r="HL177" s="608"/>
      <c r="HM177" s="610"/>
      <c r="HN177" s="611"/>
      <c r="HO177" s="611"/>
      <c r="HP177" s="611"/>
      <c r="HQ177" s="611"/>
      <c r="HR177" s="612"/>
      <c r="HS177" s="611"/>
      <c r="HT177" s="611"/>
      <c r="HU177" s="608"/>
    </row>
    <row r="178" spans="1:229" x14ac:dyDescent="0.2">
      <c r="G178" s="350"/>
      <c r="I178" s="999"/>
      <c r="J178" s="1000"/>
      <c r="K178" s="420"/>
      <c r="W178" s="350"/>
      <c r="X178" s="350"/>
      <c r="Y178" s="350"/>
      <c r="AP178" s="350"/>
      <c r="AQ178" s="350"/>
    </row>
    <row r="179" spans="1:229" x14ac:dyDescent="0.2">
      <c r="A179" s="271" t="s">
        <v>848</v>
      </c>
      <c r="B179" s="169"/>
      <c r="C179" s="338"/>
      <c r="D179" s="338"/>
      <c r="E179" s="74"/>
      <c r="F179" s="74"/>
      <c r="G179" s="350"/>
      <c r="I179" s="999"/>
      <c r="J179" s="999"/>
      <c r="K179" s="420"/>
      <c r="N179" s="271" t="s">
        <v>848</v>
      </c>
      <c r="O179" s="169"/>
      <c r="P179" s="338"/>
      <c r="Q179" s="338"/>
      <c r="W179" s="350"/>
      <c r="X179" s="350"/>
      <c r="Y179" s="350"/>
      <c r="AH179" s="350" t="s">
        <v>852</v>
      </c>
      <c r="AP179" s="350"/>
      <c r="AQ179" s="350"/>
    </row>
    <row r="180" spans="1:229" ht="12.75" thickBot="1" x14ac:dyDescent="0.25">
      <c r="A180" s="159"/>
      <c r="B180" s="462"/>
      <c r="G180" s="350"/>
      <c r="I180" s="999"/>
      <c r="J180" s="999"/>
      <c r="K180" s="420"/>
      <c r="W180" s="350"/>
      <c r="X180" s="350"/>
      <c r="Y180" s="350"/>
      <c r="AP180" s="350"/>
      <c r="AQ180" s="350"/>
    </row>
    <row r="181" spans="1:229" ht="15.75" customHeight="1" thickTop="1" x14ac:dyDescent="0.25">
      <c r="F181" s="364"/>
      <c r="G181" s="1778" t="s">
        <v>55</v>
      </c>
      <c r="H181" s="1778"/>
      <c r="I181" s="999"/>
      <c r="J181" s="999"/>
      <c r="K181" s="420"/>
      <c r="N181" s="437"/>
      <c r="O181" s="463"/>
      <c r="P181" s="141"/>
      <c r="Q181" s="141"/>
      <c r="R181" s="1778" t="s">
        <v>55</v>
      </c>
      <c r="S181" s="1778"/>
      <c r="W181" s="350"/>
      <c r="X181" s="350"/>
      <c r="Y181" s="350"/>
      <c r="AP181" s="350"/>
      <c r="AQ181" s="350"/>
    </row>
    <row r="182" spans="1:229" x14ac:dyDescent="0.2">
      <c r="F182" s="365"/>
      <c r="G182" s="421">
        <v>2003</v>
      </c>
      <c r="H182" s="421" t="s">
        <v>127</v>
      </c>
      <c r="I182" s="999"/>
      <c r="J182" s="999"/>
      <c r="K182" s="420"/>
      <c r="N182" s="361"/>
      <c r="O182" s="361"/>
      <c r="P182" s="161"/>
      <c r="Q182" s="161"/>
      <c r="R182" s="335">
        <v>2003</v>
      </c>
      <c r="S182" s="335" t="s">
        <v>127</v>
      </c>
      <c r="W182" s="350"/>
      <c r="X182" s="350"/>
      <c r="Y182" s="350"/>
      <c r="AP182" s="350"/>
      <c r="AQ182" s="350"/>
    </row>
    <row r="183" spans="1:229" x14ac:dyDescent="0.2">
      <c r="F183" s="448" t="s">
        <v>708</v>
      </c>
      <c r="G183" s="449"/>
      <c r="H183" s="449"/>
      <c r="I183" s="999"/>
      <c r="J183" s="999"/>
      <c r="K183" s="420"/>
      <c r="N183" s="361"/>
      <c r="O183" s="361"/>
      <c r="P183" s="144" t="s">
        <v>708</v>
      </c>
      <c r="Q183" s="448"/>
      <c r="R183" s="449"/>
      <c r="S183" s="449"/>
      <c r="W183" s="350"/>
      <c r="X183" s="350"/>
      <c r="Y183" s="350"/>
      <c r="AP183" s="350"/>
      <c r="AQ183" s="350"/>
    </row>
    <row r="184" spans="1:229" x14ac:dyDescent="0.2">
      <c r="F184" s="448" t="s">
        <v>705</v>
      </c>
      <c r="G184" s="813"/>
      <c r="H184" s="813"/>
      <c r="I184" s="999"/>
      <c r="J184" s="1000"/>
      <c r="K184" s="420"/>
      <c r="N184" s="361"/>
      <c r="O184" s="361"/>
      <c r="P184" s="144" t="s">
        <v>705</v>
      </c>
      <c r="Q184" s="448"/>
      <c r="R184" s="440" t="s">
        <v>1297</v>
      </c>
      <c r="S184" s="440" t="s">
        <v>1297</v>
      </c>
      <c r="W184" s="350"/>
      <c r="X184" s="350"/>
      <c r="Y184" s="350"/>
      <c r="AP184" s="350"/>
      <c r="AQ184" s="350"/>
    </row>
    <row r="185" spans="1:229" x14ac:dyDescent="0.2">
      <c r="F185" s="451" t="s">
        <v>683</v>
      </c>
      <c r="G185" s="813">
        <v>411380.49062961666</v>
      </c>
      <c r="H185" s="813">
        <v>394643.51949045953</v>
      </c>
      <c r="I185" s="999">
        <v>-3</v>
      </c>
      <c r="J185" s="999">
        <v>-3</v>
      </c>
      <c r="K185" s="420"/>
      <c r="N185" s="361"/>
      <c r="O185" s="361"/>
      <c r="P185" s="424" t="s">
        <v>683</v>
      </c>
      <c r="Q185" s="451"/>
      <c r="R185" s="423">
        <v>411000</v>
      </c>
      <c r="S185" s="423">
        <v>395000</v>
      </c>
      <c r="W185" s="350"/>
      <c r="X185" s="350"/>
      <c r="Y185" s="350"/>
      <c r="AP185" s="350"/>
      <c r="AQ185" s="350"/>
    </row>
    <row r="186" spans="1:229" x14ac:dyDescent="0.2">
      <c r="F186" s="451" t="s">
        <v>49</v>
      </c>
      <c r="G186" s="813">
        <v>286186.18622956501</v>
      </c>
      <c r="H186" s="813">
        <v>337941.17712677934</v>
      </c>
      <c r="I186" s="999">
        <v>-3</v>
      </c>
      <c r="J186" s="999">
        <v>-3</v>
      </c>
      <c r="K186" s="420"/>
      <c r="N186" s="361"/>
      <c r="O186" s="361"/>
      <c r="P186" s="424" t="s">
        <v>49</v>
      </c>
      <c r="Q186" s="451"/>
      <c r="R186" s="423">
        <v>286000</v>
      </c>
      <c r="S186" s="423">
        <v>338000</v>
      </c>
      <c r="W186" s="350"/>
      <c r="X186" s="350"/>
      <c r="Y186" s="350"/>
      <c r="AP186" s="350"/>
      <c r="AQ186" s="350"/>
    </row>
    <row r="187" spans="1:229" ht="11.25" customHeight="1" x14ac:dyDescent="0.2">
      <c r="F187" s="451" t="s">
        <v>701</v>
      </c>
      <c r="G187" s="817">
        <v>17013.932732676825</v>
      </c>
      <c r="H187" s="817">
        <v>17128.298879999998</v>
      </c>
      <c r="I187" s="999">
        <v>-2</v>
      </c>
      <c r="J187" s="999">
        <v>-2</v>
      </c>
      <c r="K187" s="420"/>
      <c r="N187" s="361"/>
      <c r="O187" s="361"/>
      <c r="P187" s="424" t="s">
        <v>701</v>
      </c>
      <c r="Q187" s="451"/>
      <c r="R187" s="423">
        <v>17000</v>
      </c>
      <c r="S187" s="423">
        <v>17100</v>
      </c>
      <c r="W187" s="350"/>
      <c r="X187" s="350"/>
      <c r="Y187" s="350"/>
      <c r="AP187" s="350"/>
      <c r="AQ187" s="350"/>
    </row>
    <row r="188" spans="1:229" x14ac:dyDescent="0.2">
      <c r="F188" s="450" t="s">
        <v>12</v>
      </c>
      <c r="G188" s="813">
        <v>3078.5219532432993</v>
      </c>
      <c r="H188" s="813">
        <v>3175.320706613707</v>
      </c>
      <c r="I188" s="999">
        <v>-1</v>
      </c>
      <c r="J188" s="999">
        <v>-1</v>
      </c>
      <c r="K188" s="420"/>
      <c r="N188" s="361"/>
      <c r="O188" s="361"/>
      <c r="P188" s="144" t="s">
        <v>12</v>
      </c>
      <c r="Q188" s="450"/>
      <c r="R188" s="423">
        <v>3080</v>
      </c>
      <c r="S188" s="423">
        <v>3180</v>
      </c>
      <c r="W188" s="350"/>
      <c r="X188" s="350"/>
      <c r="Y188" s="350"/>
      <c r="AP188" s="350"/>
      <c r="AQ188" s="350"/>
    </row>
    <row r="189" spans="1:229" x14ac:dyDescent="0.2">
      <c r="F189" s="450" t="s">
        <v>878</v>
      </c>
      <c r="G189" s="813">
        <v>37040.221606628576</v>
      </c>
      <c r="H189" s="813">
        <v>37188.979255066668</v>
      </c>
      <c r="I189" s="999"/>
      <c r="J189" s="999"/>
      <c r="K189" s="420"/>
      <c r="N189" s="361"/>
      <c r="O189" s="361"/>
      <c r="P189" s="144" t="s">
        <v>878</v>
      </c>
      <c r="Q189" s="450"/>
      <c r="R189" s="423"/>
      <c r="S189" s="423"/>
      <c r="W189" s="350"/>
      <c r="X189" s="350"/>
      <c r="Y189" s="350"/>
      <c r="AP189" s="350"/>
      <c r="AQ189" s="350"/>
    </row>
    <row r="190" spans="1:229" x14ac:dyDescent="0.2">
      <c r="F190" s="456" t="s">
        <v>707</v>
      </c>
      <c r="G190" s="817"/>
      <c r="H190" s="817"/>
      <c r="I190" s="999">
        <v>-2</v>
      </c>
      <c r="J190" s="999">
        <v>-2</v>
      </c>
      <c r="K190" s="420"/>
      <c r="N190" s="361"/>
      <c r="O190" s="361"/>
      <c r="P190" s="601" t="s">
        <v>707</v>
      </c>
      <c r="Q190" s="456"/>
      <c r="R190" s="454"/>
      <c r="S190" s="454"/>
      <c r="W190" s="350"/>
      <c r="X190" s="350"/>
      <c r="Y190" s="350"/>
      <c r="AP190" s="350"/>
      <c r="AQ190" s="350"/>
    </row>
    <row r="191" spans="1:229" x14ac:dyDescent="0.2">
      <c r="F191" s="451" t="s">
        <v>872</v>
      </c>
      <c r="G191" s="813">
        <v>541770.95647584868</v>
      </c>
      <c r="H191" s="813">
        <v>675579.35552460991</v>
      </c>
      <c r="I191" s="999"/>
      <c r="J191" s="999"/>
      <c r="K191" s="420"/>
      <c r="N191" s="361"/>
      <c r="O191" s="361"/>
      <c r="P191" s="451" t="s">
        <v>872</v>
      </c>
      <c r="Q191" s="456"/>
      <c r="R191" s="454"/>
      <c r="S191" s="454"/>
      <c r="W191" s="350"/>
      <c r="X191" s="350"/>
      <c r="Y191" s="350"/>
      <c r="AP191" s="350"/>
      <c r="AQ191" s="350"/>
    </row>
    <row r="192" spans="1:229" x14ac:dyDescent="0.2">
      <c r="F192" s="451" t="s">
        <v>851</v>
      </c>
      <c r="G192" s="813">
        <v>50846.160877613882</v>
      </c>
      <c r="H192" s="813">
        <v>56178.896691388327</v>
      </c>
      <c r="I192" s="999"/>
      <c r="J192" s="999"/>
      <c r="K192" s="420"/>
      <c r="N192" s="361"/>
      <c r="O192" s="361"/>
      <c r="P192" s="451" t="s">
        <v>851</v>
      </c>
      <c r="Q192" s="456"/>
      <c r="R192" s="454">
        <v>50846.160877613882</v>
      </c>
      <c r="S192" s="454">
        <v>56178.896691388327</v>
      </c>
      <c r="W192" s="350"/>
      <c r="X192" s="350"/>
      <c r="Y192" s="350"/>
      <c r="AP192" s="350"/>
      <c r="AQ192" s="350"/>
    </row>
    <row r="193" spans="1:69" ht="12.75" thickBot="1" x14ac:dyDescent="0.25">
      <c r="F193" s="368" t="s">
        <v>693</v>
      </c>
      <c r="G193" s="818">
        <v>1347316.4705051929</v>
      </c>
      <c r="H193" s="818">
        <v>1521835.5476749174</v>
      </c>
      <c r="I193" s="999">
        <v>-4</v>
      </c>
      <c r="J193" s="999">
        <v>-4</v>
      </c>
      <c r="K193" s="420"/>
      <c r="N193" s="361"/>
      <c r="O193" s="361"/>
      <c r="P193" s="166" t="s">
        <v>693</v>
      </c>
      <c r="Q193" s="368"/>
      <c r="R193" s="461">
        <v>1350000</v>
      </c>
      <c r="S193" s="461">
        <v>1520000</v>
      </c>
      <c r="W193" s="350"/>
      <c r="X193" s="350"/>
      <c r="Y193" s="350"/>
      <c r="AP193" s="350"/>
      <c r="AQ193" s="350"/>
    </row>
    <row r="194" spans="1:69" ht="12.75" thickTop="1" x14ac:dyDescent="0.2">
      <c r="G194" s="416" t="b">
        <v>1</v>
      </c>
      <c r="H194" s="416" t="b">
        <v>1</v>
      </c>
      <c r="I194" s="999"/>
      <c r="J194" s="999"/>
      <c r="K194" s="420"/>
      <c r="N194" s="361"/>
      <c r="O194" s="361"/>
      <c r="W194" s="350"/>
      <c r="X194" s="350"/>
      <c r="Y194" s="350"/>
      <c r="AP194" s="350"/>
      <c r="AQ194" s="350"/>
    </row>
    <row r="195" spans="1:69" x14ac:dyDescent="0.2">
      <c r="G195" s="350"/>
      <c r="I195" s="1000"/>
      <c r="J195" s="1000"/>
      <c r="K195" s="150"/>
      <c r="L195" s="150"/>
      <c r="N195" s="150"/>
      <c r="O195" s="150"/>
      <c r="P195" s="150"/>
      <c r="R195" s="361"/>
      <c r="W195" s="350"/>
      <c r="X195" s="350"/>
      <c r="Y195" s="350"/>
      <c r="AP195" s="350"/>
      <c r="AQ195" s="350"/>
    </row>
    <row r="196" spans="1:69" s="634" customFormat="1" x14ac:dyDescent="0.2">
      <c r="A196" s="630" t="s">
        <v>710</v>
      </c>
      <c r="B196" s="611"/>
      <c r="C196" s="611"/>
      <c r="D196" s="611"/>
      <c r="E196" s="611"/>
      <c r="F196" s="612"/>
      <c r="G196" s="608"/>
      <c r="H196" s="608"/>
      <c r="I196" s="1008"/>
      <c r="J196" s="1008"/>
      <c r="K196" s="608"/>
      <c r="L196" s="608"/>
      <c r="M196" s="613"/>
      <c r="N196" s="613"/>
      <c r="O196" s="613"/>
      <c r="P196" s="613"/>
      <c r="Q196" s="613"/>
      <c r="R196" s="613"/>
      <c r="S196" s="613"/>
      <c r="T196" s="613"/>
      <c r="U196" s="613"/>
      <c r="V196" s="613"/>
      <c r="W196" s="613"/>
      <c r="X196" s="613"/>
      <c r="Y196" s="613"/>
      <c r="Z196" s="613"/>
      <c r="AA196" s="613"/>
      <c r="AB196" s="613"/>
      <c r="AC196" s="613"/>
      <c r="AD196" s="613"/>
      <c r="AE196" s="613"/>
      <c r="AF196" s="613"/>
      <c r="AG196" s="613"/>
      <c r="AH196" s="613"/>
      <c r="AI196" s="613"/>
      <c r="AJ196" s="613"/>
      <c r="AK196" s="613"/>
      <c r="AL196" s="613"/>
      <c r="AM196" s="613"/>
      <c r="AN196" s="613"/>
      <c r="AO196" s="613"/>
      <c r="AP196" s="613"/>
      <c r="AQ196" s="613"/>
      <c r="AR196" s="613"/>
      <c r="AS196" s="613"/>
      <c r="AT196" s="630" t="s">
        <v>710</v>
      </c>
      <c r="AU196" s="630"/>
      <c r="AV196" s="631"/>
      <c r="AW196" s="631"/>
      <c r="AX196" s="611"/>
      <c r="AY196" s="612"/>
      <c r="AZ196" s="632"/>
      <c r="BA196" s="632"/>
      <c r="BB196" s="632"/>
      <c r="BC196" s="632"/>
      <c r="BD196" s="632"/>
      <c r="BE196" s="632"/>
      <c r="BF196" s="632"/>
      <c r="BG196" s="633"/>
      <c r="BH196" s="633"/>
      <c r="BI196" s="633"/>
      <c r="BJ196" s="633"/>
      <c r="BK196" s="633"/>
      <c r="BL196" s="633"/>
      <c r="BM196" s="633"/>
      <c r="BN196" s="633"/>
      <c r="BO196" s="633"/>
      <c r="BP196" s="631"/>
      <c r="BQ196" s="611"/>
    </row>
    <row r="197" spans="1:69" x14ac:dyDescent="0.2">
      <c r="G197" s="350"/>
      <c r="I197" s="1004"/>
      <c r="J197" s="1004"/>
      <c r="K197" s="214"/>
      <c r="L197" s="420"/>
      <c r="W197" s="350"/>
      <c r="X197" s="350"/>
      <c r="Y197" s="350"/>
      <c r="AP197" s="350"/>
      <c r="AQ197" s="350"/>
    </row>
    <row r="198" spans="1:69" x14ac:dyDescent="0.2">
      <c r="A198" s="143" t="s">
        <v>44</v>
      </c>
      <c r="B198" s="338"/>
      <c r="C198" s="338"/>
      <c r="D198" s="74"/>
      <c r="E198" s="74"/>
      <c r="F198" s="74"/>
      <c r="G198" s="350"/>
      <c r="I198" s="1004"/>
      <c r="J198" s="1004"/>
      <c r="K198" s="214"/>
      <c r="L198" s="420"/>
      <c r="N198" s="143" t="s">
        <v>44</v>
      </c>
      <c r="T198" s="361"/>
      <c r="U198" s="361"/>
      <c r="V198" s="361"/>
      <c r="W198" s="361"/>
      <c r="X198" s="361"/>
      <c r="Y198" s="361"/>
      <c r="Z198" s="361"/>
      <c r="AA198" s="361"/>
      <c r="AB198" s="361"/>
      <c r="AC198" s="361"/>
      <c r="AD198" s="361"/>
      <c r="AP198" s="350"/>
      <c r="AQ198" s="350"/>
    </row>
    <row r="199" spans="1:69" ht="12.75" thickBot="1" x14ac:dyDescent="0.25">
      <c r="F199" s="159"/>
      <c r="G199" s="159"/>
      <c r="H199" s="159"/>
      <c r="I199" s="1004"/>
      <c r="J199" s="1004"/>
      <c r="K199" s="214"/>
      <c r="L199" s="420"/>
      <c r="O199" s="338"/>
      <c r="P199" s="159"/>
      <c r="Q199" s="159"/>
      <c r="R199" s="159"/>
      <c r="S199" s="159"/>
      <c r="T199" s="437"/>
      <c r="U199" s="437"/>
      <c r="V199" s="437"/>
      <c r="W199" s="437"/>
      <c r="X199" s="437"/>
      <c r="Y199" s="437"/>
      <c r="Z199" s="437"/>
      <c r="AA199" s="437"/>
      <c r="AB199" s="437"/>
      <c r="AC199" s="437"/>
      <c r="AD199" s="437"/>
      <c r="AP199" s="350"/>
      <c r="AQ199" s="350"/>
    </row>
    <row r="200" spans="1:69" ht="14.25" thickTop="1" x14ac:dyDescent="0.25">
      <c r="F200" s="141"/>
      <c r="G200" s="1778" t="s">
        <v>55</v>
      </c>
      <c r="H200" s="1778"/>
      <c r="I200" s="1004"/>
      <c r="J200" s="1004"/>
      <c r="K200" s="214"/>
      <c r="L200" s="420"/>
      <c r="P200" s="141"/>
      <c r="Q200" s="141"/>
      <c r="R200" s="1780" t="s">
        <v>1298</v>
      </c>
      <c r="S200" s="1780"/>
      <c r="T200" s="144"/>
      <c r="U200" s="144"/>
      <c r="V200" s="144"/>
      <c r="W200" s="144"/>
      <c r="X200" s="144"/>
      <c r="Y200" s="144"/>
      <c r="Z200" s="144"/>
      <c r="AA200" s="144"/>
      <c r="AB200" s="144"/>
      <c r="AC200" s="144"/>
      <c r="AD200" s="144"/>
      <c r="AP200" s="350"/>
      <c r="AQ200" s="350"/>
    </row>
    <row r="201" spans="1:69" x14ac:dyDescent="0.2">
      <c r="F201" s="161"/>
      <c r="G201" s="170">
        <v>2003</v>
      </c>
      <c r="H201" s="170" t="s">
        <v>127</v>
      </c>
      <c r="I201" s="1004"/>
      <c r="K201" s="214"/>
      <c r="L201" s="420"/>
      <c r="P201" s="161"/>
      <c r="Q201" s="161"/>
      <c r="R201" s="335">
        <v>2003</v>
      </c>
      <c r="S201" s="335" t="s">
        <v>127</v>
      </c>
      <c r="T201" s="576"/>
      <c r="U201" s="576"/>
      <c r="V201" s="576"/>
      <c r="W201" s="576"/>
      <c r="X201" s="576"/>
      <c r="Y201" s="576"/>
      <c r="Z201" s="576"/>
      <c r="AA201" s="576"/>
      <c r="AB201" s="576"/>
      <c r="AC201" s="576"/>
      <c r="AD201" s="144"/>
      <c r="AP201" s="350"/>
      <c r="AQ201" s="350"/>
    </row>
    <row r="202" spans="1:69" x14ac:dyDescent="0.2">
      <c r="F202" s="431" t="s">
        <v>940</v>
      </c>
      <c r="G202" s="856">
        <v>108363.43299638538</v>
      </c>
      <c r="H202" s="856">
        <v>110690.6216177976</v>
      </c>
      <c r="I202" s="999">
        <v>-3</v>
      </c>
      <c r="J202" s="999">
        <v>-3</v>
      </c>
      <c r="K202" s="214"/>
      <c r="L202" s="420"/>
      <c r="P202" s="431" t="s">
        <v>940</v>
      </c>
      <c r="Q202" s="431"/>
      <c r="R202" s="464">
        <v>108000</v>
      </c>
      <c r="S202" s="464">
        <v>111000</v>
      </c>
      <c r="T202" s="431"/>
      <c r="U202" s="431"/>
      <c r="V202" s="431"/>
      <c r="W202" s="361"/>
      <c r="X202" s="361"/>
      <c r="Y202" s="361"/>
      <c r="Z202" s="361"/>
      <c r="AA202" s="361"/>
      <c r="AB202" s="431"/>
      <c r="AC202" s="431"/>
      <c r="AD202" s="431"/>
      <c r="AP202" s="350"/>
      <c r="AQ202" s="350"/>
    </row>
    <row r="203" spans="1:69" x14ac:dyDescent="0.2">
      <c r="F203" s="350" t="s">
        <v>941</v>
      </c>
      <c r="G203" s="856">
        <v>105872.03351075074</v>
      </c>
      <c r="H203" s="856">
        <v>102094.18837004398</v>
      </c>
      <c r="I203" s="999">
        <v>-1</v>
      </c>
      <c r="J203" s="999">
        <v>-1</v>
      </c>
      <c r="K203" s="214"/>
      <c r="L203" s="420"/>
      <c r="P203" s="431" t="s">
        <v>941</v>
      </c>
      <c r="R203" s="464">
        <v>105870</v>
      </c>
      <c r="S203" s="464">
        <v>102090</v>
      </c>
      <c r="T203" s="434"/>
      <c r="U203" s="434"/>
      <c r="V203" s="434"/>
      <c r="W203" s="361"/>
      <c r="X203" s="361"/>
      <c r="Y203" s="361"/>
      <c r="Z203" s="361"/>
      <c r="AA203" s="361"/>
      <c r="AB203" s="434"/>
      <c r="AC203" s="434"/>
      <c r="AD203" s="434"/>
      <c r="AP203" s="350"/>
      <c r="AQ203" s="350"/>
    </row>
    <row r="204" spans="1:69" x14ac:dyDescent="0.2">
      <c r="F204" s="434" t="s">
        <v>688</v>
      </c>
      <c r="G204" s="854">
        <v>3693.0787502028761</v>
      </c>
      <c r="H204" s="854">
        <v>3931.9916906143217</v>
      </c>
      <c r="I204" s="999">
        <v>-3</v>
      </c>
      <c r="J204" s="999">
        <v>-3</v>
      </c>
      <c r="K204" s="214"/>
      <c r="L204" s="420"/>
      <c r="P204" s="434" t="s">
        <v>688</v>
      </c>
      <c r="Q204" s="434"/>
      <c r="R204" s="465">
        <v>3690</v>
      </c>
      <c r="S204" s="465">
        <v>3930</v>
      </c>
      <c r="T204" s="151"/>
      <c r="U204" s="151"/>
      <c r="V204" s="151"/>
      <c r="W204" s="361"/>
      <c r="X204" s="361"/>
      <c r="Y204" s="361"/>
      <c r="Z204" s="361"/>
      <c r="AA204" s="361"/>
      <c r="AB204" s="151"/>
      <c r="AC204" s="151"/>
      <c r="AD204" s="151"/>
      <c r="AP204" s="350"/>
      <c r="AQ204" s="350"/>
    </row>
    <row r="205" spans="1:69" ht="12.75" thickBot="1" x14ac:dyDescent="0.25">
      <c r="F205" s="166" t="s">
        <v>693</v>
      </c>
      <c r="G205" s="857">
        <v>217928.54525733899</v>
      </c>
      <c r="H205" s="857">
        <v>216716.8016784559</v>
      </c>
      <c r="I205" s="1004"/>
      <c r="K205" s="214"/>
      <c r="L205" s="420"/>
      <c r="P205" s="166" t="s">
        <v>693</v>
      </c>
      <c r="Q205" s="166"/>
      <c r="R205" s="466">
        <v>218000</v>
      </c>
      <c r="S205" s="466">
        <v>217000</v>
      </c>
      <c r="T205" s="361"/>
      <c r="U205" s="361"/>
      <c r="V205" s="361"/>
      <c r="W205" s="361"/>
      <c r="X205" s="361"/>
      <c r="Y205" s="361"/>
      <c r="Z205" s="361"/>
      <c r="AA205" s="361"/>
      <c r="AB205" s="361"/>
      <c r="AC205" s="361"/>
      <c r="AD205" s="361"/>
      <c r="AP205" s="350"/>
      <c r="AQ205" s="350"/>
    </row>
    <row r="206" spans="1:69" ht="12.75" thickTop="1" x14ac:dyDescent="0.2">
      <c r="G206" s="350"/>
      <c r="I206" s="1004"/>
      <c r="J206" s="1004"/>
      <c r="K206" s="214"/>
      <c r="L206" s="420"/>
      <c r="P206" s="361"/>
      <c r="Q206" s="361"/>
      <c r="R206" s="361"/>
      <c r="S206" s="361"/>
      <c r="W206" s="350"/>
      <c r="X206" s="350"/>
      <c r="Y206" s="350"/>
      <c r="AP206" s="350"/>
      <c r="AQ206" s="350"/>
    </row>
    <row r="207" spans="1:69" s="635" customFormat="1" x14ac:dyDescent="0.2">
      <c r="A207" s="604" t="s">
        <v>755</v>
      </c>
      <c r="B207" s="605"/>
      <c r="C207" s="605"/>
      <c r="D207" s="605"/>
      <c r="E207" s="605"/>
      <c r="I207" s="1009"/>
      <c r="J207" s="1009"/>
      <c r="W207" s="636"/>
      <c r="Y207" s="636"/>
      <c r="AA207" s="636"/>
      <c r="AG207" s="636"/>
      <c r="AI207" s="636"/>
    </row>
    <row r="208" spans="1:69" x14ac:dyDescent="0.2">
      <c r="G208" s="350"/>
      <c r="S208" s="416"/>
      <c r="T208" s="416"/>
      <c r="U208" s="214"/>
      <c r="W208" s="350"/>
      <c r="X208" s="150"/>
      <c r="Y208" s="350"/>
      <c r="Z208" s="150"/>
      <c r="AB208" s="150"/>
      <c r="AH208" s="150"/>
      <c r="AJ208" s="150"/>
      <c r="AL208" s="214"/>
      <c r="AM208" s="214"/>
      <c r="AP208" s="350"/>
      <c r="AQ208" s="350"/>
    </row>
    <row r="209" spans="1:43" x14ac:dyDescent="0.2">
      <c r="A209" s="602" t="s">
        <v>792</v>
      </c>
      <c r="G209" s="350"/>
      <c r="N209" s="143" t="s">
        <v>792</v>
      </c>
      <c r="T209" s="416"/>
      <c r="U209" s="214"/>
      <c r="W209" s="350"/>
      <c r="X209" s="150"/>
      <c r="Y209" s="350"/>
      <c r="Z209" s="150"/>
      <c r="AB209" s="150"/>
      <c r="AH209" s="150"/>
      <c r="AJ209" s="150"/>
      <c r="AL209" s="214"/>
      <c r="AM209" s="214"/>
      <c r="AP209" s="350"/>
      <c r="AQ209" s="350"/>
    </row>
    <row r="210" spans="1:43" ht="12.75" thickBot="1" x14ac:dyDescent="0.25">
      <c r="G210" s="350"/>
      <c r="O210" s="338"/>
      <c r="P210" s="159"/>
      <c r="Q210" s="159"/>
      <c r="R210" s="159"/>
      <c r="S210" s="159"/>
      <c r="T210" s="416"/>
      <c r="U210" s="214"/>
      <c r="W210" s="350"/>
      <c r="X210" s="150"/>
      <c r="Y210" s="350"/>
      <c r="Z210" s="150"/>
      <c r="AB210" s="150"/>
      <c r="AH210" s="150"/>
      <c r="AJ210" s="150"/>
      <c r="AL210" s="214"/>
      <c r="AM210" s="214"/>
      <c r="AP210" s="350"/>
      <c r="AQ210" s="350"/>
    </row>
    <row r="211" spans="1:43" ht="14.25" thickTop="1" x14ac:dyDescent="0.25">
      <c r="F211" s="364"/>
      <c r="G211" s="1778" t="s">
        <v>55</v>
      </c>
      <c r="H211" s="1778"/>
      <c r="I211" s="1004"/>
      <c r="J211" s="1006"/>
      <c r="K211" s="150"/>
      <c r="L211" s="416"/>
      <c r="M211" s="150"/>
      <c r="P211" s="364"/>
      <c r="Q211" s="364"/>
      <c r="R211" s="1779" t="s">
        <v>1298</v>
      </c>
      <c r="S211" s="1779"/>
      <c r="T211" s="416"/>
      <c r="U211" s="214"/>
      <c r="W211" s="350"/>
      <c r="X211" s="150"/>
      <c r="Y211" s="350"/>
      <c r="Z211" s="150"/>
      <c r="AB211" s="150"/>
      <c r="AH211" s="150"/>
      <c r="AJ211" s="150"/>
      <c r="AL211" s="214"/>
      <c r="AM211" s="214"/>
      <c r="AP211" s="350"/>
      <c r="AQ211" s="350"/>
    </row>
    <row r="212" spans="1:43" x14ac:dyDescent="0.2">
      <c r="F212" s="365"/>
      <c r="G212" s="414" t="s">
        <v>730</v>
      </c>
      <c r="H212" s="414" t="s">
        <v>127</v>
      </c>
      <c r="I212" s="1004"/>
      <c r="J212" s="1006"/>
      <c r="K212" s="150"/>
      <c r="L212" s="416"/>
      <c r="M212" s="150"/>
      <c r="P212" s="365"/>
      <c r="Q212" s="365"/>
      <c r="R212" s="414" t="s">
        <v>730</v>
      </c>
      <c r="S212" s="414" t="s">
        <v>127</v>
      </c>
      <c r="T212" s="416"/>
      <c r="U212" s="214"/>
      <c r="W212" s="350"/>
      <c r="X212" s="150"/>
      <c r="Y212" s="350"/>
      <c r="Z212" s="150"/>
      <c r="AB212" s="150"/>
      <c r="AH212" s="150"/>
      <c r="AJ212" s="150"/>
      <c r="AL212" s="214"/>
      <c r="AM212" s="214"/>
      <c r="AP212" s="350"/>
      <c r="AQ212" s="350"/>
    </row>
    <row r="213" spans="1:43" x14ac:dyDescent="0.2">
      <c r="F213" s="331" t="s">
        <v>732</v>
      </c>
      <c r="G213" s="661">
        <v>52395.657299999999</v>
      </c>
      <c r="H213" s="661">
        <v>56590.1578128275</v>
      </c>
      <c r="I213" s="999">
        <v>-2</v>
      </c>
      <c r="J213" s="999">
        <v>-2</v>
      </c>
      <c r="K213" s="150"/>
      <c r="L213" s="468"/>
      <c r="M213" s="150"/>
      <c r="P213" s="441" t="s">
        <v>732</v>
      </c>
      <c r="Q213" s="441"/>
      <c r="R213" s="467">
        <v>52400</v>
      </c>
      <c r="S213" s="467">
        <v>56600</v>
      </c>
      <c r="T213" s="416"/>
      <c r="U213" s="214"/>
      <c r="W213" s="350"/>
      <c r="X213" s="150"/>
      <c r="Y213" s="350"/>
      <c r="Z213" s="150"/>
      <c r="AB213" s="150"/>
      <c r="AH213" s="150"/>
      <c r="AJ213" s="150"/>
      <c r="AL213" s="214"/>
      <c r="AM213" s="214"/>
      <c r="AP213" s="350"/>
      <c r="AQ213" s="350"/>
    </row>
    <row r="214" spans="1:43" x14ac:dyDescent="0.2">
      <c r="F214" s="331" t="s">
        <v>731</v>
      </c>
      <c r="G214" s="661">
        <v>84659.819800961515</v>
      </c>
      <c r="H214" s="661">
        <v>94432.705838738912</v>
      </c>
      <c r="I214" s="999">
        <v>-2</v>
      </c>
      <c r="J214" s="999">
        <v>-2</v>
      </c>
      <c r="K214" s="150"/>
      <c r="L214" s="416"/>
      <c r="M214" s="150"/>
      <c r="P214" s="441" t="s">
        <v>731</v>
      </c>
      <c r="Q214" s="441"/>
      <c r="R214" s="469">
        <v>84700</v>
      </c>
      <c r="S214" s="469">
        <v>94400</v>
      </c>
      <c r="T214" s="416"/>
      <c r="U214" s="214"/>
      <c r="W214" s="350"/>
      <c r="X214" s="150"/>
      <c r="Y214" s="350"/>
      <c r="Z214" s="150"/>
      <c r="AB214" s="150"/>
      <c r="AH214" s="150"/>
      <c r="AJ214" s="150"/>
      <c r="AL214" s="214"/>
      <c r="AM214" s="214"/>
      <c r="AP214" s="350"/>
      <c r="AQ214" s="350"/>
    </row>
    <row r="215" spans="1:43" x14ac:dyDescent="0.2">
      <c r="F215" s="331" t="s">
        <v>850</v>
      </c>
      <c r="G215" s="661">
        <v>7451.6379772401069</v>
      </c>
      <c r="H215" s="661">
        <v>6488.2056724530139</v>
      </c>
      <c r="I215" s="999">
        <v>-1</v>
      </c>
      <c r="J215" s="999">
        <v>-1</v>
      </c>
      <c r="K215" s="150"/>
      <c r="L215" s="150"/>
      <c r="M215" s="150"/>
      <c r="P215" s="441" t="s">
        <v>850</v>
      </c>
      <c r="Q215" s="441"/>
      <c r="R215" s="469">
        <v>7450</v>
      </c>
      <c r="S215" s="469">
        <v>6490</v>
      </c>
      <c r="T215" s="416"/>
      <c r="U215" s="214"/>
      <c r="W215" s="350"/>
      <c r="X215" s="150"/>
      <c r="Y215" s="350"/>
      <c r="Z215" s="150"/>
      <c r="AB215" s="150"/>
      <c r="AH215" s="150"/>
      <c r="AJ215" s="150"/>
      <c r="AL215" s="214"/>
      <c r="AM215" s="214"/>
      <c r="AP215" s="350"/>
      <c r="AQ215" s="350"/>
    </row>
    <row r="216" spans="1:43" ht="12.75" thickBot="1" x14ac:dyDescent="0.25">
      <c r="F216" s="370" t="s">
        <v>22</v>
      </c>
      <c r="G216" s="662">
        <v>144507.11507820163</v>
      </c>
      <c r="H216" s="662">
        <v>157511.06932401942</v>
      </c>
      <c r="I216" s="999">
        <v>-3</v>
      </c>
      <c r="J216" s="999">
        <v>-3</v>
      </c>
      <c r="K216" s="150"/>
      <c r="L216" s="416"/>
      <c r="M216" s="150"/>
      <c r="N216" s="416"/>
      <c r="O216" s="416"/>
      <c r="P216" s="370" t="s">
        <v>22</v>
      </c>
      <c r="Q216" s="370"/>
      <c r="R216" s="470">
        <v>145000</v>
      </c>
      <c r="S216" s="471">
        <v>158000</v>
      </c>
      <c r="T216" s="416"/>
      <c r="U216" s="214"/>
      <c r="W216" s="350"/>
      <c r="X216" s="150"/>
      <c r="Y216" s="350"/>
      <c r="Z216" s="150"/>
      <c r="AB216" s="150"/>
      <c r="AH216" s="150"/>
      <c r="AJ216" s="150"/>
      <c r="AL216" s="214"/>
      <c r="AM216" s="214"/>
      <c r="AP216" s="350"/>
      <c r="AQ216" s="350"/>
    </row>
    <row r="217" spans="1:43" ht="12.75" thickTop="1" x14ac:dyDescent="0.2">
      <c r="G217" s="350" t="b">
        <v>1</v>
      </c>
      <c r="H217" s="350" t="b">
        <v>1</v>
      </c>
      <c r="I217" s="1004"/>
      <c r="J217" s="998"/>
      <c r="K217" s="150"/>
      <c r="L217" s="189"/>
      <c r="M217" s="150"/>
      <c r="N217" s="189"/>
      <c r="O217" s="189"/>
      <c r="P217" s="189"/>
      <c r="Q217" s="189"/>
      <c r="R217" s="189"/>
      <c r="S217" s="150"/>
      <c r="T217" s="416"/>
      <c r="U217" s="214"/>
      <c r="W217" s="350"/>
      <c r="X217" s="150"/>
      <c r="Y217" s="350"/>
      <c r="Z217" s="150"/>
      <c r="AB217" s="150"/>
      <c r="AH217" s="150"/>
      <c r="AJ217" s="150"/>
      <c r="AL217" s="214"/>
      <c r="AM217" s="214"/>
      <c r="AP217" s="350"/>
      <c r="AQ217" s="350"/>
    </row>
    <row r="218" spans="1:43" x14ac:dyDescent="0.2">
      <c r="G218" s="350"/>
      <c r="I218" s="1004"/>
      <c r="J218" s="1004"/>
      <c r="K218" s="214"/>
      <c r="L218" s="420"/>
      <c r="P218" s="361"/>
      <c r="Q218" s="361"/>
      <c r="R218" s="361"/>
      <c r="S218" s="361"/>
      <c r="W218" s="350"/>
      <c r="X218" s="350"/>
      <c r="Y218" s="350"/>
      <c r="AP218" s="350"/>
      <c r="AQ218" s="350"/>
    </row>
    <row r="219" spans="1:43" s="660" customFormat="1" x14ac:dyDescent="0.2">
      <c r="A219" s="654" t="s">
        <v>955</v>
      </c>
      <c r="B219" s="654"/>
      <c r="C219" s="655"/>
      <c r="D219" s="655"/>
      <c r="E219" s="655"/>
      <c r="F219" s="655"/>
      <c r="G219" s="656"/>
      <c r="H219" s="656"/>
      <c r="I219" s="1010"/>
      <c r="J219" s="1010"/>
      <c r="K219" s="659"/>
      <c r="M219" s="654"/>
      <c r="N219" s="655"/>
      <c r="O219" s="655"/>
      <c r="P219" s="655"/>
      <c r="Q219" s="655"/>
      <c r="R219" s="656"/>
      <c r="S219" s="656"/>
    </row>
    <row r="220" spans="1:43" x14ac:dyDescent="0.2">
      <c r="G220" s="350"/>
      <c r="I220" s="1004"/>
      <c r="J220" s="1004"/>
      <c r="K220" s="214"/>
      <c r="L220" s="420"/>
      <c r="P220" s="361"/>
      <c r="Q220" s="361"/>
      <c r="R220" s="361"/>
      <c r="S220" s="361"/>
      <c r="W220" s="350"/>
      <c r="X220" s="350"/>
      <c r="Y220" s="350"/>
      <c r="AP220" s="350"/>
      <c r="AQ220" s="350"/>
    </row>
    <row r="221" spans="1:43" ht="12.75" thickBot="1" x14ac:dyDescent="0.25">
      <c r="A221" s="602" t="s">
        <v>957</v>
      </c>
    </row>
    <row r="222" spans="1:43" ht="14.25" thickTop="1" x14ac:dyDescent="0.25">
      <c r="F222" s="364"/>
      <c r="G222" s="1778" t="s">
        <v>55</v>
      </c>
      <c r="H222" s="1778"/>
      <c r="I222" s="1004"/>
      <c r="J222" s="1006"/>
      <c r="K222" s="150"/>
      <c r="L222" s="416"/>
      <c r="M222" s="150"/>
      <c r="P222" s="364"/>
      <c r="Q222" s="364"/>
      <c r="R222" s="1779" t="s">
        <v>1298</v>
      </c>
      <c r="S222" s="1779"/>
    </row>
    <row r="223" spans="1:43" x14ac:dyDescent="0.2">
      <c r="F223" s="365"/>
      <c r="G223" s="414" t="s">
        <v>730</v>
      </c>
      <c r="H223" s="414" t="s">
        <v>127</v>
      </c>
      <c r="I223" s="1004"/>
      <c r="J223" s="1006"/>
      <c r="K223" s="150"/>
      <c r="L223" s="416"/>
      <c r="M223" s="150"/>
      <c r="P223" s="365"/>
      <c r="Q223" s="365"/>
      <c r="R223" s="414" t="s">
        <v>730</v>
      </c>
      <c r="S223" s="414" t="s">
        <v>127</v>
      </c>
    </row>
    <row r="224" spans="1:43" x14ac:dyDescent="0.2">
      <c r="F224" s="447" t="s">
        <v>958</v>
      </c>
      <c r="G224" s="884">
        <v>122780.83821320487</v>
      </c>
      <c r="H224" s="884">
        <v>53277.493728684618</v>
      </c>
      <c r="I224" s="999">
        <v>-3</v>
      </c>
      <c r="J224" s="999">
        <v>-2</v>
      </c>
      <c r="K224" s="150"/>
      <c r="L224" s="468"/>
      <c r="M224" s="150"/>
      <c r="P224" s="441" t="s">
        <v>958</v>
      </c>
      <c r="Q224" s="441"/>
      <c r="R224" s="467">
        <v>123000</v>
      </c>
      <c r="S224" s="467">
        <v>53300</v>
      </c>
    </row>
    <row r="225" spans="6:43" ht="12.75" thickBot="1" x14ac:dyDescent="0.25">
      <c r="F225" s="885" t="s">
        <v>78</v>
      </c>
      <c r="G225" s="886"/>
      <c r="H225" s="886"/>
      <c r="I225" s="999">
        <v>0</v>
      </c>
      <c r="J225" s="999">
        <v>0</v>
      </c>
      <c r="K225" s="150"/>
      <c r="L225" s="416"/>
      <c r="M225" s="150"/>
      <c r="N225" s="416"/>
      <c r="O225" s="416"/>
      <c r="P225" s="370" t="s">
        <v>78</v>
      </c>
      <c r="Q225" s="370"/>
      <c r="R225" s="467" t="s">
        <v>1297</v>
      </c>
      <c r="S225" s="467" t="s">
        <v>1297</v>
      </c>
    </row>
    <row r="226" spans="6:43" ht="12.75" thickTop="1" x14ac:dyDescent="0.2">
      <c r="G226" s="350"/>
      <c r="I226" s="1004"/>
      <c r="J226" s="1004"/>
      <c r="K226" s="214"/>
      <c r="L226" s="420"/>
      <c r="P226" s="361"/>
      <c r="Q226" s="361"/>
      <c r="R226" s="361"/>
      <c r="S226" s="361"/>
      <c r="W226" s="350"/>
      <c r="X226" s="350"/>
      <c r="Y226" s="350"/>
      <c r="AP226" s="350"/>
      <c r="AQ226" s="350"/>
    </row>
    <row r="227" spans="6:43" x14ac:dyDescent="0.2">
      <c r="G227" s="350"/>
      <c r="I227" s="1004"/>
      <c r="J227" s="1004"/>
      <c r="K227" s="214"/>
      <c r="L227" s="420"/>
      <c r="P227" s="361"/>
      <c r="Q227" s="361"/>
      <c r="R227" s="361"/>
      <c r="S227" s="361"/>
      <c r="W227" s="350"/>
      <c r="X227" s="350"/>
      <c r="Y227" s="350"/>
      <c r="AP227" s="350"/>
      <c r="AQ227" s="350"/>
    </row>
    <row r="228" spans="6:43" x14ac:dyDescent="0.2">
      <c r="G228" s="350"/>
      <c r="U228" s="416"/>
      <c r="V228" s="416"/>
      <c r="W228" s="214"/>
      <c r="X228" s="350"/>
      <c r="Y228" s="350"/>
      <c r="Z228" s="150"/>
      <c r="AB228" s="150"/>
      <c r="AD228" s="150"/>
      <c r="AJ228" s="150"/>
      <c r="AL228" s="150"/>
      <c r="AN228" s="214"/>
      <c r="AO228" s="214"/>
      <c r="AP228" s="350"/>
      <c r="AQ228" s="350"/>
    </row>
    <row r="229" spans="6:43" x14ac:dyDescent="0.2">
      <c r="G229" s="350"/>
      <c r="V229" s="416"/>
      <c r="X229" s="214"/>
      <c r="Y229" s="350"/>
      <c r="AA229" s="150"/>
      <c r="AC229" s="150"/>
      <c r="AE229" s="150"/>
      <c r="AK229" s="150"/>
      <c r="AM229" s="150"/>
      <c r="AO229" s="214"/>
      <c r="AQ229" s="350"/>
    </row>
    <row r="230" spans="6:43" x14ac:dyDescent="0.2">
      <c r="G230" s="350"/>
      <c r="AB230" s="150"/>
      <c r="AD230" s="150"/>
      <c r="AF230" s="150"/>
      <c r="AL230" s="150"/>
      <c r="AN230" s="150"/>
    </row>
    <row r="231" spans="6:43" x14ac:dyDescent="0.2">
      <c r="G231" s="350"/>
      <c r="AB231" s="150"/>
      <c r="AD231" s="150"/>
      <c r="AF231" s="150"/>
      <c r="AL231" s="150"/>
      <c r="AN231" s="150"/>
    </row>
    <row r="232" spans="6:43" x14ac:dyDescent="0.2">
      <c r="G232" s="350"/>
      <c r="AB232" s="150"/>
      <c r="AD232" s="150"/>
      <c r="AF232" s="150"/>
      <c r="AL232" s="150"/>
      <c r="AN232" s="150"/>
    </row>
    <row r="233" spans="6:43" x14ac:dyDescent="0.2">
      <c r="G233" s="350"/>
      <c r="AB233" s="150"/>
      <c r="AD233" s="150"/>
      <c r="AF233" s="150"/>
      <c r="AL233" s="150"/>
      <c r="AN233" s="150"/>
    </row>
    <row r="234" spans="6:43" x14ac:dyDescent="0.2">
      <c r="G234" s="350"/>
      <c r="AB234" s="150"/>
      <c r="AD234" s="150"/>
      <c r="AF234" s="150"/>
      <c r="AL234" s="150"/>
      <c r="AN234" s="150"/>
    </row>
    <row r="235" spans="6:43" x14ac:dyDescent="0.2">
      <c r="G235" s="350"/>
      <c r="AB235" s="150"/>
      <c r="AD235" s="150"/>
      <c r="AF235" s="150"/>
      <c r="AL235" s="150"/>
      <c r="AN235" s="150"/>
    </row>
    <row r="236" spans="6:43" x14ac:dyDescent="0.2">
      <c r="G236" s="350"/>
      <c r="AB236" s="150"/>
      <c r="AD236" s="150"/>
      <c r="AF236" s="150"/>
      <c r="AL236" s="150"/>
      <c r="AN236" s="150"/>
    </row>
    <row r="237" spans="6:43" x14ac:dyDescent="0.2">
      <c r="G237" s="350"/>
      <c r="AB237" s="150"/>
      <c r="AD237" s="150"/>
      <c r="AF237" s="150"/>
      <c r="AL237" s="150"/>
      <c r="AN237" s="150"/>
    </row>
    <row r="238" spans="6:43" x14ac:dyDescent="0.2">
      <c r="G238" s="350"/>
      <c r="AB238" s="150"/>
      <c r="AD238" s="150"/>
      <c r="AF238" s="150"/>
      <c r="AL238" s="150"/>
      <c r="AN238" s="150"/>
    </row>
    <row r="239" spans="6:43" x14ac:dyDescent="0.2">
      <c r="G239" s="350"/>
      <c r="AB239" s="150"/>
      <c r="AD239" s="150"/>
      <c r="AF239" s="150"/>
      <c r="AL239" s="150"/>
      <c r="AN239" s="150"/>
    </row>
    <row r="240" spans="6:43" x14ac:dyDescent="0.2">
      <c r="G240" s="350"/>
      <c r="Z240" s="416"/>
      <c r="AA240" s="416"/>
      <c r="AB240" s="150"/>
      <c r="AC240" s="416"/>
      <c r="AD240" s="150"/>
      <c r="AE240" s="416"/>
      <c r="AF240" s="150"/>
      <c r="AG240" s="416"/>
      <c r="AH240" s="416"/>
      <c r="AI240" s="416"/>
      <c r="AJ240" s="416"/>
      <c r="AK240" s="416"/>
      <c r="AL240" s="150"/>
      <c r="AM240" s="416"/>
      <c r="AN240" s="150"/>
    </row>
    <row r="241" spans="7:43" x14ac:dyDescent="0.2">
      <c r="G241" s="350"/>
      <c r="Z241" s="189"/>
      <c r="AA241" s="189"/>
      <c r="AB241" s="150"/>
      <c r="AC241" s="189"/>
      <c r="AD241" s="150"/>
      <c r="AE241" s="189"/>
      <c r="AF241" s="150"/>
      <c r="AG241" s="189"/>
      <c r="AH241" s="189"/>
      <c r="AI241" s="189"/>
      <c r="AJ241" s="189"/>
      <c r="AK241" s="189"/>
      <c r="AL241" s="150"/>
      <c r="AM241" s="189"/>
      <c r="AN241" s="150"/>
    </row>
    <row r="242" spans="7:43" x14ac:dyDescent="0.2">
      <c r="G242" s="350"/>
      <c r="Z242" s="416"/>
      <c r="AA242" s="416"/>
      <c r="AB242" s="150"/>
      <c r="AC242" s="416"/>
      <c r="AD242" s="150"/>
      <c r="AE242" s="416"/>
      <c r="AF242" s="150"/>
      <c r="AG242" s="416"/>
      <c r="AH242" s="416"/>
      <c r="AI242" s="416"/>
      <c r="AJ242" s="416"/>
      <c r="AK242" s="416"/>
      <c r="AL242" s="150"/>
      <c r="AM242" s="416"/>
      <c r="AN242" s="150"/>
    </row>
    <row r="243" spans="7:43" x14ac:dyDescent="0.2">
      <c r="G243" s="350"/>
      <c r="Z243" s="416"/>
      <c r="AA243" s="416"/>
      <c r="AB243" s="150"/>
      <c r="AC243" s="416"/>
      <c r="AD243" s="150"/>
      <c r="AE243" s="416"/>
      <c r="AF243" s="150"/>
      <c r="AG243" s="416"/>
      <c r="AH243" s="416"/>
      <c r="AI243" s="416"/>
      <c r="AJ243" s="416"/>
      <c r="AK243" s="416"/>
      <c r="AL243" s="150"/>
      <c r="AM243" s="416"/>
      <c r="AN243" s="150"/>
    </row>
    <row r="244" spans="7:43" x14ac:dyDescent="0.2">
      <c r="G244" s="350"/>
      <c r="Z244" s="416"/>
      <c r="AA244" s="416"/>
      <c r="AB244" s="150"/>
      <c r="AC244" s="416"/>
      <c r="AD244" s="150"/>
      <c r="AE244" s="416"/>
      <c r="AF244" s="150"/>
      <c r="AG244" s="416"/>
      <c r="AH244" s="416"/>
      <c r="AI244" s="416"/>
      <c r="AJ244" s="416"/>
      <c r="AK244" s="416"/>
      <c r="AL244" s="150"/>
      <c r="AM244" s="416"/>
      <c r="AN244" s="150"/>
    </row>
    <row r="245" spans="7:43" x14ac:dyDescent="0.2">
      <c r="G245" s="350"/>
      <c r="Z245" s="468"/>
      <c r="AA245" s="468"/>
      <c r="AB245" s="468"/>
      <c r="AC245" s="468"/>
      <c r="AD245" s="150"/>
      <c r="AE245" s="468"/>
      <c r="AF245" s="150"/>
      <c r="AG245" s="468"/>
      <c r="AH245" s="468"/>
      <c r="AI245" s="468"/>
      <c r="AJ245" s="468"/>
      <c r="AK245" s="468"/>
      <c r="AL245" s="150"/>
      <c r="AM245" s="468"/>
      <c r="AN245" s="150"/>
    </row>
    <row r="246" spans="7:43" x14ac:dyDescent="0.2">
      <c r="G246" s="350"/>
      <c r="Z246" s="416"/>
      <c r="AA246" s="416"/>
      <c r="AB246" s="416"/>
      <c r="AC246" s="416"/>
      <c r="AD246" s="150"/>
      <c r="AE246" s="416"/>
      <c r="AF246" s="150"/>
      <c r="AG246" s="416"/>
      <c r="AH246" s="416"/>
      <c r="AI246" s="416"/>
      <c r="AJ246" s="416"/>
      <c r="AK246" s="416"/>
      <c r="AL246" s="150"/>
      <c r="AM246" s="416"/>
      <c r="AN246" s="150"/>
    </row>
    <row r="247" spans="7:43" x14ac:dyDescent="0.2">
      <c r="G247" s="350"/>
      <c r="Z247" s="150"/>
      <c r="AA247" s="150"/>
      <c r="AB247" s="150"/>
      <c r="AD247" s="150"/>
      <c r="AE247" s="150"/>
      <c r="AF247" s="150"/>
      <c r="AG247" s="150"/>
      <c r="AH247" s="150"/>
      <c r="AI247" s="150"/>
      <c r="AJ247" s="150"/>
      <c r="AL247" s="150"/>
      <c r="AM247" s="150"/>
      <c r="AN247" s="150"/>
      <c r="AP247" s="418"/>
      <c r="AQ247" s="418"/>
    </row>
    <row r="248" spans="7:43" x14ac:dyDescent="0.2">
      <c r="G248" s="350"/>
      <c r="Z248" s="416"/>
      <c r="AA248" s="416"/>
      <c r="AB248" s="416"/>
      <c r="AC248" s="416"/>
      <c r="AD248" s="150"/>
      <c r="AE248" s="416"/>
      <c r="AF248" s="150"/>
      <c r="AG248" s="416"/>
      <c r="AH248" s="416"/>
      <c r="AI248" s="416"/>
      <c r="AJ248" s="416"/>
      <c r="AK248" s="416"/>
      <c r="AL248" s="150"/>
      <c r="AM248" s="416"/>
      <c r="AN248" s="150"/>
    </row>
    <row r="249" spans="7:43" x14ac:dyDescent="0.2">
      <c r="G249" s="350"/>
      <c r="AD249" s="150"/>
      <c r="AF249" s="150"/>
      <c r="AL249" s="150"/>
      <c r="AN249" s="150"/>
    </row>
    <row r="250" spans="7:43" x14ac:dyDescent="0.2">
      <c r="G250" s="350"/>
      <c r="AD250" s="150"/>
      <c r="AF250" s="150"/>
      <c r="AL250" s="150"/>
      <c r="AN250" s="150"/>
    </row>
    <row r="251" spans="7:43" x14ac:dyDescent="0.2">
      <c r="G251" s="350"/>
      <c r="Z251" s="417"/>
      <c r="AA251" s="417"/>
      <c r="AB251" s="417"/>
      <c r="AC251" s="417"/>
      <c r="AD251" s="150"/>
      <c r="AE251" s="417"/>
      <c r="AF251" s="150"/>
      <c r="AG251" s="417"/>
      <c r="AH251" s="417"/>
      <c r="AI251" s="417"/>
      <c r="AJ251" s="417"/>
      <c r="AK251" s="417"/>
      <c r="AL251" s="150"/>
      <c r="AM251" s="417"/>
      <c r="AN251" s="150"/>
    </row>
    <row r="252" spans="7:43" x14ac:dyDescent="0.2">
      <c r="G252" s="350"/>
      <c r="AD252" s="150"/>
      <c r="AF252" s="150"/>
      <c r="AL252" s="150"/>
      <c r="AN252" s="150"/>
    </row>
    <row r="253" spans="7:43" x14ac:dyDescent="0.2">
      <c r="G253" s="350"/>
      <c r="Z253" s="150"/>
      <c r="AA253" s="150"/>
      <c r="AB253" s="150"/>
      <c r="AD253" s="150"/>
      <c r="AE253" s="150"/>
      <c r="AF253" s="150"/>
      <c r="AG253" s="150"/>
      <c r="AH253" s="150"/>
      <c r="AI253" s="150"/>
      <c r="AJ253" s="150"/>
      <c r="AL253" s="150"/>
      <c r="AM253" s="150"/>
      <c r="AN253" s="150"/>
    </row>
    <row r="254" spans="7:43" x14ac:dyDescent="0.2">
      <c r="G254" s="350"/>
      <c r="Z254" s="150"/>
      <c r="AA254" s="150"/>
      <c r="AB254" s="150"/>
      <c r="AD254" s="150"/>
      <c r="AE254" s="150"/>
      <c r="AF254" s="150"/>
      <c r="AG254" s="150"/>
      <c r="AH254" s="150"/>
      <c r="AI254" s="150"/>
      <c r="AJ254" s="150"/>
      <c r="AL254" s="150"/>
      <c r="AM254" s="150"/>
      <c r="AN254" s="150"/>
    </row>
    <row r="255" spans="7:43" x14ac:dyDescent="0.2">
      <c r="G255" s="350"/>
      <c r="Z255" s="150"/>
      <c r="AA255" s="150"/>
      <c r="AB255" s="150"/>
      <c r="AD255" s="150"/>
      <c r="AE255" s="150"/>
      <c r="AF255" s="150"/>
      <c r="AG255" s="150"/>
      <c r="AH255" s="150"/>
      <c r="AI255" s="150"/>
      <c r="AJ255" s="150"/>
      <c r="AL255" s="150"/>
      <c r="AM255" s="150"/>
      <c r="AN255" s="150"/>
    </row>
    <row r="256" spans="7:43" x14ac:dyDescent="0.2">
      <c r="G256" s="350"/>
      <c r="Z256" s="150"/>
      <c r="AA256" s="150"/>
      <c r="AB256" s="150"/>
      <c r="AD256" s="150"/>
      <c r="AE256" s="150"/>
      <c r="AF256" s="150"/>
      <c r="AG256" s="150"/>
      <c r="AH256" s="150"/>
      <c r="AI256" s="150"/>
      <c r="AJ256" s="150"/>
      <c r="AL256" s="150"/>
      <c r="AM256" s="150"/>
      <c r="AN256" s="150"/>
    </row>
    <row r="257" spans="7:40" x14ac:dyDescent="0.2">
      <c r="G257" s="350"/>
      <c r="Z257" s="150"/>
      <c r="AA257" s="150"/>
      <c r="AB257" s="150"/>
      <c r="AD257" s="150"/>
      <c r="AE257" s="150"/>
      <c r="AF257" s="150"/>
      <c r="AG257" s="150"/>
      <c r="AH257" s="150"/>
      <c r="AI257" s="150"/>
      <c r="AJ257" s="150"/>
      <c r="AL257" s="150"/>
      <c r="AM257" s="150"/>
      <c r="AN257" s="150"/>
    </row>
    <row r="258" spans="7:40" x14ac:dyDescent="0.2">
      <c r="G258" s="350"/>
      <c r="Z258" s="150"/>
      <c r="AA258" s="150"/>
      <c r="AB258" s="150"/>
      <c r="AD258" s="150"/>
      <c r="AE258" s="150"/>
      <c r="AF258" s="150"/>
      <c r="AG258" s="150"/>
      <c r="AH258" s="150"/>
      <c r="AI258" s="150"/>
      <c r="AJ258" s="150"/>
      <c r="AL258" s="150"/>
      <c r="AM258" s="150"/>
      <c r="AN258" s="150"/>
    </row>
    <row r="259" spans="7:40" x14ac:dyDescent="0.2">
      <c r="G259" s="350"/>
      <c r="Z259" s="416"/>
      <c r="AA259" s="416"/>
      <c r="AB259" s="416"/>
      <c r="AC259" s="416"/>
      <c r="AD259" s="150"/>
      <c r="AE259" s="416"/>
      <c r="AF259" s="150"/>
      <c r="AG259" s="416"/>
      <c r="AH259" s="416"/>
      <c r="AI259" s="416"/>
      <c r="AJ259" s="416"/>
      <c r="AK259" s="416"/>
      <c r="AL259" s="150"/>
      <c r="AM259" s="416"/>
      <c r="AN259" s="150"/>
    </row>
    <row r="260" spans="7:40" x14ac:dyDescent="0.2">
      <c r="G260" s="350"/>
      <c r="Z260" s="416"/>
      <c r="AA260" s="416"/>
      <c r="AB260" s="416"/>
      <c r="AC260" s="416"/>
      <c r="AD260" s="150"/>
      <c r="AE260" s="416"/>
      <c r="AF260" s="150"/>
      <c r="AG260" s="416"/>
      <c r="AH260" s="416"/>
      <c r="AI260" s="416"/>
      <c r="AJ260" s="416"/>
      <c r="AK260" s="416"/>
      <c r="AL260" s="150"/>
      <c r="AM260" s="416"/>
      <c r="AN260" s="150"/>
    </row>
    <row r="261" spans="7:40" x14ac:dyDescent="0.2">
      <c r="G261" s="350"/>
      <c r="Z261" s="416"/>
      <c r="AA261" s="416"/>
      <c r="AB261" s="416"/>
      <c r="AC261" s="416"/>
      <c r="AD261" s="150"/>
      <c r="AE261" s="416"/>
      <c r="AF261" s="150"/>
      <c r="AG261" s="416"/>
      <c r="AH261" s="416"/>
      <c r="AI261" s="416"/>
      <c r="AJ261" s="416"/>
      <c r="AK261" s="416"/>
      <c r="AL261" s="150"/>
      <c r="AM261" s="416"/>
      <c r="AN261" s="416"/>
    </row>
    <row r="262" spans="7:40" x14ac:dyDescent="0.2">
      <c r="G262" s="350"/>
      <c r="Z262" s="416"/>
      <c r="AA262" s="416"/>
      <c r="AB262" s="416"/>
      <c r="AC262" s="416"/>
      <c r="AD262" s="150"/>
      <c r="AE262" s="416"/>
      <c r="AF262" s="150"/>
      <c r="AG262" s="416"/>
      <c r="AH262" s="416"/>
      <c r="AI262" s="416"/>
      <c r="AJ262" s="416"/>
      <c r="AK262" s="416"/>
      <c r="AL262" s="150"/>
      <c r="AM262" s="416"/>
      <c r="AN262" s="416"/>
    </row>
    <row r="263" spans="7:40" x14ac:dyDescent="0.2">
      <c r="G263" s="350"/>
      <c r="Z263" s="150"/>
      <c r="AA263" s="150"/>
      <c r="AB263" s="150"/>
      <c r="AD263" s="150"/>
      <c r="AE263" s="150"/>
      <c r="AF263" s="150"/>
      <c r="AG263" s="150"/>
      <c r="AH263" s="150"/>
      <c r="AI263" s="150"/>
      <c r="AJ263" s="150"/>
      <c r="AL263" s="150"/>
      <c r="AM263" s="150"/>
      <c r="AN263" s="150"/>
    </row>
    <row r="264" spans="7:40" x14ac:dyDescent="0.2">
      <c r="G264" s="350"/>
      <c r="Z264" s="150"/>
      <c r="AA264" s="150"/>
      <c r="AB264" s="150"/>
      <c r="AD264" s="150"/>
      <c r="AE264" s="150"/>
      <c r="AF264" s="150"/>
      <c r="AG264" s="150"/>
      <c r="AH264" s="150"/>
      <c r="AI264" s="150"/>
      <c r="AJ264" s="150"/>
      <c r="AL264" s="150"/>
      <c r="AM264" s="150"/>
      <c r="AN264" s="150"/>
    </row>
    <row r="265" spans="7:40" x14ac:dyDescent="0.2">
      <c r="Z265" s="150"/>
      <c r="AA265" s="150"/>
      <c r="AB265" s="150"/>
      <c r="AD265" s="150"/>
      <c r="AE265" s="150"/>
      <c r="AF265" s="150"/>
      <c r="AG265" s="150"/>
      <c r="AH265" s="150"/>
      <c r="AI265" s="150"/>
      <c r="AJ265" s="150"/>
      <c r="AL265" s="150"/>
      <c r="AM265" s="150"/>
      <c r="AN265" s="150"/>
    </row>
    <row r="266" spans="7:40" x14ac:dyDescent="0.2">
      <c r="Z266" s="150"/>
      <c r="AA266" s="150"/>
      <c r="AB266" s="150"/>
      <c r="AD266" s="150"/>
      <c r="AE266" s="150"/>
      <c r="AF266" s="150"/>
      <c r="AG266" s="150"/>
      <c r="AH266" s="150"/>
      <c r="AI266" s="150"/>
      <c r="AJ266" s="150"/>
      <c r="AL266" s="150"/>
      <c r="AM266" s="150"/>
      <c r="AN266" s="150"/>
    </row>
    <row r="267" spans="7:40" x14ac:dyDescent="0.2">
      <c r="Z267" s="150"/>
      <c r="AA267" s="150"/>
      <c r="AB267" s="150"/>
      <c r="AD267" s="150"/>
      <c r="AE267" s="150"/>
      <c r="AF267" s="150"/>
      <c r="AG267" s="150"/>
      <c r="AH267" s="150"/>
      <c r="AI267" s="150"/>
      <c r="AJ267" s="150"/>
      <c r="AL267" s="150"/>
      <c r="AM267" s="150"/>
      <c r="AN267" s="150"/>
    </row>
    <row r="268" spans="7:40" x14ac:dyDescent="0.2">
      <c r="Z268" s="150"/>
      <c r="AA268" s="150"/>
      <c r="AB268" s="150"/>
      <c r="AD268" s="150"/>
      <c r="AE268" s="150"/>
      <c r="AF268" s="150"/>
      <c r="AG268" s="150"/>
      <c r="AH268" s="150"/>
      <c r="AI268" s="150"/>
      <c r="AJ268" s="150"/>
      <c r="AL268" s="150"/>
      <c r="AM268" s="150"/>
      <c r="AN268" s="150"/>
    </row>
    <row r="269" spans="7:40" x14ac:dyDescent="0.2">
      <c r="Z269" s="150"/>
      <c r="AA269" s="150"/>
      <c r="AB269" s="150"/>
      <c r="AD269" s="150"/>
      <c r="AE269" s="150"/>
      <c r="AF269" s="150"/>
      <c r="AG269" s="150"/>
      <c r="AH269" s="150"/>
      <c r="AI269" s="150"/>
      <c r="AJ269" s="150"/>
      <c r="AL269" s="150"/>
      <c r="AM269" s="150"/>
      <c r="AN269" s="150"/>
    </row>
    <row r="270" spans="7:40" x14ac:dyDescent="0.2">
      <c r="Z270" s="150"/>
      <c r="AA270" s="150"/>
      <c r="AB270" s="150"/>
      <c r="AD270" s="150"/>
      <c r="AE270" s="150"/>
      <c r="AF270" s="150"/>
      <c r="AG270" s="150"/>
      <c r="AH270" s="150"/>
      <c r="AI270" s="150"/>
      <c r="AJ270" s="150"/>
      <c r="AL270" s="150"/>
      <c r="AM270" s="150"/>
      <c r="AN270" s="150"/>
    </row>
    <row r="271" spans="7:40" x14ac:dyDescent="0.2">
      <c r="Z271" s="150"/>
      <c r="AA271" s="150"/>
      <c r="AB271" s="150"/>
      <c r="AD271" s="150"/>
      <c r="AE271" s="150"/>
      <c r="AF271" s="150"/>
      <c r="AG271" s="150"/>
      <c r="AH271" s="150"/>
      <c r="AI271" s="150"/>
      <c r="AJ271" s="150"/>
      <c r="AL271" s="150"/>
      <c r="AM271" s="150"/>
      <c r="AN271" s="150"/>
    </row>
    <row r="272" spans="7:40" x14ac:dyDescent="0.2">
      <c r="AD272" s="150"/>
      <c r="AF272" s="150"/>
      <c r="AL272" s="150"/>
    </row>
    <row r="273" spans="30:38" x14ac:dyDescent="0.2">
      <c r="AD273" s="150"/>
      <c r="AF273" s="150"/>
      <c r="AL273" s="150"/>
    </row>
    <row r="274" spans="30:38" x14ac:dyDescent="0.2">
      <c r="AD274" s="150"/>
      <c r="AL274" s="150"/>
    </row>
    <row r="275" spans="30:38" x14ac:dyDescent="0.2">
      <c r="AD275" s="150"/>
      <c r="AL275" s="150"/>
    </row>
  </sheetData>
  <mergeCells count="22">
    <mergeCell ref="G181:H181"/>
    <mergeCell ref="G200:H200"/>
    <mergeCell ref="G211:H211"/>
    <mergeCell ref="G222:H222"/>
    <mergeCell ref="G145:H145"/>
    <mergeCell ref="G163:H163"/>
    <mergeCell ref="R87:S87"/>
    <mergeCell ref="R97:S97"/>
    <mergeCell ref="R222:S222"/>
    <mergeCell ref="R211:S211"/>
    <mergeCell ref="R200:S200"/>
    <mergeCell ref="R181:S181"/>
    <mergeCell ref="Q163:R163"/>
    <mergeCell ref="Q145:R145"/>
    <mergeCell ref="Q131:R131"/>
    <mergeCell ref="R109:S109"/>
    <mergeCell ref="R119:S119"/>
    <mergeCell ref="G87:H87"/>
    <mergeCell ref="G97:H97"/>
    <mergeCell ref="G109:H109"/>
    <mergeCell ref="G119:H119"/>
    <mergeCell ref="G131:H131"/>
  </mergeCells>
  <pageMargins left="0.7" right="0.7" top="0.75" bottom="0.75" header="0.3" footer="0.3"/>
  <pageSetup scale="65" orientation="portrait" r:id="rId1"/>
  <colBreaks count="1" manualBreakCount="1">
    <brk id="64" max="222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/>
  </sheetPr>
  <dimension ref="A1:I31"/>
  <sheetViews>
    <sheetView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C17" sqref="C17"/>
    </sheetView>
  </sheetViews>
  <sheetFormatPr defaultColWidth="8.85546875" defaultRowHeight="12" x14ac:dyDescent="0.2"/>
  <cols>
    <col min="1" max="1" width="33.5703125" style="114" bestFit="1" customWidth="1"/>
    <col min="2" max="4" width="16.140625" style="5" customWidth="1"/>
    <col min="5" max="5" width="10.5703125" style="681" bestFit="1" customWidth="1"/>
    <col min="6" max="6" width="7.5703125" style="129" bestFit="1" customWidth="1"/>
    <col min="7" max="7" width="11.42578125" style="129" bestFit="1" customWidth="1"/>
    <col min="8" max="8" width="13.7109375" style="1" bestFit="1" customWidth="1"/>
  </cols>
  <sheetData>
    <row r="1" spans="1:9" s="577" customFormat="1" x14ac:dyDescent="0.2">
      <c r="A1" s="578"/>
      <c r="B1" s="1790">
        <v>2015</v>
      </c>
      <c r="C1" s="1796"/>
      <c r="D1" s="1796"/>
      <c r="E1" s="1796"/>
      <c r="F1" s="1796"/>
      <c r="G1" s="1796"/>
      <c r="H1" s="1797"/>
    </row>
    <row r="2" spans="1:9" s="8" customFormat="1" x14ac:dyDescent="0.2">
      <c r="A2" s="112" t="s">
        <v>489</v>
      </c>
      <c r="B2" s="1798" t="s">
        <v>1277</v>
      </c>
      <c r="C2" s="1799"/>
      <c r="D2" s="1800"/>
      <c r="E2" s="1498" t="s">
        <v>1365</v>
      </c>
      <c r="F2" s="1500"/>
      <c r="G2" s="1500"/>
      <c r="H2" s="7"/>
    </row>
    <row r="3" spans="1:9" s="8" customFormat="1" x14ac:dyDescent="0.2">
      <c r="A3" s="112"/>
      <c r="B3" s="222" t="s">
        <v>487</v>
      </c>
      <c r="C3" s="222" t="s">
        <v>486</v>
      </c>
      <c r="D3" s="222" t="s">
        <v>306</v>
      </c>
      <c r="E3" s="699" t="s">
        <v>487</v>
      </c>
      <c r="F3" s="1499" t="s">
        <v>486</v>
      </c>
      <c r="G3" s="1499" t="s">
        <v>488</v>
      </c>
      <c r="H3" s="7" t="s">
        <v>306</v>
      </c>
      <c r="I3" s="8" t="s">
        <v>1279</v>
      </c>
    </row>
    <row r="4" spans="1:9" s="557" customFormat="1" x14ac:dyDescent="0.2">
      <c r="A4" s="1251" t="s">
        <v>801</v>
      </c>
      <c r="B4" s="1252"/>
      <c r="C4" s="1252"/>
      <c r="D4" s="1252"/>
      <c r="E4" s="1255"/>
      <c r="F4" s="1507"/>
      <c r="G4" s="1507"/>
      <c r="H4" s="1501"/>
    </row>
    <row r="5" spans="1:9" s="164" customFormat="1" x14ac:dyDescent="0.2">
      <c r="A5" s="1133" t="s">
        <v>129</v>
      </c>
      <c r="B5" s="203"/>
      <c r="C5" s="203"/>
      <c r="D5" s="203"/>
      <c r="E5" s="1256"/>
      <c r="F5" s="234"/>
      <c r="G5" s="234"/>
      <c r="H5" s="641"/>
    </row>
    <row r="6" spans="1:9" s="164" customFormat="1" ht="12" customHeight="1" x14ac:dyDescent="0.2">
      <c r="A6" s="526" t="s">
        <v>1558</v>
      </c>
      <c r="B6" s="203"/>
      <c r="C6" s="203"/>
      <c r="D6" s="203"/>
      <c r="E6" s="1342">
        <v>13114</v>
      </c>
      <c r="F6" s="135" t="s">
        <v>203</v>
      </c>
      <c r="G6" s="276" t="s">
        <v>1561</v>
      </c>
      <c r="H6" s="521" t="s">
        <v>1483</v>
      </c>
    </row>
    <row r="7" spans="1:9" s="164" customFormat="1" ht="12" customHeight="1" x14ac:dyDescent="0.2">
      <c r="A7" s="526" t="s">
        <v>172</v>
      </c>
      <c r="B7" s="203"/>
      <c r="C7" s="203"/>
      <c r="D7" s="203"/>
      <c r="E7" s="1342">
        <v>3298</v>
      </c>
      <c r="F7" s="135" t="s">
        <v>203</v>
      </c>
      <c r="G7" s="276" t="s">
        <v>1561</v>
      </c>
      <c r="H7" s="521" t="s">
        <v>1484</v>
      </c>
    </row>
    <row r="8" spans="1:9" s="164" customFormat="1" x14ac:dyDescent="0.2">
      <c r="A8" s="527" t="s">
        <v>793</v>
      </c>
      <c r="B8" s="203"/>
      <c r="C8" s="203"/>
      <c r="D8" s="203"/>
      <c r="E8" s="1343"/>
      <c r="F8" s="85"/>
      <c r="G8" s="85"/>
      <c r="H8" s="641"/>
    </row>
    <row r="9" spans="1:9" s="164" customFormat="1" x14ac:dyDescent="0.2">
      <c r="A9" s="528" t="s">
        <v>1072</v>
      </c>
      <c r="B9" s="203"/>
      <c r="C9" s="203"/>
      <c r="D9" s="203"/>
      <c r="E9" s="681">
        <v>152995</v>
      </c>
      <c r="F9" s="338" t="s">
        <v>650</v>
      </c>
      <c r="G9" s="276" t="s">
        <v>1560</v>
      </c>
      <c r="H9" s="641"/>
    </row>
    <row r="10" spans="1:9" s="164" customFormat="1" x14ac:dyDescent="0.2">
      <c r="A10" s="528" t="s">
        <v>1162</v>
      </c>
      <c r="B10" s="203"/>
      <c r="C10" s="203"/>
      <c r="D10" s="203"/>
      <c r="E10" s="681">
        <v>422488</v>
      </c>
      <c r="F10" s="338" t="s">
        <v>650</v>
      </c>
      <c r="G10" s="276" t="s">
        <v>1559</v>
      </c>
      <c r="H10" s="641"/>
    </row>
    <row r="11" spans="1:9" s="164" customFormat="1" x14ac:dyDescent="0.2">
      <c r="A11" s="528"/>
      <c r="B11" s="203"/>
      <c r="C11" s="203"/>
      <c r="D11" s="203"/>
      <c r="E11" s="1257"/>
      <c r="F11" s="85"/>
      <c r="G11" s="85"/>
      <c r="H11" s="641"/>
    </row>
    <row r="12" spans="1:9" s="164" customFormat="1" x14ac:dyDescent="0.2">
      <c r="A12" s="1250" t="s">
        <v>106</v>
      </c>
      <c r="B12" s="1511"/>
      <c r="C12" s="1511"/>
      <c r="D12" s="1511"/>
      <c r="E12" s="1509"/>
      <c r="F12" s="1510"/>
      <c r="G12" s="1510"/>
      <c r="H12" s="1512"/>
    </row>
    <row r="13" spans="1:9" s="164" customFormat="1" x14ac:dyDescent="0.2">
      <c r="A13" s="172" t="s">
        <v>126</v>
      </c>
      <c r="B13" s="425"/>
      <c r="C13" s="203"/>
      <c r="D13" s="203"/>
      <c r="E13" s="1258"/>
      <c r="F13" s="190"/>
      <c r="G13" s="190"/>
      <c r="H13" s="641"/>
    </row>
    <row r="14" spans="1:9" s="164" customFormat="1" ht="13.5" x14ac:dyDescent="0.2">
      <c r="A14" s="533" t="s">
        <v>1558</v>
      </c>
      <c r="B14" s="1351">
        <f>E6*tonTOMg</f>
        <v>11896.758519999999</v>
      </c>
      <c r="C14" s="473" t="s">
        <v>1370</v>
      </c>
      <c r="D14" s="473"/>
      <c r="E14" s="694"/>
      <c r="F14" s="473"/>
      <c r="G14" s="473"/>
      <c r="H14" s="641"/>
    </row>
    <row r="15" spans="1:9" s="164" customFormat="1" ht="13.5" x14ac:dyDescent="0.2">
      <c r="A15" s="533" t="s">
        <v>172</v>
      </c>
      <c r="B15" s="1351">
        <f>E7*tonTOMg</f>
        <v>2991.8796400000001</v>
      </c>
      <c r="C15" s="473" t="s">
        <v>1370</v>
      </c>
      <c r="D15" s="473"/>
      <c r="E15" s="694"/>
      <c r="F15" s="473"/>
      <c r="G15" s="473"/>
      <c r="H15" s="641"/>
    </row>
    <row r="16" spans="1:9" s="164" customFormat="1" ht="13.5" x14ac:dyDescent="0.2">
      <c r="A16" s="529" t="s">
        <v>125</v>
      </c>
      <c r="B16" s="1351">
        <f>SUM(B14:B15)</f>
        <v>14888.638159999999</v>
      </c>
      <c r="C16" s="473" t="s">
        <v>1370</v>
      </c>
      <c r="D16" s="132"/>
      <c r="E16" s="695"/>
      <c r="F16" s="132"/>
      <c r="G16" s="135"/>
      <c r="H16" s="641"/>
    </row>
    <row r="17" spans="1:8" s="536" customFormat="1" ht="15" customHeight="1" x14ac:dyDescent="0.2">
      <c r="A17" s="535" t="s">
        <v>800</v>
      </c>
      <c r="B17" s="1506">
        <f>E10/E9</f>
        <v>2.7614497205791038</v>
      </c>
      <c r="C17" s="1506" t="s">
        <v>1366</v>
      </c>
      <c r="D17" s="1506"/>
      <c r="E17" s="701"/>
      <c r="F17" s="1508"/>
      <c r="G17" s="1508"/>
      <c r="H17" s="1344"/>
    </row>
    <row r="18" spans="1:8" s="198" customFormat="1" ht="13.5" x14ac:dyDescent="0.2">
      <c r="A18" s="1513" t="s">
        <v>676</v>
      </c>
      <c r="B18" s="1517">
        <f>SUM(B14:B15)*B17</f>
        <v>41114.225686735379</v>
      </c>
      <c r="C18" s="1237" t="s">
        <v>128</v>
      </c>
      <c r="D18" s="1470"/>
      <c r="E18" s="1515"/>
      <c r="F18" s="1514"/>
      <c r="G18" s="1514"/>
      <c r="H18" s="1516"/>
    </row>
    <row r="19" spans="1:8" s="91" customFormat="1" x14ac:dyDescent="0.2">
      <c r="A19" s="117"/>
      <c r="B19" s="93"/>
      <c r="C19" s="93"/>
      <c r="D19" s="93"/>
      <c r="E19" s="1259"/>
      <c r="F19" s="234"/>
      <c r="G19" s="234"/>
      <c r="H19" s="92"/>
    </row>
    <row r="20" spans="1:8" s="164" customFormat="1" x14ac:dyDescent="0.2">
      <c r="A20" s="205"/>
      <c r="B20" s="203"/>
      <c r="C20" s="203"/>
      <c r="D20" s="203"/>
      <c r="E20" s="1256"/>
      <c r="F20" s="234"/>
      <c r="G20" s="234"/>
      <c r="H20" s="641"/>
    </row>
    <row r="21" spans="1:8" s="90" customFormat="1" x14ac:dyDescent="0.2">
      <c r="A21" s="191"/>
      <c r="B21" s="66"/>
      <c r="C21" s="66"/>
      <c r="D21" s="66"/>
      <c r="E21" s="296"/>
      <c r="F21" s="128"/>
      <c r="G21" s="128"/>
      <c r="H21" s="87"/>
    </row>
    <row r="22" spans="1:8" s="90" customFormat="1" x14ac:dyDescent="0.2">
      <c r="A22" s="205"/>
      <c r="B22" s="66"/>
      <c r="C22" s="66"/>
      <c r="D22" s="66"/>
      <c r="E22" s="1256"/>
      <c r="F22" s="234"/>
      <c r="G22" s="234"/>
      <c r="H22" s="87"/>
    </row>
    <row r="23" spans="1:8" s="90" customFormat="1" x14ac:dyDescent="0.2">
      <c r="A23" s="172"/>
      <c r="B23" s="66"/>
      <c r="C23" s="66"/>
      <c r="D23" s="66"/>
      <c r="E23" s="1258"/>
      <c r="F23" s="190"/>
      <c r="G23" s="190"/>
      <c r="H23" s="87"/>
    </row>
    <row r="24" spans="1:8" s="90" customFormat="1" x14ac:dyDescent="0.2">
      <c r="A24" s="172"/>
      <c r="B24" s="66"/>
      <c r="C24" s="66"/>
      <c r="D24" s="66"/>
      <c r="E24" s="1258"/>
      <c r="F24" s="190"/>
      <c r="G24" s="190"/>
      <c r="H24" s="87"/>
    </row>
    <row r="25" spans="1:8" s="90" customFormat="1" x14ac:dyDescent="0.2">
      <c r="A25" s="205"/>
      <c r="B25" s="66"/>
      <c r="C25" s="66"/>
      <c r="D25" s="66"/>
      <c r="E25" s="1256"/>
      <c r="F25" s="234"/>
      <c r="G25" s="234"/>
      <c r="H25" s="87"/>
    </row>
    <row r="26" spans="1:8" s="90" customFormat="1" x14ac:dyDescent="0.2">
      <c r="A26" s="172"/>
      <c r="B26" s="66"/>
      <c r="C26" s="66"/>
      <c r="D26" s="66"/>
      <c r="E26" s="1258"/>
      <c r="F26" s="190"/>
      <c r="G26" s="190"/>
      <c r="H26" s="87"/>
    </row>
    <row r="27" spans="1:8" s="90" customFormat="1" x14ac:dyDescent="0.2">
      <c r="A27" s="172"/>
      <c r="B27" s="66"/>
      <c r="C27" s="66"/>
      <c r="D27" s="66"/>
      <c r="E27" s="1258"/>
      <c r="F27" s="190"/>
      <c r="G27" s="190"/>
      <c r="H27" s="87"/>
    </row>
    <row r="28" spans="1:8" x14ac:dyDescent="0.2">
      <c r="A28" s="172"/>
      <c r="E28" s="1258"/>
      <c r="F28" s="190"/>
      <c r="G28" s="190"/>
    </row>
    <row r="29" spans="1:8" x14ac:dyDescent="0.2">
      <c r="A29" s="172"/>
      <c r="E29" s="1258"/>
      <c r="F29" s="190"/>
      <c r="G29" s="190"/>
    </row>
    <row r="30" spans="1:8" x14ac:dyDescent="0.2">
      <c r="A30" s="172"/>
      <c r="E30" s="1258"/>
      <c r="F30" s="190"/>
      <c r="G30" s="190"/>
    </row>
    <row r="31" spans="1:8" x14ac:dyDescent="0.2">
      <c r="A31" s="187"/>
      <c r="E31" s="680"/>
      <c r="F31" s="179"/>
      <c r="G31" s="179"/>
    </row>
  </sheetData>
  <mergeCells count="2">
    <mergeCell ref="B1:H1"/>
    <mergeCell ref="B2:D2"/>
  </mergeCells>
  <phoneticPr fontId="27" type="noConversion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10"/>
  <sheetViews>
    <sheetView workbookViewId="0">
      <selection activeCell="D18" sqref="D18"/>
    </sheetView>
  </sheetViews>
  <sheetFormatPr defaultRowHeight="12" x14ac:dyDescent="0.2"/>
  <cols>
    <col min="1" max="1" width="30.140625" bestFit="1" customWidth="1"/>
  </cols>
  <sheetData>
    <row r="1" spans="1:5" x14ac:dyDescent="0.2">
      <c r="B1" s="1801">
        <v>2015</v>
      </c>
      <c r="C1" s="1801"/>
      <c r="D1" s="1801"/>
      <c r="E1" s="1801"/>
    </row>
    <row r="2" spans="1:5" x14ac:dyDescent="0.2">
      <c r="A2" t="s">
        <v>1883</v>
      </c>
      <c r="B2" t="s">
        <v>487</v>
      </c>
      <c r="C2" t="s">
        <v>486</v>
      </c>
      <c r="D2" t="s">
        <v>488</v>
      </c>
      <c r="E2" t="s">
        <v>306</v>
      </c>
    </row>
    <row r="3" spans="1:5" s="1770" customFormat="1" x14ac:dyDescent="0.2">
      <c r="A3" s="1770" t="s">
        <v>1884</v>
      </c>
    </row>
    <row r="4" spans="1:5" x14ac:dyDescent="0.2">
      <c r="A4" t="s">
        <v>129</v>
      </c>
    </row>
    <row r="5" spans="1:5" ht="13.5" x14ac:dyDescent="0.2">
      <c r="A5" t="s">
        <v>1885</v>
      </c>
      <c r="C5" t="s">
        <v>119</v>
      </c>
      <c r="D5" t="s">
        <v>1886</v>
      </c>
    </row>
    <row r="6" spans="1:5" x14ac:dyDescent="0.2">
      <c r="A6" t="s">
        <v>1888</v>
      </c>
      <c r="B6" s="1769">
        <v>0.1518044027024959</v>
      </c>
      <c r="D6" t="s">
        <v>1887</v>
      </c>
    </row>
    <row r="8" spans="1:5" ht="13.5" x14ac:dyDescent="0.2">
      <c r="A8" t="s">
        <v>1889</v>
      </c>
      <c r="B8">
        <v>0</v>
      </c>
      <c r="C8" t="s">
        <v>119</v>
      </c>
    </row>
    <row r="10" spans="1:5" s="1522" customFormat="1" ht="13.5" x14ac:dyDescent="0.2">
      <c r="A10" s="1522" t="s">
        <v>1890</v>
      </c>
      <c r="B10" s="1741">
        <v>0</v>
      </c>
      <c r="C10" s="1741" t="s">
        <v>128</v>
      </c>
    </row>
  </sheetData>
  <mergeCells count="1">
    <mergeCell ref="B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8"/>
  </sheetPr>
  <dimension ref="A1:J51"/>
  <sheetViews>
    <sheetView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D24" sqref="D24"/>
    </sheetView>
  </sheetViews>
  <sheetFormatPr defaultColWidth="8.85546875" defaultRowHeight="12" x14ac:dyDescent="0.2"/>
  <cols>
    <col min="1" max="1" width="46.7109375" style="114" bestFit="1" customWidth="1"/>
    <col min="2" max="2" width="10.85546875" style="708" bestFit="1" customWidth="1"/>
    <col min="3" max="3" width="15.28515625" style="443" bestFit="1" customWidth="1"/>
    <col min="4" max="4" width="26.28515625" style="443" bestFit="1" customWidth="1"/>
    <col min="5" max="5" width="34.85546875" style="510" bestFit="1" customWidth="1"/>
    <col min="6" max="6" width="12" style="678" customWidth="1"/>
    <col min="7" max="7" width="9.42578125" style="573" customWidth="1"/>
    <col min="8" max="8" width="26.28515625" style="276" bestFit="1" customWidth="1"/>
    <col min="9" max="9" width="9.42578125" style="157" customWidth="1"/>
    <col min="10" max="10" width="9.42578125" style="512" customWidth="1"/>
  </cols>
  <sheetData>
    <row r="1" spans="1:10" s="8" customFormat="1" x14ac:dyDescent="0.2">
      <c r="A1" s="112"/>
      <c r="B1" s="1790">
        <v>2003</v>
      </c>
      <c r="C1" s="1802"/>
      <c r="D1" s="1802"/>
      <c r="E1" s="1794"/>
      <c r="F1" s="1790">
        <v>2008</v>
      </c>
      <c r="G1" s="1796"/>
      <c r="H1" s="1796"/>
      <c r="I1" s="1797"/>
      <c r="J1" s="62"/>
    </row>
    <row r="2" spans="1:10" s="8" customFormat="1" x14ac:dyDescent="0.2">
      <c r="A2" s="112" t="s">
        <v>489</v>
      </c>
      <c r="B2" s="649" t="s">
        <v>487</v>
      </c>
      <c r="C2" s="649" t="s">
        <v>486</v>
      </c>
      <c r="D2" s="556" t="s">
        <v>488</v>
      </c>
      <c r="E2" s="578" t="s">
        <v>306</v>
      </c>
      <c r="F2" s="649" t="s">
        <v>487</v>
      </c>
      <c r="G2" s="649" t="s">
        <v>486</v>
      </c>
      <c r="H2" s="556" t="s">
        <v>488</v>
      </c>
      <c r="I2" s="578" t="s">
        <v>306</v>
      </c>
      <c r="J2" s="62" t="s">
        <v>485</v>
      </c>
    </row>
    <row r="3" spans="1:10" s="12" customFormat="1" x14ac:dyDescent="0.2">
      <c r="A3" s="1251" t="s">
        <v>1181</v>
      </c>
      <c r="B3" s="1260"/>
      <c r="C3" s="1253"/>
      <c r="D3" s="1253"/>
      <c r="E3" s="1254"/>
      <c r="F3" s="1260"/>
      <c r="G3" s="1253"/>
      <c r="H3" s="1261"/>
      <c r="I3" s="1262"/>
      <c r="J3" s="589"/>
    </row>
    <row r="4" spans="1:10" s="91" customFormat="1" x14ac:dyDescent="0.2">
      <c r="A4" s="117"/>
      <c r="B4" s="702"/>
      <c r="C4" s="598"/>
      <c r="D4" s="598"/>
      <c r="E4" s="581"/>
      <c r="F4" s="710"/>
      <c r="G4" s="586"/>
      <c r="H4" s="275"/>
      <c r="I4" s="585"/>
      <c r="J4" s="590"/>
    </row>
    <row r="5" spans="1:10" s="12" customFormat="1" x14ac:dyDescent="0.2">
      <c r="A5" s="193" t="s">
        <v>1180</v>
      </c>
      <c r="B5" s="702"/>
      <c r="C5" s="598"/>
      <c r="D5" s="598"/>
      <c r="E5" s="581"/>
      <c r="F5" s="710"/>
      <c r="G5" s="586"/>
      <c r="H5" s="275"/>
      <c r="I5" s="585"/>
      <c r="J5" s="589"/>
    </row>
    <row r="6" spans="1:10" s="164" customFormat="1" x14ac:dyDescent="0.2">
      <c r="A6" s="1133" t="s">
        <v>129</v>
      </c>
      <c r="B6" s="703"/>
      <c r="C6" s="488"/>
      <c r="D6" s="488"/>
      <c r="E6" s="513"/>
      <c r="F6" s="675"/>
      <c r="G6" s="134"/>
      <c r="H6" s="275"/>
      <c r="I6" s="585"/>
      <c r="J6" s="579"/>
    </row>
    <row r="7" spans="1:10" s="164" customFormat="1" x14ac:dyDescent="0.2">
      <c r="A7" s="172" t="s">
        <v>112</v>
      </c>
      <c r="B7" s="703"/>
      <c r="C7" s="488"/>
      <c r="D7" s="488"/>
      <c r="E7" s="513"/>
      <c r="F7" s="675"/>
      <c r="G7" s="134"/>
      <c r="H7" s="275"/>
      <c r="I7" s="585"/>
      <c r="J7" s="579"/>
    </row>
    <row r="8" spans="1:10" s="164" customFormat="1" x14ac:dyDescent="0.2">
      <c r="A8" s="172" t="s">
        <v>110</v>
      </c>
      <c r="B8" s="703"/>
      <c r="C8" s="488"/>
      <c r="D8" s="488"/>
      <c r="E8" s="513"/>
      <c r="F8" s="675"/>
      <c r="G8" s="134"/>
      <c r="H8" s="275"/>
      <c r="I8" s="585"/>
      <c r="J8" s="579"/>
    </row>
    <row r="9" spans="1:10" s="164" customFormat="1" x14ac:dyDescent="0.2">
      <c r="A9" s="163" t="s">
        <v>111</v>
      </c>
      <c r="B9" s="703"/>
      <c r="C9" s="488"/>
      <c r="D9" s="488"/>
      <c r="E9" s="513"/>
      <c r="F9" s="675"/>
      <c r="G9" s="134"/>
      <c r="H9" s="275"/>
      <c r="I9" s="585"/>
      <c r="J9" s="579"/>
    </row>
    <row r="10" spans="1:10" s="164" customFormat="1" x14ac:dyDescent="0.2">
      <c r="A10" s="172" t="s">
        <v>66</v>
      </c>
      <c r="B10" s="703"/>
      <c r="C10" s="488"/>
      <c r="D10" s="488"/>
      <c r="E10" s="513"/>
      <c r="F10" s="675"/>
      <c r="G10" s="134"/>
      <c r="H10" s="273"/>
      <c r="I10" s="187"/>
      <c r="J10" s="579"/>
    </row>
    <row r="11" spans="1:10" s="164" customFormat="1" x14ac:dyDescent="0.2">
      <c r="A11" s="277" t="s">
        <v>100</v>
      </c>
      <c r="B11" s="703"/>
      <c r="C11" s="488"/>
      <c r="D11" s="488"/>
      <c r="E11" s="513"/>
      <c r="F11" s="711">
        <f>26241396</f>
        <v>26241396</v>
      </c>
      <c r="G11" s="63" t="s">
        <v>539</v>
      </c>
      <c r="H11" s="591" t="s">
        <v>102</v>
      </c>
      <c r="I11" s="187"/>
      <c r="J11" s="579"/>
    </row>
    <row r="12" spans="1:10" s="164" customFormat="1" x14ac:dyDescent="0.2">
      <c r="A12" s="277" t="s">
        <v>101</v>
      </c>
      <c r="B12" s="703"/>
      <c r="C12" s="488"/>
      <c r="D12" s="488"/>
      <c r="E12" s="513"/>
      <c r="F12" s="711">
        <f>748546</f>
        <v>748546</v>
      </c>
      <c r="G12" s="63" t="s">
        <v>539</v>
      </c>
      <c r="H12" s="591" t="s">
        <v>102</v>
      </c>
      <c r="I12" s="187"/>
      <c r="J12" s="579"/>
    </row>
    <row r="13" spans="1:10" s="164" customFormat="1" x14ac:dyDescent="0.2">
      <c r="A13" s="86" t="s">
        <v>74</v>
      </c>
      <c r="B13" s="703"/>
      <c r="C13" s="488"/>
      <c r="D13" s="488"/>
      <c r="E13" s="513"/>
      <c r="F13" s="711"/>
      <c r="G13" s="63"/>
      <c r="H13" s="591"/>
      <c r="I13" s="187"/>
      <c r="J13" s="579"/>
    </row>
    <row r="14" spans="1:10" s="164" customFormat="1" x14ac:dyDescent="0.2">
      <c r="A14" s="278" t="s">
        <v>73</v>
      </c>
      <c r="B14" s="703"/>
      <c r="C14" s="488"/>
      <c r="D14" s="488"/>
      <c r="E14" s="513"/>
      <c r="F14" s="711"/>
      <c r="G14" s="63"/>
      <c r="H14" s="591"/>
      <c r="I14" s="187"/>
      <c r="J14" s="579"/>
    </row>
    <row r="15" spans="1:10" s="164" customFormat="1" x14ac:dyDescent="0.2">
      <c r="A15" s="278" t="s">
        <v>65</v>
      </c>
      <c r="B15" s="704"/>
      <c r="C15" s="551"/>
      <c r="D15" s="505"/>
      <c r="E15" s="507"/>
      <c r="F15" s="712">
        <v>0.51</v>
      </c>
      <c r="G15" s="572"/>
      <c r="H15" s="505" t="s">
        <v>146</v>
      </c>
      <c r="I15" s="187"/>
      <c r="J15" s="579"/>
    </row>
    <row r="16" spans="1:10" s="164" customFormat="1" x14ac:dyDescent="0.2">
      <c r="A16" s="645" t="s">
        <v>895</v>
      </c>
      <c r="B16" s="704"/>
      <c r="C16" s="551"/>
      <c r="D16" s="505"/>
      <c r="E16" s="507"/>
      <c r="F16" s="712"/>
      <c r="G16" s="572"/>
      <c r="H16" s="505"/>
      <c r="I16" s="187"/>
      <c r="J16" s="579"/>
    </row>
    <row r="17" spans="1:10" s="164" customFormat="1" x14ac:dyDescent="0.2">
      <c r="A17" s="278">
        <v>2003</v>
      </c>
      <c r="B17" s="519">
        <v>310851</v>
      </c>
      <c r="C17" s="551" t="s">
        <v>897</v>
      </c>
      <c r="D17" s="505" t="s">
        <v>898</v>
      </c>
      <c r="E17" s="507"/>
      <c r="F17" s="712"/>
      <c r="G17" s="572"/>
      <c r="H17" s="505"/>
      <c r="I17" s="187"/>
      <c r="J17" s="579"/>
    </row>
    <row r="18" spans="1:10" s="164" customFormat="1" x14ac:dyDescent="0.2">
      <c r="A18" s="278">
        <v>2007</v>
      </c>
      <c r="B18" s="519">
        <v>300184</v>
      </c>
      <c r="C18" s="551" t="s">
        <v>897</v>
      </c>
      <c r="D18" s="505" t="s">
        <v>898</v>
      </c>
      <c r="E18" s="507" t="s">
        <v>896</v>
      </c>
      <c r="F18" s="712"/>
      <c r="G18" s="572"/>
      <c r="H18" s="505"/>
      <c r="I18" s="187"/>
      <c r="J18" s="579"/>
    </row>
    <row r="19" spans="1:10" s="164" customFormat="1" x14ac:dyDescent="0.2">
      <c r="A19" s="1127" t="s">
        <v>106</v>
      </c>
      <c r="B19" s="705"/>
      <c r="C19" s="505"/>
      <c r="D19" s="505"/>
      <c r="E19" s="507"/>
      <c r="F19" s="677"/>
      <c r="G19" s="572"/>
      <c r="H19" s="275"/>
      <c r="I19" s="585"/>
      <c r="J19" s="579"/>
    </row>
    <row r="20" spans="1:10" s="164" customFormat="1" x14ac:dyDescent="0.2">
      <c r="A20" s="172" t="s">
        <v>62</v>
      </c>
      <c r="B20" s="705"/>
      <c r="C20" s="505"/>
      <c r="D20" s="505"/>
      <c r="E20" s="507"/>
      <c r="F20" s="675"/>
      <c r="G20" s="572"/>
      <c r="H20" s="275"/>
      <c r="I20" s="585"/>
      <c r="J20" s="579"/>
    </row>
    <row r="21" spans="1:10" s="164" customFormat="1" x14ac:dyDescent="0.2">
      <c r="A21" s="163" t="s">
        <v>113</v>
      </c>
      <c r="B21" s="705"/>
      <c r="C21" s="530"/>
      <c r="D21" s="505"/>
      <c r="E21" s="507"/>
      <c r="F21" s="675">
        <f>F11*galTOL</f>
        <v>99334180.418400005</v>
      </c>
      <c r="G21" s="530" t="s">
        <v>404</v>
      </c>
      <c r="H21" s="275"/>
      <c r="I21" s="585"/>
      <c r="J21" s="579"/>
    </row>
    <row r="22" spans="1:10" s="164" customFormat="1" x14ac:dyDescent="0.2">
      <c r="A22" s="163" t="s">
        <v>101</v>
      </c>
      <c r="B22" s="705"/>
      <c r="C22" s="530"/>
      <c r="D22" s="505"/>
      <c r="E22" s="507"/>
      <c r="F22" s="675">
        <f>F12*galTOL</f>
        <v>2833546.0284000002</v>
      </c>
      <c r="G22" s="530" t="s">
        <v>404</v>
      </c>
      <c r="H22" s="275"/>
      <c r="I22" s="585"/>
      <c r="J22" s="579"/>
    </row>
    <row r="23" spans="1:10" s="164" customFormat="1" x14ac:dyDescent="0.2">
      <c r="A23" s="172" t="s">
        <v>63</v>
      </c>
      <c r="B23" s="705"/>
      <c r="C23" s="572"/>
      <c r="D23" s="505"/>
      <c r="E23" s="507"/>
      <c r="F23" s="675"/>
      <c r="G23" s="572"/>
      <c r="H23" s="275"/>
      <c r="I23" s="585"/>
      <c r="J23" s="579"/>
    </row>
    <row r="24" spans="1:10" s="164" customFormat="1" ht="13.5" x14ac:dyDescent="0.2">
      <c r="A24" s="163" t="s">
        <v>113</v>
      </c>
      <c r="B24" s="705"/>
      <c r="C24" s="530"/>
      <c r="D24" s="505"/>
      <c r="E24" s="507"/>
      <c r="F24" s="675" t="e">
        <f>F21*efjetfuel/1000000</f>
        <v>#REF!</v>
      </c>
      <c r="G24" s="530" t="s">
        <v>123</v>
      </c>
      <c r="H24" s="275"/>
      <c r="I24" s="585"/>
      <c r="J24" s="579"/>
    </row>
    <row r="25" spans="1:10" s="164" customFormat="1" ht="13.5" x14ac:dyDescent="0.2">
      <c r="A25" s="163" t="s">
        <v>101</v>
      </c>
      <c r="B25" s="705"/>
      <c r="C25" s="530"/>
      <c r="D25" s="505"/>
      <c r="E25" s="507"/>
      <c r="F25" s="675" t="e">
        <f>F22*efavgas/1000000</f>
        <v>#REF!</v>
      </c>
      <c r="G25" s="530" t="s">
        <v>123</v>
      </c>
      <c r="H25" s="275"/>
      <c r="I25" s="585"/>
      <c r="J25" s="579"/>
    </row>
    <row r="26" spans="1:10" s="164" customFormat="1" ht="13.5" x14ac:dyDescent="0.2">
      <c r="A26" s="172" t="s">
        <v>61</v>
      </c>
      <c r="B26" s="705"/>
      <c r="C26" s="530"/>
      <c r="D26" s="505"/>
      <c r="E26" s="507"/>
      <c r="F26" s="675" t="e">
        <f>SUM(F24:F25)</f>
        <v>#REF!</v>
      </c>
      <c r="G26" s="530" t="s">
        <v>123</v>
      </c>
      <c r="H26" s="275"/>
      <c r="I26" s="585"/>
      <c r="J26" s="579"/>
    </row>
    <row r="27" spans="1:10" s="164" customFormat="1" ht="13.5" x14ac:dyDescent="0.2">
      <c r="A27" s="205" t="s">
        <v>64</v>
      </c>
      <c r="B27" s="685" t="e">
        <f>F27*(B17/B18)</f>
        <v>#REF!</v>
      </c>
      <c r="C27" s="532" t="s">
        <v>799</v>
      </c>
      <c r="D27" s="505"/>
      <c r="E27" s="507" t="s">
        <v>899</v>
      </c>
      <c r="F27" s="685" t="e">
        <f>F26*F15</f>
        <v>#REF!</v>
      </c>
      <c r="G27" s="532" t="s">
        <v>799</v>
      </c>
      <c r="H27" s="275"/>
      <c r="I27" s="585"/>
      <c r="J27" s="582"/>
    </row>
    <row r="28" spans="1:10" s="198" customFormat="1" x14ac:dyDescent="0.2">
      <c r="A28" s="187"/>
      <c r="B28" s="702"/>
      <c r="C28" s="598"/>
      <c r="D28" s="598"/>
      <c r="E28" s="581"/>
      <c r="F28" s="683"/>
      <c r="G28" s="583"/>
      <c r="H28" s="215"/>
      <c r="I28" s="172"/>
      <c r="J28" s="582"/>
    </row>
    <row r="29" spans="1:10" s="91" customFormat="1" x14ac:dyDescent="0.2">
      <c r="A29" s="193" t="s">
        <v>98</v>
      </c>
      <c r="B29" s="702"/>
      <c r="C29" s="598"/>
      <c r="D29" s="598"/>
      <c r="E29" s="581"/>
      <c r="F29" s="710"/>
      <c r="G29" s="586"/>
      <c r="H29" s="154"/>
      <c r="I29" s="267"/>
      <c r="J29" s="590"/>
    </row>
    <row r="30" spans="1:10" s="164" customFormat="1" x14ac:dyDescent="0.2">
      <c r="A30" s="1133" t="s">
        <v>129</v>
      </c>
      <c r="B30" s="703"/>
      <c r="C30" s="488"/>
      <c r="D30" s="488"/>
      <c r="E30" s="513"/>
      <c r="F30" s="675"/>
      <c r="G30" s="134"/>
      <c r="H30" s="275"/>
      <c r="I30" s="585"/>
      <c r="J30" s="579"/>
    </row>
    <row r="31" spans="1:10" s="164" customFormat="1" x14ac:dyDescent="0.2">
      <c r="A31" s="507" t="s">
        <v>880</v>
      </c>
      <c r="B31" s="703"/>
      <c r="C31" s="488"/>
      <c r="D31" s="488"/>
      <c r="E31" s="513"/>
      <c r="F31" s="675"/>
      <c r="G31" s="134"/>
      <c r="H31" s="275"/>
      <c r="I31" s="585"/>
      <c r="J31" s="579"/>
    </row>
    <row r="32" spans="1:10" s="164" customFormat="1" x14ac:dyDescent="0.2">
      <c r="A32" s="158" t="s">
        <v>730</v>
      </c>
      <c r="B32" s="703">
        <f>SUM(12250155,1105512)</f>
        <v>13355667</v>
      </c>
      <c r="C32" s="488" t="s">
        <v>861</v>
      </c>
      <c r="D32" s="488" t="s">
        <v>884</v>
      </c>
      <c r="E32" s="513"/>
      <c r="F32" s="675"/>
      <c r="G32" s="134"/>
      <c r="H32" s="275"/>
      <c r="I32" s="585"/>
      <c r="J32" s="579"/>
    </row>
    <row r="33" spans="1:10" s="164" customFormat="1" x14ac:dyDescent="0.2">
      <c r="A33" s="158" t="s">
        <v>481</v>
      </c>
      <c r="B33" s="703">
        <f>SUM(13408140,1223997)</f>
        <v>14632137</v>
      </c>
      <c r="C33" s="488" t="s">
        <v>861</v>
      </c>
      <c r="D33" s="488" t="s">
        <v>884</v>
      </c>
      <c r="E33" s="513"/>
      <c r="F33" s="675"/>
      <c r="G33" s="134"/>
      <c r="H33" s="275"/>
      <c r="I33" s="585"/>
      <c r="J33" s="579"/>
    </row>
    <row r="34" spans="1:10" s="164" customFormat="1" x14ac:dyDescent="0.2">
      <c r="A34" s="158" t="s">
        <v>881</v>
      </c>
      <c r="B34" s="703">
        <f>B32/B33</f>
        <v>0.91276257186492993</v>
      </c>
      <c r="C34" s="488"/>
      <c r="D34" s="488"/>
      <c r="E34" s="513"/>
      <c r="F34" s="675"/>
      <c r="G34" s="134"/>
      <c r="H34" s="275"/>
      <c r="I34" s="585"/>
      <c r="J34" s="579"/>
    </row>
    <row r="35" spans="1:10" s="164" customFormat="1" x14ac:dyDescent="0.2">
      <c r="A35" s="157" t="s">
        <v>882</v>
      </c>
      <c r="B35" s="523">
        <v>435419732</v>
      </c>
      <c r="C35" s="511" t="s">
        <v>539</v>
      </c>
      <c r="D35" s="488" t="s">
        <v>879</v>
      </c>
      <c r="E35" s="513" t="s">
        <v>883</v>
      </c>
      <c r="F35" s="675"/>
      <c r="G35" s="134"/>
      <c r="H35" s="275"/>
      <c r="I35" s="585"/>
      <c r="J35" s="579"/>
    </row>
    <row r="36" spans="1:10" s="164" customFormat="1" x14ac:dyDescent="0.2">
      <c r="A36" s="172" t="s">
        <v>67</v>
      </c>
      <c r="B36" s="706">
        <f>B35*B34</f>
        <v>397434834.42105854</v>
      </c>
      <c r="C36" s="468" t="s">
        <v>539</v>
      </c>
      <c r="E36" s="641"/>
      <c r="F36" s="523">
        <v>455493807</v>
      </c>
      <c r="G36" s="511" t="s">
        <v>539</v>
      </c>
      <c r="H36" s="505" t="s">
        <v>879</v>
      </c>
      <c r="I36" s="187"/>
      <c r="J36" s="579"/>
    </row>
    <row r="37" spans="1:10" s="164" customFormat="1" x14ac:dyDescent="0.2">
      <c r="A37" s="540" t="s">
        <v>889</v>
      </c>
      <c r="B37" s="706"/>
      <c r="C37" s="468"/>
      <c r="E37" s="641"/>
      <c r="F37" s="523"/>
      <c r="G37" s="511"/>
      <c r="H37" s="505"/>
      <c r="I37" s="187"/>
      <c r="J37" s="579"/>
    </row>
    <row r="38" spans="1:10" s="164" customFormat="1" x14ac:dyDescent="0.2">
      <c r="A38" s="158" t="s">
        <v>891</v>
      </c>
      <c r="B38" s="686">
        <v>173134</v>
      </c>
      <c r="C38" s="488" t="s">
        <v>888</v>
      </c>
      <c r="D38" s="468" t="s">
        <v>886</v>
      </c>
      <c r="E38" s="641"/>
      <c r="F38" s="523">
        <v>168804</v>
      </c>
      <c r="G38" s="488" t="s">
        <v>888</v>
      </c>
      <c r="H38" s="505" t="s">
        <v>887</v>
      </c>
      <c r="I38" s="187"/>
      <c r="J38" s="579"/>
    </row>
    <row r="39" spans="1:10" s="164" customFormat="1" x14ac:dyDescent="0.2">
      <c r="A39" s="158" t="s">
        <v>890</v>
      </c>
      <c r="B39" s="686">
        <v>7831</v>
      </c>
      <c r="C39" s="488" t="s">
        <v>888</v>
      </c>
      <c r="D39" s="468" t="s">
        <v>886</v>
      </c>
      <c r="E39" s="641"/>
      <c r="F39" s="523">
        <v>4823</v>
      </c>
      <c r="G39" s="488" t="s">
        <v>888</v>
      </c>
      <c r="H39" s="505" t="s">
        <v>887</v>
      </c>
      <c r="I39" s="187"/>
      <c r="J39" s="579"/>
    </row>
    <row r="40" spans="1:10" s="164" customFormat="1" x14ac:dyDescent="0.2">
      <c r="A40" s="157" t="s">
        <v>179</v>
      </c>
      <c r="B40" s="707">
        <f>1-B39/B38</f>
        <v>0.95476913835526245</v>
      </c>
      <c r="C40" s="488"/>
      <c r="D40" s="488"/>
      <c r="E40" s="513"/>
      <c r="F40" s="707">
        <f>1-F39/F38</f>
        <v>0.9714284021705647</v>
      </c>
      <c r="G40" s="588"/>
      <c r="H40" s="511"/>
      <c r="I40" s="514"/>
      <c r="J40" s="579"/>
    </row>
    <row r="41" spans="1:10" s="164" customFormat="1" x14ac:dyDescent="0.2">
      <c r="A41" s="558" t="s">
        <v>862</v>
      </c>
      <c r="B41" s="704">
        <v>0.47507855661680087</v>
      </c>
      <c r="C41" s="488"/>
      <c r="D41" s="505" t="s">
        <v>893</v>
      </c>
      <c r="E41" s="513" t="s">
        <v>894</v>
      </c>
      <c r="F41" s="713">
        <v>0.47391816561272243</v>
      </c>
      <c r="G41" s="588"/>
      <c r="H41" s="505" t="s">
        <v>892</v>
      </c>
      <c r="I41" s="507" t="s">
        <v>863</v>
      </c>
      <c r="J41" s="644" t="s">
        <v>864</v>
      </c>
    </row>
    <row r="42" spans="1:10" s="164" customFormat="1" x14ac:dyDescent="0.2">
      <c r="A42" s="163"/>
      <c r="B42" s="703"/>
      <c r="C42" s="488"/>
      <c r="D42" s="488"/>
      <c r="E42" s="513"/>
      <c r="F42" s="713"/>
      <c r="G42" s="588"/>
      <c r="H42" s="273"/>
      <c r="I42" s="187"/>
      <c r="J42" s="579"/>
    </row>
    <row r="43" spans="1:10" x14ac:dyDescent="0.2">
      <c r="A43" s="1250" t="s">
        <v>106</v>
      </c>
    </row>
    <row r="44" spans="1:10" x14ac:dyDescent="0.2">
      <c r="A44" s="172" t="s">
        <v>62</v>
      </c>
      <c r="B44" s="709">
        <f>B36*galTOL</f>
        <v>1504449822.2174749</v>
      </c>
      <c r="C44" s="320" t="s">
        <v>404</v>
      </c>
      <c r="F44" s="709">
        <f>F36*galTOL</f>
        <v>1724226257.0178001</v>
      </c>
      <c r="G44" s="320" t="s">
        <v>404</v>
      </c>
    </row>
    <row r="45" spans="1:10" x14ac:dyDescent="0.2">
      <c r="A45" s="540" t="s">
        <v>916</v>
      </c>
      <c r="B45" s="684">
        <f>B44*B40*B41</f>
        <v>682403912.61916721</v>
      </c>
      <c r="C45" s="320" t="s">
        <v>404</v>
      </c>
      <c r="F45" s="684">
        <f>F44*F40*F41</f>
        <v>793795088.09568238</v>
      </c>
      <c r="G45" s="320" t="s">
        <v>404</v>
      </c>
      <c r="I45" s="157" t="s">
        <v>885</v>
      </c>
    </row>
    <row r="46" spans="1:10" ht="13.5" x14ac:dyDescent="0.2">
      <c r="A46" s="191" t="s">
        <v>68</v>
      </c>
      <c r="B46" s="679" t="e">
        <f>B45*efjetfuel/1000000</f>
        <v>#REF!</v>
      </c>
      <c r="C46" s="532" t="s">
        <v>799</v>
      </c>
      <c r="D46" s="508"/>
      <c r="E46" s="518"/>
      <c r="F46" s="679" t="e">
        <f>F45*efjetfuel/1000000</f>
        <v>#REF!</v>
      </c>
      <c r="G46" s="532" t="s">
        <v>799</v>
      </c>
      <c r="H46" s="275"/>
      <c r="I46" s="585"/>
    </row>
    <row r="48" spans="1:10" x14ac:dyDescent="0.2">
      <c r="F48" s="687"/>
    </row>
    <row r="49" spans="6:7" x14ac:dyDescent="0.2">
      <c r="F49" s="714"/>
      <c r="G49" s="488"/>
    </row>
    <row r="50" spans="6:7" x14ac:dyDescent="0.2">
      <c r="F50" s="714"/>
      <c r="G50" s="530"/>
    </row>
    <row r="51" spans="6:7" x14ac:dyDescent="0.2">
      <c r="F51" s="715"/>
    </row>
  </sheetData>
  <mergeCells count="2">
    <mergeCell ref="F1:I1"/>
    <mergeCell ref="B1:E1"/>
  </mergeCells>
  <phoneticPr fontId="27" type="noConversion"/>
  <pageMargins left="0.7" right="0.7" top="0.75" bottom="0.75" header="0.3" footer="0.3"/>
  <pageSetup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/>
  </sheetPr>
  <dimension ref="A1:L76"/>
  <sheetViews>
    <sheetView zoomScaleNormal="100"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G22" sqref="G22"/>
    </sheetView>
  </sheetViews>
  <sheetFormatPr defaultColWidth="8.85546875" defaultRowHeight="12" x14ac:dyDescent="0.2"/>
  <cols>
    <col min="1" max="1" width="33.140625" style="1" bestFit="1" customWidth="1"/>
    <col min="2" max="3" width="9.42578125" customWidth="1"/>
    <col min="4" max="4" width="22.140625" style="287" bestFit="1" customWidth="1"/>
    <col min="5" max="6" width="9.42578125" customWidth="1"/>
    <col min="7" max="7" width="22.140625" style="5" bestFit="1" customWidth="1"/>
    <col min="8" max="8" width="9.42578125" style="302" customWidth="1"/>
  </cols>
  <sheetData>
    <row r="1" spans="1:12" x14ac:dyDescent="0.2">
      <c r="A1" s="112"/>
      <c r="B1" s="1803" t="s">
        <v>730</v>
      </c>
      <c r="C1" s="1804"/>
      <c r="D1" s="1804"/>
      <c r="E1" s="1790">
        <v>2015</v>
      </c>
      <c r="F1" s="1791"/>
      <c r="G1" s="1791"/>
      <c r="H1" s="1805"/>
      <c r="I1" s="64" t="s">
        <v>1169</v>
      </c>
    </row>
    <row r="2" spans="1:12" x14ac:dyDescent="0.2">
      <c r="A2" s="112" t="s">
        <v>489</v>
      </c>
      <c r="B2" s="199" t="s">
        <v>487</v>
      </c>
      <c r="C2" s="138" t="s">
        <v>486</v>
      </c>
      <c r="D2" s="138" t="s">
        <v>488</v>
      </c>
      <c r="E2" s="199" t="s">
        <v>487</v>
      </c>
      <c r="F2" s="1048" t="s">
        <v>486</v>
      </c>
      <c r="G2" s="556" t="s">
        <v>488</v>
      </c>
      <c r="H2" s="578" t="s">
        <v>306</v>
      </c>
      <c r="I2" s="203" t="s">
        <v>1166</v>
      </c>
      <c r="J2" s="598"/>
      <c r="K2" s="1137" t="s">
        <v>1168</v>
      </c>
      <c r="L2" s="419"/>
    </row>
    <row r="3" spans="1:12" x14ac:dyDescent="0.2">
      <c r="A3" s="1118" t="s">
        <v>56</v>
      </c>
      <c r="B3" s="1119"/>
      <c r="C3" s="1119"/>
      <c r="D3" s="1120"/>
      <c r="E3" s="1119"/>
      <c r="F3" s="1119"/>
      <c r="G3" s="1119"/>
      <c r="H3" s="1121"/>
      <c r="I3" s="1139"/>
      <c r="J3" s="1134"/>
      <c r="K3" s="1134"/>
      <c r="L3" s="1134"/>
    </row>
    <row r="4" spans="1:12" x14ac:dyDescent="0.2">
      <c r="A4" s="1133" t="s">
        <v>81</v>
      </c>
      <c r="B4" s="288"/>
      <c r="C4" s="132"/>
      <c r="D4" s="268"/>
      <c r="E4" s="200"/>
      <c r="F4" s="132"/>
      <c r="G4" s="127"/>
      <c r="H4" s="327"/>
    </row>
    <row r="5" spans="1:12" s="90" customFormat="1" x14ac:dyDescent="0.2">
      <c r="A5" s="540" t="s">
        <v>1864</v>
      </c>
      <c r="B5" s="288"/>
      <c r="C5" s="132"/>
      <c r="D5" s="268"/>
      <c r="E5" s="200"/>
      <c r="F5" s="132"/>
      <c r="G5" s="127"/>
      <c r="H5" s="327"/>
    </row>
    <row r="6" spans="1:12" x14ac:dyDescent="0.2">
      <c r="A6" s="526" t="s">
        <v>938</v>
      </c>
      <c r="B6" s="135"/>
      <c r="C6" s="135"/>
      <c r="D6" s="165"/>
      <c r="E6" s="135"/>
      <c r="F6" s="289"/>
      <c r="G6" s="132"/>
      <c r="H6" s="301"/>
    </row>
    <row r="7" spans="1:12" ht="13.5" x14ac:dyDescent="0.2">
      <c r="A7" s="981" t="s">
        <v>934</v>
      </c>
      <c r="B7" s="208">
        <v>32364.63257012004</v>
      </c>
      <c r="C7" s="551" t="s">
        <v>937</v>
      </c>
      <c r="D7" s="522" t="s">
        <v>936</v>
      </c>
      <c r="E7" s="1141">
        <v>3876.3636957847448</v>
      </c>
      <c r="F7" s="551" t="s">
        <v>119</v>
      </c>
      <c r="G7" s="1053" t="s">
        <v>1862</v>
      </c>
      <c r="H7" s="301"/>
    </row>
    <row r="8" spans="1:12" ht="13.5" x14ac:dyDescent="0.2">
      <c r="A8" s="982" t="s">
        <v>124</v>
      </c>
      <c r="B8" s="208">
        <v>112859.82960293698</v>
      </c>
      <c r="C8" s="551" t="s">
        <v>937</v>
      </c>
      <c r="D8" s="522" t="s">
        <v>936</v>
      </c>
      <c r="E8" s="1141">
        <v>28648.14583127568</v>
      </c>
      <c r="F8" s="551" t="s">
        <v>119</v>
      </c>
      <c r="G8" s="1053" t="s">
        <v>1862</v>
      </c>
      <c r="H8" s="327"/>
    </row>
    <row r="9" spans="1:12" ht="13.5" x14ac:dyDescent="0.2">
      <c r="A9" s="982" t="s">
        <v>935</v>
      </c>
      <c r="B9" s="208">
        <v>-154108.00329210365</v>
      </c>
      <c r="C9" s="551" t="s">
        <v>937</v>
      </c>
      <c r="D9" s="522" t="s">
        <v>936</v>
      </c>
      <c r="E9" s="1141">
        <v>-141483.14354740208</v>
      </c>
      <c r="F9" s="551" t="s">
        <v>119</v>
      </c>
      <c r="G9" s="1053" t="s">
        <v>1862</v>
      </c>
      <c r="H9" s="327"/>
    </row>
    <row r="10" spans="1:12" x14ac:dyDescent="0.2">
      <c r="A10" s="983"/>
      <c r="B10" s="208"/>
      <c r="C10" s="473"/>
      <c r="D10" s="283"/>
      <c r="E10" s="200"/>
      <c r="F10" s="331"/>
      <c r="G10" s="240"/>
      <c r="H10" s="327"/>
    </row>
    <row r="11" spans="1:12" s="90" customFormat="1" x14ac:dyDescent="0.2">
      <c r="A11" s="87"/>
      <c r="B11" s="293"/>
      <c r="C11" s="291"/>
      <c r="D11" s="261"/>
      <c r="E11" s="293"/>
      <c r="F11" s="291"/>
      <c r="G11" s="291"/>
      <c r="H11" s="299"/>
    </row>
    <row r="12" spans="1:12" s="1160" customFormat="1" ht="13.5" x14ac:dyDescent="0.2">
      <c r="A12" s="1145" t="s">
        <v>15</v>
      </c>
      <c r="B12" s="1156">
        <f>SUM(B7:B8)</f>
        <v>145224.46217305702</v>
      </c>
      <c r="C12" s="1157" t="s">
        <v>128</v>
      </c>
      <c r="D12" s="1158"/>
      <c r="E12" s="1156">
        <f>E7+E8</f>
        <v>32524.509527060425</v>
      </c>
      <c r="F12" s="1237" t="s">
        <v>128</v>
      </c>
      <c r="G12" s="1156"/>
      <c r="H12" s="1159"/>
    </row>
    <row r="13" spans="1:12" x14ac:dyDescent="0.2">
      <c r="B13" s="200"/>
      <c r="C13" s="66"/>
      <c r="D13" s="268"/>
      <c r="E13" s="200"/>
      <c r="F13" s="66"/>
      <c r="G13" s="236"/>
      <c r="H13" s="311"/>
    </row>
    <row r="14" spans="1:12" x14ac:dyDescent="0.2">
      <c r="B14" s="266"/>
      <c r="C14" s="66"/>
      <c r="D14" s="192"/>
      <c r="E14" s="88"/>
      <c r="F14" s="90"/>
      <c r="G14" s="192"/>
      <c r="H14" s="305"/>
    </row>
    <row r="15" spans="1:12" x14ac:dyDescent="0.2">
      <c r="A15" s="186"/>
      <c r="B15" s="266"/>
      <c r="C15" s="66"/>
      <c r="D15" s="192"/>
      <c r="E15" s="88"/>
      <c r="F15" s="90"/>
      <c r="G15" s="192"/>
      <c r="H15" s="305"/>
    </row>
    <row r="16" spans="1:12" x14ac:dyDescent="0.2">
      <c r="A16" s="205"/>
      <c r="B16" s="206"/>
      <c r="C16" s="204"/>
      <c r="D16" s="284"/>
      <c r="E16" s="206"/>
      <c r="F16" s="204"/>
      <c r="G16" s="204"/>
      <c r="H16" s="308"/>
    </row>
    <row r="17" spans="1:8" s="90" customFormat="1" x14ac:dyDescent="0.2">
      <c r="A17" s="205"/>
      <c r="B17" s="206"/>
      <c r="C17" s="66"/>
      <c r="D17" s="284"/>
      <c r="E17" s="206"/>
      <c r="G17" s="204"/>
      <c r="H17" s="308"/>
    </row>
    <row r="18" spans="1:8" s="90" customFormat="1" x14ac:dyDescent="0.2">
      <c r="A18" s="172"/>
      <c r="B18" s="206"/>
      <c r="C18" s="204"/>
      <c r="D18" s="284"/>
      <c r="E18" s="206"/>
      <c r="F18" s="204"/>
      <c r="G18" s="204"/>
      <c r="H18" s="308"/>
    </row>
    <row r="19" spans="1:8" x14ac:dyDescent="0.2">
      <c r="A19" s="186"/>
      <c r="B19" s="90"/>
      <c r="C19" s="90"/>
      <c r="D19" s="268"/>
      <c r="E19" s="200"/>
      <c r="F19" s="66"/>
      <c r="G19" s="236"/>
      <c r="H19" s="311"/>
    </row>
    <row r="20" spans="1:8" x14ac:dyDescent="0.2">
      <c r="A20" s="245"/>
      <c r="B20" s="90"/>
      <c r="C20" s="90"/>
      <c r="D20" s="268"/>
      <c r="E20" s="200"/>
      <c r="F20" s="66"/>
      <c r="G20" s="236"/>
      <c r="H20" s="311"/>
    </row>
    <row r="21" spans="1:8" x14ac:dyDescent="0.2">
      <c r="A21" s="205"/>
      <c r="B21" s="90"/>
      <c r="C21" s="90"/>
      <c r="D21" s="268"/>
      <c r="E21" s="200"/>
      <c r="F21" s="66"/>
      <c r="G21" s="236"/>
      <c r="H21" s="311"/>
    </row>
    <row r="22" spans="1:8" x14ac:dyDescent="0.2">
      <c r="A22" s="585"/>
      <c r="B22" s="90"/>
      <c r="C22" s="334"/>
      <c r="D22" s="268"/>
      <c r="E22" s="200"/>
      <c r="F22" s="66"/>
      <c r="G22" s="236"/>
      <c r="H22" s="311"/>
    </row>
    <row r="23" spans="1:8" x14ac:dyDescent="0.2">
      <c r="A23" s="162"/>
      <c r="B23" s="336"/>
      <c r="C23" s="334"/>
      <c r="D23" s="192"/>
      <c r="E23" s="88"/>
      <c r="F23" s="90"/>
      <c r="G23" s="192"/>
      <c r="H23" s="305"/>
    </row>
    <row r="24" spans="1:8" x14ac:dyDescent="0.2">
      <c r="A24" s="162"/>
      <c r="B24" s="88"/>
      <c r="C24" s="90"/>
      <c r="D24" s="192"/>
      <c r="E24" s="88"/>
      <c r="F24" s="90"/>
      <c r="G24" s="192"/>
      <c r="H24" s="305"/>
    </row>
    <row r="25" spans="1:8" x14ac:dyDescent="0.2">
      <c r="A25" s="205"/>
      <c r="B25" s="206"/>
      <c r="C25" s="204"/>
      <c r="D25" s="284"/>
      <c r="E25" s="206"/>
      <c r="F25" s="204"/>
      <c r="G25" s="204"/>
      <c r="H25" s="308"/>
    </row>
    <row r="26" spans="1:8" x14ac:dyDescent="0.2">
      <c r="A26" s="205"/>
      <c r="B26" s="206"/>
      <c r="C26" s="90"/>
      <c r="D26" s="284"/>
      <c r="E26" s="206"/>
      <c r="F26" s="90"/>
      <c r="G26" s="204"/>
      <c r="H26" s="308"/>
    </row>
    <row r="27" spans="1:8" x14ac:dyDescent="0.2">
      <c r="A27" s="172"/>
      <c r="B27" s="88"/>
      <c r="C27" s="90"/>
      <c r="D27" s="192"/>
      <c r="E27" s="88"/>
      <c r="F27" s="90"/>
      <c r="G27" s="192"/>
      <c r="H27" s="305"/>
    </row>
    <row r="28" spans="1:8" x14ac:dyDescent="0.2">
      <c r="A28" s="162"/>
      <c r="B28" s="103"/>
      <c r="C28" s="66"/>
      <c r="D28" s="240"/>
      <c r="E28" s="250"/>
      <c r="F28" s="66"/>
      <c r="G28" s="269"/>
      <c r="H28" s="316"/>
    </row>
    <row r="29" spans="1:8" x14ac:dyDescent="0.2">
      <c r="A29" s="245"/>
      <c r="B29" s="103"/>
      <c r="C29" s="66"/>
      <c r="D29" s="240"/>
      <c r="E29" s="250"/>
      <c r="F29" s="66"/>
      <c r="G29" s="269"/>
      <c r="H29" s="316"/>
    </row>
    <row r="30" spans="1:8" x14ac:dyDescent="0.2">
      <c r="A30" s="205"/>
      <c r="B30" s="103"/>
      <c r="C30" s="66"/>
      <c r="D30" s="240"/>
      <c r="E30" s="250"/>
      <c r="F30" s="66"/>
      <c r="G30" s="269"/>
      <c r="H30" s="316"/>
    </row>
    <row r="31" spans="1:8" x14ac:dyDescent="0.2">
      <c r="A31" s="585"/>
      <c r="B31" s="103"/>
      <c r="C31" s="66"/>
      <c r="D31" s="240"/>
      <c r="E31" s="250"/>
      <c r="F31" s="66"/>
      <c r="G31" s="269"/>
      <c r="H31" s="316"/>
    </row>
    <row r="32" spans="1:8" x14ac:dyDescent="0.2">
      <c r="A32" s="162"/>
      <c r="B32" s="88"/>
      <c r="C32" s="90"/>
      <c r="D32" s="240"/>
      <c r="E32" s="88"/>
      <c r="F32" s="90"/>
      <c r="G32" s="273"/>
      <c r="H32" s="303"/>
    </row>
    <row r="33" spans="1:8" x14ac:dyDescent="0.2">
      <c r="A33" s="187"/>
      <c r="B33" s="90"/>
      <c r="C33" s="185"/>
      <c r="D33" s="192"/>
      <c r="E33" s="263"/>
      <c r="F33" s="185"/>
      <c r="G33" s="269"/>
      <c r="H33" s="316"/>
    </row>
    <row r="34" spans="1:8" x14ac:dyDescent="0.2">
      <c r="A34" s="87"/>
      <c r="B34" s="103"/>
      <c r="C34" s="185"/>
      <c r="D34" s="240"/>
      <c r="E34" s="196"/>
      <c r="F34" s="185"/>
      <c r="G34" s="210"/>
      <c r="H34" s="316"/>
    </row>
    <row r="35" spans="1:8" x14ac:dyDescent="0.2">
      <c r="A35" s="162"/>
      <c r="B35" s="103"/>
      <c r="C35" s="90"/>
      <c r="D35" s="192"/>
      <c r="E35" s="103"/>
      <c r="F35" s="90"/>
      <c r="G35" s="192"/>
      <c r="H35" s="305"/>
    </row>
    <row r="36" spans="1:8" x14ac:dyDescent="0.2">
      <c r="A36" s="162"/>
      <c r="B36" s="103"/>
      <c r="C36" s="90"/>
      <c r="D36" s="192"/>
      <c r="E36" s="103"/>
      <c r="F36" s="90"/>
      <c r="G36" s="192"/>
      <c r="H36" s="305"/>
    </row>
    <row r="37" spans="1:8" x14ac:dyDescent="0.2">
      <c r="A37" s="162"/>
      <c r="B37" s="99"/>
      <c r="C37" s="66"/>
      <c r="D37" s="192"/>
      <c r="E37" s="99"/>
      <c r="F37" s="66"/>
      <c r="G37" s="236"/>
      <c r="H37" s="311"/>
    </row>
    <row r="38" spans="1:8" x14ac:dyDescent="0.2">
      <c r="A38" s="162"/>
      <c r="B38" s="99"/>
      <c r="C38" s="66"/>
      <c r="D38" s="192"/>
      <c r="E38" s="99"/>
      <c r="F38" s="66"/>
      <c r="G38" s="236"/>
      <c r="H38" s="311"/>
    </row>
    <row r="39" spans="1:8" x14ac:dyDescent="0.2">
      <c r="A39" s="205"/>
      <c r="B39" s="206"/>
      <c r="C39" s="204"/>
      <c r="D39" s="284"/>
      <c r="E39" s="206"/>
      <c r="F39" s="204"/>
      <c r="G39" s="204"/>
      <c r="H39" s="308"/>
    </row>
    <row r="40" spans="1:8" x14ac:dyDescent="0.2">
      <c r="A40" s="205"/>
      <c r="B40" s="206"/>
      <c r="C40" s="90"/>
      <c r="D40" s="284"/>
      <c r="E40" s="206"/>
      <c r="F40" s="90"/>
      <c r="G40" s="204"/>
      <c r="H40" s="308"/>
    </row>
    <row r="41" spans="1:8" x14ac:dyDescent="0.2">
      <c r="A41" s="172"/>
      <c r="B41" s="88"/>
      <c r="C41" s="90"/>
      <c r="D41" s="192"/>
      <c r="E41" s="88"/>
      <c r="F41" s="90"/>
      <c r="G41" s="192"/>
      <c r="H41" s="305"/>
    </row>
    <row r="42" spans="1:8" x14ac:dyDescent="0.2">
      <c r="A42" s="172"/>
      <c r="B42" s="88"/>
      <c r="C42" s="90"/>
      <c r="D42" s="192"/>
      <c r="E42" s="88"/>
      <c r="F42" s="90"/>
      <c r="G42" s="192"/>
      <c r="H42" s="305"/>
    </row>
    <row r="43" spans="1:8" ht="12" customHeight="1" x14ac:dyDescent="0.2">
      <c r="A43" s="245"/>
      <c r="B43" s="139"/>
      <c r="C43" s="185"/>
      <c r="D43" s="240"/>
      <c r="E43" s="139"/>
      <c r="F43" s="185"/>
      <c r="G43" s="240"/>
      <c r="H43" s="305"/>
    </row>
    <row r="44" spans="1:8" s="90" customFormat="1" x14ac:dyDescent="0.2">
      <c r="A44" s="205"/>
      <c r="D44" s="268"/>
      <c r="E44" s="185"/>
      <c r="F44" s="240"/>
      <c r="G44" s="204"/>
      <c r="H44" s="308"/>
    </row>
    <row r="45" spans="1:8" s="90" customFormat="1" x14ac:dyDescent="0.2">
      <c r="A45" s="205"/>
      <c r="B45" s="139"/>
      <c r="C45" s="185"/>
      <c r="D45" s="240"/>
      <c r="E45" s="185"/>
      <c r="F45" s="240"/>
      <c r="G45" s="204"/>
      <c r="H45" s="308"/>
    </row>
    <row r="46" spans="1:8" x14ac:dyDescent="0.2">
      <c r="A46" s="205"/>
      <c r="B46" s="206"/>
      <c r="C46" s="204"/>
      <c r="D46" s="284"/>
      <c r="E46" s="206"/>
      <c r="F46" s="204"/>
      <c r="G46" s="204"/>
      <c r="H46" s="308"/>
    </row>
    <row r="47" spans="1:8" x14ac:dyDescent="0.2">
      <c r="A47" s="205"/>
      <c r="B47" s="200"/>
      <c r="C47" s="185"/>
      <c r="D47" s="192"/>
      <c r="E47" s="200"/>
      <c r="F47" s="185"/>
      <c r="G47" s="236"/>
      <c r="H47" s="311"/>
    </row>
    <row r="48" spans="1:8" x14ac:dyDescent="0.2">
      <c r="A48" s="172"/>
      <c r="B48" s="247"/>
      <c r="C48" s="185"/>
      <c r="D48" s="192"/>
      <c r="E48" s="200"/>
      <c r="F48" s="185"/>
      <c r="G48" s="236"/>
      <c r="H48" s="311"/>
    </row>
    <row r="49" spans="1:8" x14ac:dyDescent="0.2">
      <c r="A49" s="172"/>
      <c r="B49" s="247"/>
      <c r="C49" s="185"/>
      <c r="D49" s="192"/>
      <c r="E49" s="248"/>
      <c r="F49" s="185"/>
      <c r="G49" s="236"/>
      <c r="H49" s="311"/>
    </row>
    <row r="50" spans="1:8" x14ac:dyDescent="0.2">
      <c r="A50" s="172"/>
      <c r="B50" s="247"/>
      <c r="C50" s="185"/>
      <c r="D50" s="192"/>
      <c r="E50" s="200"/>
      <c r="F50" s="185"/>
      <c r="G50" s="236"/>
      <c r="H50" s="311"/>
    </row>
    <row r="51" spans="1:8" x14ac:dyDescent="0.2">
      <c r="A51" s="172"/>
      <c r="B51" s="200"/>
      <c r="C51" s="66"/>
      <c r="D51" s="192"/>
      <c r="E51" s="200"/>
      <c r="F51" s="66"/>
      <c r="G51" s="236"/>
      <c r="H51" s="311"/>
    </row>
    <row r="52" spans="1:8" x14ac:dyDescent="0.2">
      <c r="A52" s="172"/>
      <c r="B52" s="139"/>
      <c r="C52" s="66"/>
      <c r="D52" s="268"/>
      <c r="E52" s="139"/>
      <c r="F52" s="66"/>
      <c r="G52" s="236"/>
      <c r="H52" s="311"/>
    </row>
    <row r="53" spans="1:8" x14ac:dyDescent="0.2">
      <c r="A53" s="245"/>
      <c r="B53" s="139"/>
      <c r="C53" s="66"/>
      <c r="D53" s="268"/>
      <c r="E53" s="139"/>
      <c r="F53" s="66"/>
      <c r="G53" s="236"/>
      <c r="H53" s="311"/>
    </row>
    <row r="54" spans="1:8" x14ac:dyDescent="0.2">
      <c r="A54" s="205"/>
      <c r="B54" s="139"/>
      <c r="C54" s="66"/>
      <c r="D54" s="268"/>
      <c r="E54" s="139"/>
      <c r="F54" s="66"/>
      <c r="G54" s="240"/>
      <c r="H54" s="305"/>
    </row>
    <row r="55" spans="1:8" x14ac:dyDescent="0.2">
      <c r="A55" s="187"/>
      <c r="B55" s="103"/>
      <c r="C55" s="196"/>
      <c r="D55" s="192"/>
      <c r="E55" s="249"/>
      <c r="F55" s="196"/>
      <c r="G55" s="192"/>
      <c r="H55" s="305"/>
    </row>
    <row r="56" spans="1:8" x14ac:dyDescent="0.2">
      <c r="A56" s="186"/>
      <c r="B56" s="100"/>
      <c r="C56" s="90"/>
      <c r="D56" s="240"/>
      <c r="E56" s="185"/>
      <c r="F56" s="66"/>
      <c r="G56" s="210"/>
      <c r="H56" s="316"/>
    </row>
    <row r="57" spans="1:8" x14ac:dyDescent="0.2">
      <c r="A57" s="186"/>
      <c r="B57" s="103"/>
      <c r="C57" s="188"/>
      <c r="D57" s="240"/>
      <c r="E57" s="253"/>
      <c r="F57" s="185"/>
      <c r="G57" s="240"/>
      <c r="H57" s="305"/>
    </row>
    <row r="58" spans="1:8" x14ac:dyDescent="0.2">
      <c r="A58" s="115"/>
      <c r="B58" s="139"/>
      <c r="C58" s="139"/>
      <c r="D58" s="192"/>
      <c r="E58" s="251"/>
      <c r="F58" s="203"/>
      <c r="G58" s="66"/>
      <c r="H58" s="304"/>
    </row>
    <row r="59" spans="1:8" x14ac:dyDescent="0.2">
      <c r="A59" s="205"/>
      <c r="B59" s="206"/>
      <c r="C59" s="204"/>
      <c r="D59" s="284"/>
      <c r="E59" s="206"/>
      <c r="F59" s="204"/>
      <c r="G59" s="204"/>
      <c r="H59" s="308"/>
    </row>
    <row r="60" spans="1:8" s="90" customFormat="1" x14ac:dyDescent="0.2">
      <c r="A60" s="172"/>
      <c r="B60" s="207"/>
      <c r="C60" s="185"/>
      <c r="D60" s="284"/>
      <c r="E60" s="206"/>
      <c r="F60" s="204"/>
      <c r="G60" s="204"/>
      <c r="H60" s="308"/>
    </row>
    <row r="61" spans="1:8" x14ac:dyDescent="0.2">
      <c r="A61" s="187"/>
      <c r="B61" s="274"/>
      <c r="C61" s="185"/>
      <c r="D61" s="192"/>
      <c r="E61" s="265"/>
      <c r="F61" s="66"/>
      <c r="G61" s="192"/>
      <c r="H61" s="305"/>
    </row>
    <row r="62" spans="1:8" x14ac:dyDescent="0.2">
      <c r="A62" s="239"/>
      <c r="B62" s="201"/>
      <c r="C62" s="185"/>
      <c r="D62" s="192"/>
      <c r="E62" s="200"/>
      <c r="F62" s="196"/>
      <c r="G62" s="192"/>
      <c r="H62" s="305"/>
    </row>
    <row r="63" spans="1:8" x14ac:dyDescent="0.2">
      <c r="A63" s="239"/>
      <c r="B63" s="201"/>
      <c r="C63" s="185"/>
      <c r="D63" s="192"/>
      <c r="E63" s="200"/>
      <c r="F63" s="196"/>
      <c r="G63" s="192"/>
      <c r="H63" s="305"/>
    </row>
    <row r="64" spans="1:8" x14ac:dyDescent="0.2">
      <c r="A64" s="239"/>
      <c r="B64" s="201"/>
      <c r="C64" s="185"/>
      <c r="D64" s="192"/>
      <c r="E64" s="200"/>
      <c r="F64" s="196"/>
      <c r="G64" s="192"/>
      <c r="H64" s="305"/>
    </row>
    <row r="65" spans="1:8" x14ac:dyDescent="0.2">
      <c r="A65" s="239"/>
      <c r="B65" s="200"/>
      <c r="C65" s="66"/>
      <c r="D65" s="192"/>
      <c r="E65" s="200"/>
      <c r="F65" s="185"/>
      <c r="G65" s="192"/>
      <c r="H65" s="305"/>
    </row>
    <row r="66" spans="1:8" x14ac:dyDescent="0.2">
      <c r="A66" s="538"/>
      <c r="B66" s="200"/>
      <c r="C66" s="185"/>
      <c r="D66" s="192"/>
      <c r="E66" s="200"/>
      <c r="F66" s="185"/>
      <c r="G66" s="192"/>
      <c r="H66" s="305"/>
    </row>
    <row r="67" spans="1:8" x14ac:dyDescent="0.2">
      <c r="A67" s="538"/>
      <c r="B67" s="200"/>
      <c r="C67" s="196"/>
      <c r="D67" s="192"/>
      <c r="E67" s="200"/>
      <c r="F67" s="196"/>
      <c r="G67" s="506"/>
      <c r="H67" s="306"/>
    </row>
    <row r="68" spans="1:8" x14ac:dyDescent="0.2">
      <c r="A68" s="239"/>
      <c r="B68" s="237"/>
      <c r="C68" s="243"/>
      <c r="D68" s="261"/>
      <c r="E68" s="237"/>
      <c r="F68" s="243"/>
      <c r="G68" s="192"/>
      <c r="H68" s="305"/>
    </row>
    <row r="69" spans="1:8" x14ac:dyDescent="0.2">
      <c r="A69" s="242"/>
      <c r="B69" s="209"/>
      <c r="C69" s="196"/>
      <c r="D69" s="192"/>
      <c r="E69" s="139"/>
      <c r="F69" s="196"/>
      <c r="G69" s="66"/>
      <c r="H69" s="304"/>
    </row>
    <row r="70" spans="1:8" x14ac:dyDescent="0.2">
      <c r="A70" s="186"/>
      <c r="B70" s="103"/>
      <c r="C70" s="185"/>
      <c r="D70" s="268"/>
      <c r="E70" s="66"/>
      <c r="F70" s="192"/>
      <c r="G70" s="66"/>
      <c r="H70" s="304"/>
    </row>
    <row r="71" spans="1:8" x14ac:dyDescent="0.2">
      <c r="A71" s="186"/>
      <c r="B71" s="103"/>
      <c r="C71" s="185"/>
      <c r="D71" s="314"/>
      <c r="E71" s="66"/>
      <c r="F71" s="192"/>
      <c r="G71" s="66"/>
      <c r="H71" s="304"/>
    </row>
    <row r="72" spans="1:8" x14ac:dyDescent="0.2">
      <c r="A72" s="571"/>
      <c r="B72" s="103"/>
      <c r="C72" s="185"/>
      <c r="D72" s="314"/>
      <c r="E72" s="66"/>
      <c r="F72" s="192"/>
      <c r="G72" s="66"/>
      <c r="H72" s="304"/>
    </row>
    <row r="73" spans="1:8" x14ac:dyDescent="0.2">
      <c r="A73" s="186"/>
      <c r="B73" s="103"/>
      <c r="C73" s="66"/>
      <c r="D73" s="268"/>
      <c r="E73" s="66"/>
      <c r="F73" s="192"/>
      <c r="G73" s="66"/>
      <c r="H73" s="304"/>
    </row>
    <row r="74" spans="1:8" x14ac:dyDescent="0.2">
      <c r="A74" s="120"/>
      <c r="B74" s="103"/>
      <c r="C74" s="66"/>
      <c r="D74" s="268"/>
      <c r="E74" s="66"/>
      <c r="F74" s="192"/>
    </row>
    <row r="75" spans="1:8" x14ac:dyDescent="0.2">
      <c r="A75" s="120"/>
      <c r="C75" s="5"/>
    </row>
    <row r="76" spans="1:8" x14ac:dyDescent="0.2">
      <c r="A76" s="115"/>
    </row>
  </sheetData>
  <mergeCells count="2">
    <mergeCell ref="B1:D1"/>
    <mergeCell ref="E1:H1"/>
  </mergeCells>
  <phoneticPr fontId="27" type="noConversion"/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/>
  </sheetPr>
  <dimension ref="A1:I13"/>
  <sheetViews>
    <sheetView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C23" sqref="C23"/>
    </sheetView>
  </sheetViews>
  <sheetFormatPr defaultColWidth="8.85546875" defaultRowHeight="12" x14ac:dyDescent="0.2"/>
  <cols>
    <col min="1" max="1" width="45.28515625" customWidth="1"/>
    <col min="2" max="2" width="13.85546875" customWidth="1"/>
    <col min="3" max="3" width="9.42578125" customWidth="1"/>
    <col min="4" max="4" width="24.42578125" bestFit="1" customWidth="1"/>
    <col min="5" max="5" width="9.42578125" style="1" customWidth="1"/>
    <col min="6" max="8" width="9.42578125" customWidth="1"/>
    <col min="10" max="10" width="9.7109375" bestFit="1" customWidth="1"/>
  </cols>
  <sheetData>
    <row r="1" spans="1:9" x14ac:dyDescent="0.2">
      <c r="A1" s="264"/>
      <c r="B1" s="1790">
        <v>2015</v>
      </c>
      <c r="C1" s="1791"/>
      <c r="D1" s="1791"/>
      <c r="E1" s="1805"/>
      <c r="F1" s="64" t="s">
        <v>1169</v>
      </c>
    </row>
    <row r="2" spans="1:9" x14ac:dyDescent="0.2">
      <c r="A2" s="264" t="s">
        <v>489</v>
      </c>
      <c r="B2" s="280" t="s">
        <v>487</v>
      </c>
      <c r="C2" s="1048" t="s">
        <v>486</v>
      </c>
      <c r="D2" s="556" t="s">
        <v>488</v>
      </c>
      <c r="E2" s="578" t="s">
        <v>306</v>
      </c>
      <c r="F2" s="203" t="s">
        <v>1166</v>
      </c>
      <c r="G2" s="598" t="s">
        <v>1174</v>
      </c>
      <c r="H2" s="1137" t="s">
        <v>1168</v>
      </c>
      <c r="I2" s="419">
        <v>15</v>
      </c>
    </row>
    <row r="3" spans="1:9" x14ac:dyDescent="0.2">
      <c r="A3" s="1119" t="s">
        <v>105</v>
      </c>
      <c r="B3" s="1143"/>
      <c r="C3" s="1119"/>
      <c r="D3" s="1120"/>
      <c r="E3" s="1121"/>
      <c r="F3" s="1139"/>
      <c r="G3" s="1134"/>
      <c r="H3" s="1134"/>
      <c r="I3" s="1134"/>
    </row>
    <row r="4" spans="1:9" s="90" customFormat="1" x14ac:dyDescent="0.2">
      <c r="A4" s="246"/>
      <c r="B4" s="325"/>
      <c r="C4" s="282"/>
      <c r="D4" s="285"/>
      <c r="E4" s="1144"/>
      <c r="F4" s="328"/>
      <c r="G4" s="328"/>
      <c r="H4" s="328"/>
    </row>
    <row r="5" spans="1:9" s="90" customFormat="1" x14ac:dyDescent="0.2">
      <c r="A5" s="246" t="s">
        <v>941</v>
      </c>
      <c r="B5" s="325"/>
      <c r="C5" s="282"/>
      <c r="D5" s="285"/>
      <c r="E5" s="1144"/>
      <c r="F5" s="328"/>
      <c r="G5" s="328"/>
      <c r="H5" s="328"/>
    </row>
    <row r="6" spans="1:9" x14ac:dyDescent="0.2">
      <c r="A6" s="1751" t="s">
        <v>1838</v>
      </c>
      <c r="B6" s="212"/>
      <c r="C6" s="132"/>
      <c r="D6" s="192"/>
      <c r="E6" s="327"/>
      <c r="F6" s="329"/>
      <c r="G6" s="329"/>
      <c r="H6" s="329"/>
    </row>
    <row r="7" spans="1:9" ht="13.5" x14ac:dyDescent="0.2">
      <c r="A7" s="1752" t="s">
        <v>1839</v>
      </c>
      <c r="B7" s="212">
        <v>23519.599999999999</v>
      </c>
      <c r="C7" s="132" t="s">
        <v>119</v>
      </c>
      <c r="D7" s="192" t="s">
        <v>1858</v>
      </c>
      <c r="E7" s="327"/>
      <c r="F7" s="329"/>
      <c r="G7" s="329"/>
      <c r="H7" s="329"/>
    </row>
    <row r="8" spans="1:9" x14ac:dyDescent="0.2">
      <c r="A8" s="236"/>
      <c r="B8" s="212"/>
      <c r="C8" s="132"/>
      <c r="D8" s="192"/>
      <c r="E8" s="327"/>
      <c r="F8" s="329"/>
      <c r="G8" s="329"/>
      <c r="H8" s="329"/>
    </row>
    <row r="9" spans="1:9" x14ac:dyDescent="0.2">
      <c r="A9" s="291" t="s">
        <v>1836</v>
      </c>
      <c r="B9" s="212"/>
      <c r="C9" s="289"/>
      <c r="D9" s="240"/>
      <c r="E9" s="327"/>
      <c r="F9" s="329"/>
      <c r="G9" s="329"/>
      <c r="H9" s="329"/>
    </row>
    <row r="10" spans="1:9" ht="13.5" x14ac:dyDescent="0.2">
      <c r="A10" s="1750" t="s">
        <v>1837</v>
      </c>
      <c r="B10" s="326">
        <v>0</v>
      </c>
      <c r="C10" s="132" t="s">
        <v>119</v>
      </c>
      <c r="D10" s="192" t="s">
        <v>1859</v>
      </c>
      <c r="E10" s="327"/>
      <c r="F10" s="329"/>
      <c r="G10" s="329"/>
      <c r="H10" s="329"/>
    </row>
    <row r="11" spans="1:9" x14ac:dyDescent="0.2">
      <c r="B11" s="137"/>
      <c r="D11" s="315"/>
      <c r="E11" s="304"/>
      <c r="F11" s="321"/>
      <c r="G11" s="321"/>
      <c r="H11" s="321"/>
    </row>
    <row r="12" spans="1:9" s="350" customFormat="1" ht="13.5" x14ac:dyDescent="0.2">
      <c r="A12" s="1145" t="s">
        <v>15</v>
      </c>
      <c r="B12" s="1146">
        <f>B7+B10</f>
        <v>23519.599999999999</v>
      </c>
      <c r="C12" s="1147" t="s">
        <v>128</v>
      </c>
      <c r="D12" s="1148"/>
      <c r="E12" s="1149"/>
      <c r="F12" s="321"/>
      <c r="G12" s="321"/>
      <c r="H12" s="321"/>
    </row>
    <row r="13" spans="1:9" x14ac:dyDescent="0.2">
      <c r="A13" s="554"/>
      <c r="B13" s="676"/>
      <c r="C13" s="719"/>
      <c r="D13" s="315"/>
      <c r="E13" s="304"/>
      <c r="F13" s="321"/>
      <c r="G13" s="321"/>
      <c r="H13" s="321"/>
    </row>
  </sheetData>
  <mergeCells count="1">
    <mergeCell ref="B1:E1"/>
  </mergeCells>
  <phoneticPr fontId="27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202"/>
  <sheetViews>
    <sheetView workbookViewId="0">
      <pane xSplit="1" ySplit="2" topLeftCell="B72" activePane="bottomRight" state="frozen"/>
      <selection activeCell="F46" sqref="F46"/>
      <selection pane="topRight" activeCell="F46" sqref="F46"/>
      <selection pane="bottomLeft" activeCell="F46" sqref="F46"/>
      <selection pane="bottomRight" activeCell="D18" sqref="D18"/>
    </sheetView>
  </sheetViews>
  <sheetFormatPr defaultColWidth="8.85546875" defaultRowHeight="12" x14ac:dyDescent="0.2"/>
  <cols>
    <col min="1" max="1" width="32" style="1" customWidth="1"/>
    <col min="2" max="2" width="14.5703125" style="361" bestFit="1" customWidth="1"/>
    <col min="3" max="4" width="9.42578125" style="361" customWidth="1"/>
    <col min="5" max="5" width="16.28515625" style="546" customWidth="1"/>
    <col min="6" max="6" width="14.7109375" customWidth="1"/>
    <col min="7" max="7" width="10.5703125" bestFit="1" customWidth="1"/>
    <col min="8" max="8" width="14.85546875" bestFit="1" customWidth="1"/>
    <col min="9" max="9" width="23.28515625" style="300" bestFit="1" customWidth="1"/>
    <col min="10" max="10" width="82.5703125" style="1282" bestFit="1" customWidth="1"/>
  </cols>
  <sheetData>
    <row r="1" spans="1:14" x14ac:dyDescent="0.2">
      <c r="A1" s="117" t="s">
        <v>1276</v>
      </c>
      <c r="B1" s="1806">
        <v>2015</v>
      </c>
      <c r="C1" s="1806"/>
      <c r="D1" s="1806"/>
      <c r="E1" s="1806"/>
      <c r="F1" s="1806"/>
      <c r="G1" s="1806"/>
      <c r="H1" s="1806"/>
      <c r="I1" s="1792"/>
      <c r="J1" s="1274"/>
      <c r="K1" s="64" t="s">
        <v>1169</v>
      </c>
    </row>
    <row r="2" spans="1:14" x14ac:dyDescent="0.2">
      <c r="A2" s="117"/>
      <c r="B2" s="1791" t="s">
        <v>1277</v>
      </c>
      <c r="C2" s="1791"/>
      <c r="D2" s="1791"/>
      <c r="E2" s="1791"/>
      <c r="F2" s="1804" t="s">
        <v>1278</v>
      </c>
      <c r="G2" s="1804"/>
      <c r="H2" s="1804"/>
      <c r="I2" s="1265"/>
      <c r="J2" s="1274"/>
      <c r="K2" s="64"/>
    </row>
    <row r="3" spans="1:14" x14ac:dyDescent="0.2">
      <c r="A3" s="112" t="s">
        <v>489</v>
      </c>
      <c r="B3" s="199" t="s">
        <v>487</v>
      </c>
      <c r="C3" s="1482" t="s">
        <v>486</v>
      </c>
      <c r="D3" s="1263" t="s">
        <v>488</v>
      </c>
      <c r="E3" s="1264" t="s">
        <v>485</v>
      </c>
      <c r="F3" s="199" t="s">
        <v>487</v>
      </c>
      <c r="G3" s="1263" t="s">
        <v>486</v>
      </c>
      <c r="H3" s="1263" t="s">
        <v>488</v>
      </c>
      <c r="I3" s="1264" t="s">
        <v>306</v>
      </c>
      <c r="J3" s="1049" t="s">
        <v>1279</v>
      </c>
      <c r="K3" s="203" t="s">
        <v>1166</v>
      </c>
      <c r="L3" s="598" t="s">
        <v>1167</v>
      </c>
      <c r="M3" s="1137" t="s">
        <v>1168</v>
      </c>
      <c r="N3" s="419">
        <v>60</v>
      </c>
    </row>
    <row r="4" spans="1:14" x14ac:dyDescent="0.2">
      <c r="A4" s="1118" t="s">
        <v>1165</v>
      </c>
      <c r="B4" s="1134"/>
      <c r="C4" s="1134"/>
      <c r="D4" s="1134"/>
      <c r="E4" s="1128"/>
      <c r="F4" s="1119"/>
      <c r="G4" s="1119"/>
      <c r="H4" s="1119"/>
      <c r="I4" s="1128"/>
      <c r="J4" s="1275"/>
      <c r="K4" s="1134"/>
      <c r="L4" s="1134"/>
      <c r="M4" s="1134"/>
      <c r="N4" s="1134"/>
    </row>
    <row r="5" spans="1:14" x14ac:dyDescent="0.2">
      <c r="A5" s="245" t="s">
        <v>1719</v>
      </c>
      <c r="B5" s="425"/>
      <c r="C5" s="425"/>
      <c r="D5" s="425"/>
      <c r="E5" s="521"/>
      <c r="F5" s="1315"/>
      <c r="G5" s="1315"/>
      <c r="H5" s="1315"/>
      <c r="I5" s="1316"/>
      <c r="J5" s="1276"/>
    </row>
    <row r="6" spans="1:14" s="90" customFormat="1" x14ac:dyDescent="0.2">
      <c r="A6" s="1647" t="s">
        <v>1721</v>
      </c>
      <c r="B6" s="425"/>
      <c r="C6" s="425"/>
      <c r="D6" s="425"/>
      <c r="E6" s="521"/>
      <c r="F6" s="1505">
        <f>(42.2+42.4+41.4+42.5+54.2+77.7+84.5+70.2+51+44.85+42.15+38.44)/12*10^6</f>
        <v>52628333.333333328</v>
      </c>
      <c r="G6" s="1315" t="s">
        <v>1372</v>
      </c>
      <c r="H6" s="1315" t="s">
        <v>1519</v>
      </c>
      <c r="I6" s="1289" t="s">
        <v>1893</v>
      </c>
      <c r="J6" s="1278"/>
    </row>
    <row r="7" spans="1:14" s="90" customFormat="1" x14ac:dyDescent="0.2">
      <c r="A7" s="1647" t="s">
        <v>1695</v>
      </c>
      <c r="B7" s="425"/>
      <c r="C7" s="425"/>
      <c r="D7" s="425"/>
      <c r="E7" s="521"/>
      <c r="F7" s="1648">
        <v>1</v>
      </c>
      <c r="G7" s="1315"/>
      <c r="H7" s="1315" t="s">
        <v>1518</v>
      </c>
      <c r="I7" s="1289" t="s">
        <v>1517</v>
      </c>
      <c r="J7" s="1278"/>
    </row>
    <row r="8" spans="1:14" s="90" customFormat="1" x14ac:dyDescent="0.2">
      <c r="A8" s="1647" t="s">
        <v>1723</v>
      </c>
      <c r="B8" s="425"/>
      <c r="C8" s="425"/>
      <c r="D8" s="425"/>
      <c r="E8" s="521"/>
      <c r="F8" s="1648">
        <v>0</v>
      </c>
      <c r="G8" s="1315"/>
      <c r="H8" s="1315" t="s">
        <v>1518</v>
      </c>
      <c r="I8" s="1289"/>
      <c r="J8" s="1278"/>
    </row>
    <row r="9" spans="1:14" s="90" customFormat="1" x14ac:dyDescent="0.2">
      <c r="A9" s="1647"/>
      <c r="B9" s="425"/>
      <c r="C9" s="425"/>
      <c r="D9" s="425"/>
      <c r="E9" s="521"/>
      <c r="F9" s="1686"/>
      <c r="G9" s="1315"/>
      <c r="H9" s="1315"/>
      <c r="I9" s="1289"/>
      <c r="J9" s="1278"/>
    </row>
    <row r="10" spans="1:14" s="90" customFormat="1" x14ac:dyDescent="0.2">
      <c r="A10" s="1685" t="s">
        <v>1720</v>
      </c>
      <c r="B10" s="425"/>
      <c r="C10" s="425"/>
      <c r="D10" s="425"/>
      <c r="E10" s="521"/>
      <c r="F10" s="1686"/>
      <c r="G10" s="1315"/>
      <c r="H10" s="1315"/>
      <c r="I10" s="1289"/>
      <c r="J10" s="1278"/>
    </row>
    <row r="11" spans="1:14" s="90" customFormat="1" x14ac:dyDescent="0.2">
      <c r="A11" s="1647" t="s">
        <v>1721</v>
      </c>
      <c r="B11" s="425"/>
      <c r="C11" s="425"/>
      <c r="D11" s="425"/>
      <c r="E11" s="521"/>
      <c r="F11" s="1688">
        <v>160107000</v>
      </c>
      <c r="G11" s="1315" t="s">
        <v>1730</v>
      </c>
      <c r="H11" s="1315" t="s">
        <v>1894</v>
      </c>
      <c r="I11" s="1289" t="s">
        <v>1737</v>
      </c>
      <c r="J11" s="1278"/>
    </row>
    <row r="12" spans="1:14" s="90" customFormat="1" x14ac:dyDescent="0.2">
      <c r="A12" s="1647" t="s">
        <v>1722</v>
      </c>
      <c r="B12" s="425"/>
      <c r="C12" s="425"/>
      <c r="D12" s="425"/>
      <c r="E12" s="521"/>
      <c r="F12" s="1648">
        <v>1</v>
      </c>
      <c r="G12" s="1315"/>
      <c r="H12" s="1774" t="s">
        <v>1894</v>
      </c>
      <c r="I12" s="1289"/>
      <c r="J12" s="1278"/>
    </row>
    <row r="13" spans="1:14" s="90" customFormat="1" x14ac:dyDescent="0.2">
      <c r="A13" s="1647" t="s">
        <v>1723</v>
      </c>
      <c r="B13" s="425"/>
      <c r="C13" s="425"/>
      <c r="D13" s="425"/>
      <c r="E13" s="521"/>
      <c r="F13" s="1648">
        <v>0</v>
      </c>
      <c r="G13" s="1315"/>
      <c r="H13" s="1774" t="s">
        <v>1894</v>
      </c>
      <c r="I13" s="1289"/>
      <c r="J13" s="1278"/>
    </row>
    <row r="14" spans="1:14" s="90" customFormat="1" x14ac:dyDescent="0.2">
      <c r="A14" s="1647"/>
      <c r="B14" s="425"/>
      <c r="C14" s="425"/>
      <c r="D14" s="425"/>
      <c r="E14" s="521"/>
      <c r="F14" s="1648"/>
      <c r="G14" s="1315"/>
      <c r="H14" s="1315"/>
      <c r="I14" s="1289"/>
      <c r="J14" s="1278"/>
    </row>
    <row r="15" spans="1:14" s="90" customFormat="1" x14ac:dyDescent="0.2">
      <c r="A15" s="1685" t="s">
        <v>1724</v>
      </c>
      <c r="B15" s="425"/>
      <c r="C15" s="425"/>
      <c r="D15" s="425"/>
      <c r="E15" s="521"/>
      <c r="F15" s="1648"/>
      <c r="G15" s="1315"/>
      <c r="H15" s="1315"/>
      <c r="I15" s="1289"/>
      <c r="J15" s="1278"/>
    </row>
    <row r="16" spans="1:14" s="90" customFormat="1" x14ac:dyDescent="0.2">
      <c r="A16" s="1647" t="s">
        <v>1727</v>
      </c>
      <c r="B16" s="425"/>
      <c r="C16" s="425"/>
      <c r="D16" s="425"/>
      <c r="E16" s="521"/>
      <c r="F16" s="1688">
        <v>1300000</v>
      </c>
      <c r="G16" s="1315" t="s">
        <v>1728</v>
      </c>
      <c r="H16" s="1315" t="s">
        <v>1735</v>
      </c>
      <c r="I16" s="1289">
        <v>2014</v>
      </c>
      <c r="J16" s="1278"/>
    </row>
    <row r="17" spans="1:10" s="90" customFormat="1" x14ac:dyDescent="0.2">
      <c r="A17" s="1647" t="s">
        <v>1722</v>
      </c>
      <c r="B17" s="425"/>
      <c r="C17" s="425"/>
      <c r="D17" s="425"/>
      <c r="E17" s="521"/>
      <c r="F17" s="1648">
        <v>1</v>
      </c>
      <c r="G17" s="1315"/>
      <c r="H17" s="1315" t="s">
        <v>1735</v>
      </c>
      <c r="I17" s="1289"/>
      <c r="J17" s="1278"/>
    </row>
    <row r="18" spans="1:10" s="90" customFormat="1" x14ac:dyDescent="0.2">
      <c r="A18" s="1647" t="s">
        <v>1723</v>
      </c>
      <c r="B18" s="425"/>
      <c r="C18" s="425"/>
      <c r="D18" s="425"/>
      <c r="E18" s="521"/>
      <c r="F18" s="1648">
        <v>0</v>
      </c>
      <c r="G18" s="1315"/>
      <c r="H18" s="1315" t="s">
        <v>1735</v>
      </c>
      <c r="I18" s="1289"/>
      <c r="J18" s="1278"/>
    </row>
    <row r="19" spans="1:10" s="90" customFormat="1" x14ac:dyDescent="0.2">
      <c r="A19" s="1647"/>
      <c r="B19" s="425"/>
      <c r="C19" s="425"/>
      <c r="D19" s="425"/>
      <c r="E19" s="521"/>
      <c r="F19" s="1648"/>
      <c r="G19" s="1315"/>
      <c r="H19" s="1315"/>
      <c r="I19" s="1289"/>
      <c r="J19" s="1278"/>
    </row>
    <row r="20" spans="1:10" s="90" customFormat="1" x14ac:dyDescent="0.2">
      <c r="A20" s="1685" t="s">
        <v>1725</v>
      </c>
      <c r="B20" s="425"/>
      <c r="C20" s="425"/>
      <c r="D20" s="425"/>
      <c r="E20" s="521"/>
      <c r="F20" s="1648"/>
      <c r="G20" s="1315"/>
      <c r="H20" s="1315"/>
      <c r="I20" s="1289"/>
      <c r="J20" s="1278"/>
    </row>
    <row r="21" spans="1:10" s="90" customFormat="1" x14ac:dyDescent="0.2">
      <c r="A21" s="1647" t="s">
        <v>1721</v>
      </c>
      <c r="B21" s="425"/>
      <c r="C21" s="425"/>
      <c r="D21" s="425"/>
      <c r="E21" s="521"/>
      <c r="F21" s="1688">
        <v>61258720</v>
      </c>
      <c r="G21" s="1315" t="s">
        <v>1730</v>
      </c>
      <c r="H21" s="1315" t="s">
        <v>1597</v>
      </c>
      <c r="I21" s="1289"/>
      <c r="J21" s="1278"/>
    </row>
    <row r="22" spans="1:10" s="90" customFormat="1" x14ac:dyDescent="0.2">
      <c r="A22" s="1647" t="s">
        <v>1722</v>
      </c>
      <c r="B22" s="425"/>
      <c r="C22" s="425"/>
      <c r="D22" s="425"/>
      <c r="E22" s="521"/>
      <c r="F22" s="1689">
        <v>0</v>
      </c>
      <c r="G22" s="1315"/>
      <c r="H22" s="1315" t="s">
        <v>1597</v>
      </c>
      <c r="I22" s="1289"/>
      <c r="J22" s="1278"/>
    </row>
    <row r="23" spans="1:10" s="90" customFormat="1" x14ac:dyDescent="0.2">
      <c r="A23" s="1647" t="s">
        <v>1723</v>
      </c>
      <c r="B23" s="425"/>
      <c r="C23" s="425"/>
      <c r="D23" s="425"/>
      <c r="E23" s="521"/>
      <c r="F23" s="1689">
        <v>1</v>
      </c>
      <c r="G23" s="1315"/>
      <c r="H23" s="1315" t="s">
        <v>1597</v>
      </c>
      <c r="I23" s="1289"/>
      <c r="J23" s="1278"/>
    </row>
    <row r="24" spans="1:10" s="90" customFormat="1" x14ac:dyDescent="0.2">
      <c r="A24" s="245"/>
      <c r="B24" s="425"/>
      <c r="C24" s="425"/>
      <c r="D24" s="425"/>
      <c r="E24" s="521"/>
      <c r="F24" s="1687"/>
      <c r="G24" s="1315"/>
      <c r="H24" s="1315"/>
      <c r="I24" s="1289"/>
      <c r="J24" s="1278"/>
    </row>
    <row r="25" spans="1:10" s="90" customFormat="1" x14ac:dyDescent="0.2">
      <c r="A25" s="245"/>
      <c r="B25" s="425"/>
      <c r="C25" s="425"/>
      <c r="D25" s="425"/>
      <c r="E25" s="521"/>
      <c r="F25" s="1687"/>
      <c r="G25" s="1315"/>
      <c r="H25" s="1315"/>
      <c r="I25" s="1289"/>
      <c r="J25" s="1278"/>
    </row>
    <row r="26" spans="1:10" s="90" customFormat="1" x14ac:dyDescent="0.2">
      <c r="A26" s="1130" t="s">
        <v>1170</v>
      </c>
      <c r="B26" s="1279"/>
      <c r="C26" s="1279"/>
      <c r="D26" s="1279"/>
      <c r="E26" s="1280"/>
      <c r="F26" s="1317"/>
      <c r="G26" s="1317"/>
      <c r="H26" s="1317"/>
      <c r="I26" s="1318"/>
      <c r="J26" s="1281"/>
    </row>
    <row r="27" spans="1:10" s="90" customFormat="1" x14ac:dyDescent="0.2">
      <c r="A27" s="1289"/>
      <c r="B27" s="1690"/>
      <c r="C27" s="425"/>
      <c r="D27" s="425"/>
      <c r="E27" s="521"/>
      <c r="F27" s="1315"/>
      <c r="G27" s="1315"/>
      <c r="H27" s="1315"/>
      <c r="I27" s="1289"/>
      <c r="J27" s="1277"/>
    </row>
    <row r="28" spans="1:10" s="90" customFormat="1" x14ac:dyDescent="0.2">
      <c r="A28" s="245" t="s">
        <v>1719</v>
      </c>
      <c r="B28" s="425"/>
      <c r="C28" s="425"/>
      <c r="D28" s="425"/>
      <c r="E28" s="521"/>
      <c r="F28" s="1315"/>
      <c r="G28" s="1315"/>
      <c r="H28" s="1315"/>
      <c r="I28" s="1289"/>
      <c r="J28" s="1278"/>
    </row>
    <row r="29" spans="1:10" s="90" customFormat="1" x14ac:dyDescent="0.2">
      <c r="A29" s="1289"/>
      <c r="B29" s="1351"/>
      <c r="C29" s="425"/>
      <c r="D29" s="425"/>
      <c r="E29" s="521"/>
      <c r="F29" s="1650"/>
      <c r="G29" s="1315"/>
      <c r="H29" s="1315"/>
      <c r="I29" s="1289"/>
      <c r="J29" s="1278"/>
    </row>
    <row r="30" spans="1:10" s="90" customFormat="1" x14ac:dyDescent="0.2">
      <c r="A30" s="1289" t="s">
        <v>1280</v>
      </c>
      <c r="B30" s="1504">
        <f>F6</f>
        <v>52628333.333333328</v>
      </c>
      <c r="C30" s="425" t="s">
        <v>1372</v>
      </c>
      <c r="D30" s="425"/>
      <c r="E30" s="521"/>
      <c r="F30" s="1650"/>
      <c r="G30" s="1315"/>
      <c r="H30" s="1315"/>
      <c r="I30" s="1289"/>
      <c r="J30" s="1278"/>
    </row>
    <row r="31" spans="1:10" s="90" customFormat="1" x14ac:dyDescent="0.2">
      <c r="A31" s="1289" t="s">
        <v>1282</v>
      </c>
      <c r="B31" s="1352">
        <f>F6*F7</f>
        <v>52628333.333333328</v>
      </c>
      <c r="C31" s="425" t="s">
        <v>1372</v>
      </c>
      <c r="D31" s="425"/>
      <c r="E31" s="521"/>
      <c r="F31" s="1650"/>
      <c r="G31" s="1315"/>
      <c r="H31" s="1315"/>
      <c r="I31" s="1289"/>
      <c r="J31" s="1278"/>
    </row>
    <row r="32" spans="1:10" s="90" customFormat="1" x14ac:dyDescent="0.2">
      <c r="A32" s="1289" t="s">
        <v>1281</v>
      </c>
      <c r="B32" s="1504">
        <f>F6*F8</f>
        <v>0</v>
      </c>
      <c r="C32" s="425" t="s">
        <v>1372</v>
      </c>
      <c r="D32" s="425"/>
      <c r="E32" s="521"/>
      <c r="F32" s="1650"/>
      <c r="G32" s="1315"/>
      <c r="H32" s="1315"/>
      <c r="I32" s="1289"/>
      <c r="J32" s="1278"/>
    </row>
    <row r="33" spans="1:10" s="90" customFormat="1" x14ac:dyDescent="0.2">
      <c r="A33" s="1289"/>
      <c r="B33" s="1351"/>
      <c r="C33" s="425"/>
      <c r="D33" s="425"/>
      <c r="E33" s="521"/>
      <c r="F33" s="1650"/>
      <c r="G33" s="1315"/>
      <c r="H33" s="1315"/>
      <c r="I33" s="1289"/>
      <c r="J33" s="246"/>
    </row>
    <row r="34" spans="1:10" s="90" customFormat="1" x14ac:dyDescent="0.2">
      <c r="A34" s="1289" t="s">
        <v>1283</v>
      </c>
      <c r="B34" s="1351"/>
      <c r="C34" s="425"/>
      <c r="D34" s="425"/>
      <c r="E34" s="521"/>
      <c r="F34" s="1651">
        <v>540</v>
      </c>
      <c r="G34" s="1315" t="s">
        <v>1284</v>
      </c>
      <c r="H34" s="1315"/>
      <c r="I34" s="416" t="s">
        <v>1692</v>
      </c>
    </row>
    <row r="35" spans="1:10" s="90" customFormat="1" x14ac:dyDescent="0.2">
      <c r="A35" s="1289" t="s">
        <v>1285</v>
      </c>
      <c r="B35" s="1352">
        <f>B32*F34*10^-6</f>
        <v>0</v>
      </c>
      <c r="C35" s="425" t="s">
        <v>1729</v>
      </c>
      <c r="D35" s="425"/>
      <c r="E35" s="521"/>
      <c r="F35" s="1650"/>
      <c r="G35" s="1315"/>
      <c r="H35" s="1315"/>
      <c r="I35" s="1289"/>
      <c r="J35" s="1278"/>
    </row>
    <row r="36" spans="1:10" s="90" customFormat="1" ht="13.5" x14ac:dyDescent="0.2">
      <c r="A36" s="1289" t="s">
        <v>1286</v>
      </c>
      <c r="B36" s="1352">
        <f>B35*0.001*Electricity!B6</f>
        <v>0</v>
      </c>
      <c r="C36" s="416" t="s">
        <v>1696</v>
      </c>
      <c r="D36" s="416"/>
      <c r="E36" s="521"/>
      <c r="F36" s="1650"/>
      <c r="G36" s="1315"/>
      <c r="H36" s="1315"/>
      <c r="I36" s="1289"/>
      <c r="J36" s="1278"/>
    </row>
    <row r="37" spans="1:10" s="90" customFormat="1" x14ac:dyDescent="0.2">
      <c r="A37" s="245"/>
      <c r="B37" s="1351"/>
      <c r="C37" s="425"/>
      <c r="D37" s="425"/>
      <c r="E37" s="521"/>
      <c r="F37" s="1650"/>
      <c r="G37" s="1315"/>
      <c r="H37" s="1315"/>
      <c r="I37" s="1289"/>
      <c r="J37" s="1278"/>
    </row>
    <row r="38" spans="1:10" s="90" customFormat="1" x14ac:dyDescent="0.2">
      <c r="A38" s="245" t="s">
        <v>1720</v>
      </c>
      <c r="B38" s="1351"/>
      <c r="C38" s="425"/>
      <c r="D38" s="425"/>
      <c r="E38" s="521"/>
      <c r="F38" s="1650"/>
      <c r="G38" s="1315"/>
      <c r="H38" s="1315"/>
      <c r="I38" s="1289"/>
      <c r="J38" s="1278"/>
    </row>
    <row r="39" spans="1:10" s="90" customFormat="1" x14ac:dyDescent="0.2">
      <c r="A39" s="245"/>
      <c r="B39" s="1351"/>
      <c r="C39" s="425"/>
      <c r="D39" s="425"/>
      <c r="E39" s="521"/>
      <c r="F39" s="1650"/>
      <c r="G39" s="1315"/>
      <c r="H39" s="1315"/>
      <c r="I39" s="1289"/>
      <c r="J39" s="1278"/>
    </row>
    <row r="40" spans="1:10" s="90" customFormat="1" x14ac:dyDescent="0.2">
      <c r="A40" s="1289" t="s">
        <v>1280</v>
      </c>
      <c r="B40" s="1504">
        <f>F11/365.25</f>
        <v>438349.07597535936</v>
      </c>
      <c r="C40" s="425" t="s">
        <v>1372</v>
      </c>
      <c r="D40" s="425"/>
      <c r="E40" s="521"/>
      <c r="F40" s="1650"/>
      <c r="G40" s="1315"/>
      <c r="H40" s="1315"/>
      <c r="I40" s="1289"/>
      <c r="J40" s="1278"/>
    </row>
    <row r="41" spans="1:10" s="90" customFormat="1" x14ac:dyDescent="0.2">
      <c r="A41" s="1289" t="s">
        <v>1282</v>
      </c>
      <c r="B41" s="1352">
        <f>F11/365.25*F12</f>
        <v>438349.07597535936</v>
      </c>
      <c r="C41" s="425" t="s">
        <v>1372</v>
      </c>
      <c r="D41" s="425"/>
      <c r="E41" s="521"/>
      <c r="F41" s="1650"/>
      <c r="G41" s="1315"/>
      <c r="H41" s="1315"/>
      <c r="I41" s="1289"/>
      <c r="J41" s="1278"/>
    </row>
    <row r="42" spans="1:10" s="90" customFormat="1" x14ac:dyDescent="0.2">
      <c r="A42" s="1289" t="s">
        <v>1281</v>
      </c>
      <c r="B42" s="1504">
        <f>F11/365.25*F13</f>
        <v>0</v>
      </c>
      <c r="C42" s="425" t="s">
        <v>1372</v>
      </c>
      <c r="D42" s="425"/>
      <c r="E42" s="521"/>
      <c r="F42" s="1650"/>
      <c r="G42" s="1315"/>
      <c r="H42" s="1315"/>
      <c r="I42" s="1289"/>
      <c r="J42" s="1278"/>
    </row>
    <row r="43" spans="1:10" s="90" customFormat="1" x14ac:dyDescent="0.2">
      <c r="A43" s="1289"/>
      <c r="B43" s="1351"/>
      <c r="C43" s="425"/>
      <c r="D43" s="425"/>
      <c r="E43" s="521"/>
      <c r="F43" s="1650"/>
      <c r="G43" s="1315"/>
      <c r="H43" s="1315"/>
      <c r="I43" s="1289"/>
      <c r="J43" s="1278"/>
    </row>
    <row r="44" spans="1:10" s="90" customFormat="1" x14ac:dyDescent="0.2">
      <c r="A44" s="1289" t="s">
        <v>1283</v>
      </c>
      <c r="B44" s="1351"/>
      <c r="C44" s="425"/>
      <c r="D44" s="425"/>
      <c r="E44" s="521"/>
      <c r="F44" s="1651">
        <v>540</v>
      </c>
      <c r="G44" s="1315" t="s">
        <v>1284</v>
      </c>
      <c r="H44" s="1315"/>
      <c r="I44" s="1289"/>
      <c r="J44" s="1278"/>
    </row>
    <row r="45" spans="1:10" s="90" customFormat="1" x14ac:dyDescent="0.2">
      <c r="A45" s="1289" t="s">
        <v>1285</v>
      </c>
      <c r="B45" s="1352">
        <f>B42*F44*10^-6</f>
        <v>0</v>
      </c>
      <c r="C45" s="425" t="s">
        <v>1729</v>
      </c>
      <c r="D45" s="425"/>
      <c r="E45" s="521"/>
      <c r="F45" s="1650"/>
      <c r="G45" s="1315"/>
      <c r="H45" s="1315"/>
      <c r="I45" s="1289"/>
      <c r="J45" s="1278"/>
    </row>
    <row r="46" spans="1:10" s="90" customFormat="1" ht="13.5" x14ac:dyDescent="0.2">
      <c r="A46" s="1289" t="s">
        <v>1286</v>
      </c>
      <c r="B46" s="1352">
        <f>B45*0.001*Electricity!B6</f>
        <v>0</v>
      </c>
      <c r="C46" s="416" t="s">
        <v>1696</v>
      </c>
      <c r="D46" s="416"/>
      <c r="E46" s="521"/>
      <c r="F46" s="1650"/>
      <c r="G46" s="1315"/>
      <c r="H46" s="1315"/>
      <c r="I46" s="1289"/>
      <c r="J46" s="1278"/>
    </row>
    <row r="47" spans="1:10" s="90" customFormat="1" x14ac:dyDescent="0.2">
      <c r="A47" s="1289"/>
      <c r="B47" s="1351"/>
      <c r="C47" s="416"/>
      <c r="D47" s="416"/>
      <c r="E47" s="521"/>
      <c r="F47" s="1650"/>
      <c r="G47" s="1315"/>
      <c r="H47" s="1315"/>
      <c r="I47" s="1289"/>
      <c r="J47" s="1278"/>
    </row>
    <row r="48" spans="1:10" s="90" customFormat="1" x14ac:dyDescent="0.2">
      <c r="A48" s="245" t="s">
        <v>1724</v>
      </c>
      <c r="B48" s="1351"/>
      <c r="C48" s="425"/>
      <c r="D48" s="425"/>
      <c r="E48" s="521"/>
      <c r="F48" s="1650"/>
      <c r="G48" s="1315"/>
      <c r="H48" s="1315"/>
      <c r="I48" s="1289"/>
      <c r="J48" s="1278"/>
    </row>
    <row r="49" spans="1:10" s="90" customFormat="1" x14ac:dyDescent="0.2">
      <c r="A49" s="245"/>
      <c r="B49" s="1351"/>
      <c r="C49" s="425"/>
      <c r="D49" s="425"/>
      <c r="E49" s="521"/>
      <c r="F49" s="1650"/>
      <c r="G49" s="1315"/>
      <c r="H49" s="1315"/>
      <c r="I49" s="1289"/>
      <c r="J49" s="1278"/>
    </row>
    <row r="50" spans="1:10" s="90" customFormat="1" x14ac:dyDescent="0.2">
      <c r="A50" s="1289" t="s">
        <v>1280</v>
      </c>
      <c r="B50" s="1504">
        <f>F16</f>
        <v>1300000</v>
      </c>
      <c r="C50" s="425" t="s">
        <v>1372</v>
      </c>
      <c r="D50" s="425"/>
      <c r="E50" s="521"/>
      <c r="F50" s="1650"/>
      <c r="G50" s="1315"/>
      <c r="H50" s="1315"/>
      <c r="I50" s="1289"/>
      <c r="J50" s="1278"/>
    </row>
    <row r="51" spans="1:10" s="90" customFormat="1" x14ac:dyDescent="0.2">
      <c r="A51" s="1289" t="s">
        <v>1282</v>
      </c>
      <c r="B51" s="1504">
        <f>F16*F17</f>
        <v>1300000</v>
      </c>
      <c r="C51" s="425" t="s">
        <v>1372</v>
      </c>
      <c r="D51" s="425"/>
      <c r="E51" s="521"/>
      <c r="F51" s="1650"/>
      <c r="G51" s="1315"/>
      <c r="H51" s="1315"/>
      <c r="I51" s="1289"/>
      <c r="J51" s="1278"/>
    </row>
    <row r="52" spans="1:10" s="90" customFormat="1" x14ac:dyDescent="0.2">
      <c r="A52" s="1289" t="s">
        <v>1281</v>
      </c>
      <c r="B52" s="1504">
        <f>F16*F18</f>
        <v>0</v>
      </c>
      <c r="C52" s="425" t="s">
        <v>1372</v>
      </c>
      <c r="D52" s="425"/>
      <c r="E52" s="521"/>
      <c r="F52" s="1650"/>
      <c r="G52" s="1315"/>
      <c r="H52" s="1315"/>
      <c r="I52" s="1289"/>
      <c r="J52" s="1278"/>
    </row>
    <row r="53" spans="1:10" s="90" customFormat="1" x14ac:dyDescent="0.2">
      <c r="A53" s="1289"/>
      <c r="B53" s="1351"/>
      <c r="C53" s="425"/>
      <c r="D53" s="425"/>
      <c r="E53" s="521"/>
      <c r="F53" s="1650"/>
      <c r="G53" s="1315"/>
      <c r="H53" s="1315"/>
      <c r="I53" s="1289"/>
      <c r="J53" s="1278"/>
    </row>
    <row r="54" spans="1:10" s="90" customFormat="1" x14ac:dyDescent="0.2">
      <c r="A54" s="1289" t="s">
        <v>1283</v>
      </c>
      <c r="B54" s="1351"/>
      <c r="C54" s="425"/>
      <c r="D54" s="425"/>
      <c r="E54" s="521"/>
      <c r="F54" s="1651">
        <v>540</v>
      </c>
      <c r="G54" s="1315" t="s">
        <v>1284</v>
      </c>
      <c r="H54" s="1315"/>
      <c r="I54" s="1289"/>
      <c r="J54" s="1278"/>
    </row>
    <row r="55" spans="1:10" s="90" customFormat="1" x14ac:dyDescent="0.2">
      <c r="A55" s="1289" t="s">
        <v>1285</v>
      </c>
      <c r="B55" s="1352">
        <f>B52*F54*10^-6</f>
        <v>0</v>
      </c>
      <c r="C55" s="425" t="s">
        <v>1729</v>
      </c>
      <c r="D55" s="425"/>
      <c r="E55" s="521"/>
      <c r="F55" s="1650"/>
      <c r="G55" s="1315"/>
      <c r="H55" s="1315"/>
      <c r="I55" s="1289"/>
      <c r="J55" s="1278"/>
    </row>
    <row r="56" spans="1:10" s="90" customFormat="1" ht="13.5" x14ac:dyDescent="0.2">
      <c r="A56" s="1289" t="s">
        <v>1286</v>
      </c>
      <c r="B56" s="1352">
        <f>B55*0.001*Electricity!B6</f>
        <v>0</v>
      </c>
      <c r="C56" s="416" t="s">
        <v>1696</v>
      </c>
      <c r="D56" s="416"/>
      <c r="E56" s="521"/>
      <c r="F56" s="1650"/>
      <c r="G56" s="1315"/>
      <c r="H56" s="1315"/>
      <c r="I56" s="1289"/>
      <c r="J56" s="1278"/>
    </row>
    <row r="57" spans="1:10" s="90" customFormat="1" x14ac:dyDescent="0.2">
      <c r="A57" s="1289"/>
      <c r="B57" s="1351"/>
      <c r="C57" s="416"/>
      <c r="D57" s="416"/>
      <c r="E57" s="521"/>
      <c r="F57" s="1650"/>
      <c r="G57" s="1315"/>
      <c r="H57" s="1315"/>
      <c r="I57" s="1289"/>
      <c r="J57" s="1278"/>
    </row>
    <row r="58" spans="1:10" s="90" customFormat="1" x14ac:dyDescent="0.2">
      <c r="A58" s="245" t="s">
        <v>1725</v>
      </c>
      <c r="B58" s="1351"/>
      <c r="C58" s="425"/>
      <c r="D58" s="425"/>
      <c r="E58" s="521"/>
      <c r="F58" s="1650"/>
      <c r="G58" s="1315"/>
      <c r="H58" s="1315"/>
      <c r="I58" s="1289"/>
      <c r="J58" s="1278"/>
    </row>
    <row r="59" spans="1:10" s="90" customFormat="1" x14ac:dyDescent="0.2">
      <c r="A59" s="245"/>
      <c r="B59" s="1351"/>
      <c r="C59" s="425"/>
      <c r="D59" s="425"/>
      <c r="E59" s="521"/>
      <c r="F59" s="1650"/>
      <c r="G59" s="1315"/>
      <c r="H59" s="1315"/>
      <c r="I59" s="1289"/>
      <c r="J59" s="1278"/>
    </row>
    <row r="60" spans="1:10" s="90" customFormat="1" x14ac:dyDescent="0.2">
      <c r="A60" s="1289" t="s">
        <v>1280</v>
      </c>
      <c r="B60" s="1504">
        <f>F21/365.25</f>
        <v>167717.23477070499</v>
      </c>
      <c r="C60" s="425" t="s">
        <v>1372</v>
      </c>
      <c r="D60" s="425"/>
      <c r="E60" s="521"/>
      <c r="F60" s="1650"/>
      <c r="G60" s="1315"/>
      <c r="H60" s="1315"/>
      <c r="I60" s="1289"/>
      <c r="J60" s="1278"/>
    </row>
    <row r="61" spans="1:10" s="90" customFormat="1" x14ac:dyDescent="0.2">
      <c r="A61" s="1289" t="s">
        <v>1282</v>
      </c>
      <c r="B61" s="1352">
        <f>F21/365.25*F22</f>
        <v>0</v>
      </c>
      <c r="C61" s="425" t="s">
        <v>1372</v>
      </c>
      <c r="D61" s="425"/>
      <c r="E61" s="521"/>
      <c r="F61" s="1650"/>
      <c r="G61" s="1315"/>
      <c r="H61" s="1315"/>
      <c r="I61" s="1289"/>
      <c r="J61" s="1278"/>
    </row>
    <row r="62" spans="1:10" s="90" customFormat="1" x14ac:dyDescent="0.2">
      <c r="A62" s="1289" t="s">
        <v>1281</v>
      </c>
      <c r="B62" s="1504">
        <f>F21/365.25*F23</f>
        <v>167717.23477070499</v>
      </c>
      <c r="C62" s="425" t="s">
        <v>1372</v>
      </c>
      <c r="D62" s="425"/>
      <c r="E62" s="521"/>
      <c r="F62" s="1650"/>
      <c r="G62" s="1315"/>
      <c r="H62" s="1315"/>
      <c r="I62" s="1289"/>
      <c r="J62" s="1278"/>
    </row>
    <row r="63" spans="1:10" s="90" customFormat="1" x14ac:dyDescent="0.2">
      <c r="A63" s="1289"/>
      <c r="B63" s="1351"/>
      <c r="C63" s="425"/>
      <c r="D63" s="425"/>
      <c r="E63" s="521"/>
      <c r="F63" s="1650"/>
      <c r="G63" s="1315"/>
      <c r="H63" s="1315"/>
      <c r="I63" s="1289"/>
      <c r="J63" s="1278"/>
    </row>
    <row r="64" spans="1:10" s="90" customFormat="1" x14ac:dyDescent="0.2">
      <c r="A64" s="1289" t="s">
        <v>1283</v>
      </c>
      <c r="B64" s="1351"/>
      <c r="C64" s="425"/>
      <c r="D64" s="425"/>
      <c r="E64" s="521"/>
      <c r="F64" s="1651">
        <v>540</v>
      </c>
      <c r="G64" s="1315" t="s">
        <v>1284</v>
      </c>
      <c r="H64" s="1315"/>
      <c r="I64" s="1289"/>
      <c r="J64" s="1278"/>
    </row>
    <row r="65" spans="1:10" s="90" customFormat="1" x14ac:dyDescent="0.2">
      <c r="A65" s="1289" t="s">
        <v>1285</v>
      </c>
      <c r="B65" s="1352">
        <f>B62*F64*10^-6</f>
        <v>90.5673067761807</v>
      </c>
      <c r="C65" s="425" t="s">
        <v>1729</v>
      </c>
      <c r="D65" s="425"/>
      <c r="E65" s="521"/>
      <c r="F65" s="1650"/>
      <c r="G65" s="1315"/>
      <c r="H65" s="1315"/>
      <c r="I65" s="1289"/>
      <c r="J65" s="1278"/>
    </row>
    <row r="66" spans="1:10" s="90" customFormat="1" ht="13.5" x14ac:dyDescent="0.2">
      <c r="A66" s="1289" t="s">
        <v>1286</v>
      </c>
      <c r="B66" s="1352">
        <f>B65*0.001*Electricity!B6</f>
        <v>2.466705091268936E-3</v>
      </c>
      <c r="C66" s="416" t="s">
        <v>1696</v>
      </c>
      <c r="D66" s="416"/>
      <c r="E66" s="521"/>
      <c r="F66" s="1650"/>
      <c r="G66" s="1315"/>
      <c r="H66" s="1315"/>
      <c r="I66" s="1289"/>
      <c r="J66" s="1278"/>
    </row>
    <row r="67" spans="1:10" s="90" customFormat="1" x14ac:dyDescent="0.2">
      <c r="A67" s="1289"/>
      <c r="B67" s="1351"/>
      <c r="C67" s="416"/>
      <c r="D67" s="416"/>
      <c r="E67" s="521"/>
      <c r="F67" s="1650"/>
      <c r="G67" s="1315"/>
      <c r="H67" s="1315"/>
      <c r="I67" s="1289"/>
      <c r="J67" s="1278"/>
    </row>
    <row r="68" spans="1:10" ht="13.5" x14ac:dyDescent="0.25">
      <c r="A68" s="546" t="s">
        <v>1574</v>
      </c>
      <c r="B68" s="1353">
        <f>(B36+B46+B56+B66)*365.25</f>
        <v>0.90096403458597885</v>
      </c>
      <c r="C68" s="203" t="s">
        <v>128</v>
      </c>
      <c r="D68" s="203"/>
      <c r="E68" s="521"/>
      <c r="F68" s="1652"/>
      <c r="G68" s="331"/>
      <c r="H68" s="216"/>
      <c r="I68" s="327"/>
      <c r="J68" s="1050"/>
    </row>
    <row r="69" spans="1:10" x14ac:dyDescent="0.2">
      <c r="A69" s="1130" t="s">
        <v>1171</v>
      </c>
      <c r="B69" s="1279"/>
      <c r="C69" s="1279"/>
      <c r="D69" s="1279"/>
      <c r="E69" s="1280"/>
      <c r="F69" s="1653"/>
      <c r="G69" s="1317"/>
      <c r="H69" s="1317"/>
      <c r="I69" s="1318"/>
      <c r="J69" s="1281"/>
    </row>
    <row r="70" spans="1:10" x14ac:dyDescent="0.2">
      <c r="A70" s="245"/>
      <c r="B70" s="425"/>
      <c r="C70" s="425"/>
      <c r="D70" s="425"/>
      <c r="E70" s="521"/>
      <c r="F70" s="1650"/>
      <c r="G70" s="1315"/>
      <c r="H70" s="1315"/>
      <c r="I70" s="1289"/>
      <c r="J70" s="1278"/>
    </row>
    <row r="71" spans="1:10" x14ac:dyDescent="0.2">
      <c r="A71" s="245" t="s">
        <v>1516</v>
      </c>
      <c r="B71" s="425"/>
      <c r="C71" s="425"/>
      <c r="D71" s="425"/>
      <c r="E71" s="521"/>
      <c r="F71" s="1650"/>
      <c r="G71" s="1315"/>
      <c r="H71" s="1315"/>
      <c r="I71" s="1289"/>
      <c r="J71" s="1349"/>
    </row>
    <row r="72" spans="1:10" x14ac:dyDescent="0.2">
      <c r="A72" s="1289" t="s">
        <v>1287</v>
      </c>
      <c r="B72" s="425"/>
      <c r="C72" s="425"/>
      <c r="D72" s="425"/>
      <c r="E72" s="521"/>
      <c r="F72" s="1651">
        <v>110</v>
      </c>
      <c r="G72" s="1315" t="s">
        <v>1284</v>
      </c>
      <c r="H72" s="1315"/>
      <c r="I72" s="1289" t="s">
        <v>1693</v>
      </c>
    </row>
    <row r="73" spans="1:10" x14ac:dyDescent="0.2">
      <c r="A73" s="1289" t="s">
        <v>1288</v>
      </c>
      <c r="B73" s="1654">
        <f>B30*F72*10^-6</f>
        <v>5789.1166666666659</v>
      </c>
      <c r="C73" s="425" t="s">
        <v>1729</v>
      </c>
      <c r="D73" s="425"/>
      <c r="E73" s="521"/>
      <c r="F73" s="1650"/>
      <c r="G73" s="1315"/>
      <c r="H73" s="1315"/>
      <c r="I73" s="1289"/>
      <c r="J73" s="1349" t="s">
        <v>1289</v>
      </c>
    </row>
    <row r="74" spans="1:10" ht="13.5" x14ac:dyDescent="0.2">
      <c r="A74" s="1289" t="s">
        <v>1286</v>
      </c>
      <c r="B74" s="1352">
        <f>B73*0.001*Electricity!B6</f>
        <v>0.1576732715582107</v>
      </c>
      <c r="C74" s="416" t="s">
        <v>1696</v>
      </c>
      <c r="D74" s="425"/>
      <c r="E74" s="521"/>
      <c r="F74" s="1650"/>
      <c r="G74" s="1315"/>
      <c r="H74" s="1315"/>
      <c r="I74" s="1289"/>
      <c r="J74" s="1349" t="s">
        <v>1290</v>
      </c>
    </row>
    <row r="75" spans="1:10" x14ac:dyDescent="0.2">
      <c r="A75" s="1289"/>
      <c r="B75" s="425"/>
      <c r="C75" s="425"/>
      <c r="D75" s="425"/>
      <c r="E75" s="521"/>
      <c r="F75" s="1650"/>
      <c r="G75" s="1315"/>
      <c r="H75" s="1315"/>
      <c r="I75" s="1289"/>
    </row>
    <row r="76" spans="1:10" x14ac:dyDescent="0.2">
      <c r="A76" s="245" t="s">
        <v>1720</v>
      </c>
      <c r="B76" s="425"/>
      <c r="C76" s="425"/>
      <c r="D76" s="425"/>
      <c r="E76" s="521"/>
      <c r="F76" s="1650"/>
      <c r="G76" s="1315"/>
      <c r="H76" s="1315"/>
      <c r="I76" s="1289"/>
      <c r="J76" s="1050"/>
    </row>
    <row r="77" spans="1:10" x14ac:dyDescent="0.2">
      <c r="A77" s="1289" t="s">
        <v>1287</v>
      </c>
      <c r="B77" s="425"/>
      <c r="C77" s="425"/>
      <c r="D77" s="425"/>
      <c r="E77" s="521"/>
      <c r="F77" s="1651">
        <v>110</v>
      </c>
      <c r="G77" s="1315" t="s">
        <v>1284</v>
      </c>
      <c r="H77" s="1315"/>
      <c r="I77" s="1289" t="s">
        <v>1693</v>
      </c>
      <c r="J77" s="1050"/>
    </row>
    <row r="78" spans="1:10" x14ac:dyDescent="0.2">
      <c r="A78" s="1289" t="s">
        <v>1288</v>
      </c>
      <c r="B78" s="1654">
        <f>B40*F77*10^-6</f>
        <v>48.21839835728953</v>
      </c>
      <c r="C78" s="425" t="s">
        <v>1729</v>
      </c>
      <c r="D78" s="425"/>
      <c r="E78" s="521"/>
      <c r="F78" s="1650"/>
      <c r="G78" s="1315"/>
      <c r="H78" s="1315"/>
      <c r="I78" s="1289"/>
      <c r="J78" s="1050"/>
    </row>
    <row r="79" spans="1:10" ht="13.5" x14ac:dyDescent="0.2">
      <c r="A79" s="1289" t="s">
        <v>1286</v>
      </c>
      <c r="B79" s="1352">
        <f>B78*0.001*Electricity!B6</f>
        <v>1.3132837108063512E-3</v>
      </c>
      <c r="C79" s="416" t="s">
        <v>1696</v>
      </c>
      <c r="D79" s="425"/>
      <c r="E79" s="521"/>
      <c r="F79" s="1650"/>
      <c r="G79" s="1315"/>
      <c r="H79" s="1315"/>
      <c r="I79" s="1289"/>
      <c r="J79" s="1050"/>
    </row>
    <row r="80" spans="1:10" x14ac:dyDescent="0.2">
      <c r="A80" s="1283"/>
      <c r="B80" s="851"/>
      <c r="C80" s="203"/>
      <c r="D80" s="203"/>
      <c r="E80" s="521"/>
      <c r="F80" s="1652"/>
      <c r="G80" s="331"/>
      <c r="H80" s="216"/>
      <c r="I80" s="327"/>
      <c r="J80" s="1050"/>
    </row>
    <row r="81" spans="1:10" x14ac:dyDescent="0.2">
      <c r="A81" s="245" t="s">
        <v>1724</v>
      </c>
      <c r="B81" s="425"/>
      <c r="C81" s="425"/>
      <c r="D81" s="425"/>
      <c r="E81" s="521"/>
      <c r="F81" s="1650"/>
      <c r="G81" s="1315"/>
      <c r="H81" s="1315"/>
      <c r="I81" s="1289"/>
      <c r="J81" s="1050"/>
    </row>
    <row r="82" spans="1:10" x14ac:dyDescent="0.2">
      <c r="A82" s="1289" t="s">
        <v>1287</v>
      </c>
      <c r="B82" s="425"/>
      <c r="C82" s="425"/>
      <c r="D82" s="425"/>
      <c r="E82" s="521"/>
      <c r="F82" s="1651">
        <v>110</v>
      </c>
      <c r="G82" s="1315" t="s">
        <v>1284</v>
      </c>
      <c r="H82" s="1315"/>
      <c r="I82" s="1289" t="s">
        <v>1693</v>
      </c>
      <c r="J82" s="1050"/>
    </row>
    <row r="83" spans="1:10" x14ac:dyDescent="0.2">
      <c r="A83" s="1289" t="s">
        <v>1288</v>
      </c>
      <c r="B83" s="1504">
        <f>B50*F82*10^-6</f>
        <v>143</v>
      </c>
      <c r="C83" s="425" t="s">
        <v>1729</v>
      </c>
      <c r="D83" s="425"/>
      <c r="E83" s="521"/>
      <c r="F83" s="1650"/>
      <c r="G83" s="1315"/>
      <c r="H83" s="1315"/>
      <c r="I83" s="1289"/>
      <c r="J83" s="1050"/>
    </row>
    <row r="84" spans="1:10" ht="13.5" x14ac:dyDescent="0.2">
      <c r="A84" s="1289" t="s">
        <v>1286</v>
      </c>
      <c r="B84" s="1352">
        <f>B83*0.001*Electricity!B6</f>
        <v>3.8947699849702119E-3</v>
      </c>
      <c r="C84" s="416" t="s">
        <v>1696</v>
      </c>
      <c r="D84" s="425"/>
      <c r="E84" s="521"/>
      <c r="F84" s="1650"/>
      <c r="G84" s="1315"/>
      <c r="H84" s="1315"/>
      <c r="I84" s="1289"/>
      <c r="J84" s="1050"/>
    </row>
    <row r="85" spans="1:10" x14ac:dyDescent="0.2">
      <c r="A85" s="1283"/>
      <c r="B85" s="851"/>
      <c r="C85" s="203"/>
      <c r="D85" s="203"/>
      <c r="E85" s="521"/>
      <c r="F85" s="1652"/>
      <c r="G85" s="331"/>
      <c r="H85" s="216"/>
      <c r="I85" s="327"/>
      <c r="J85" s="1050"/>
    </row>
    <row r="86" spans="1:10" x14ac:dyDescent="0.2">
      <c r="A86" s="245" t="s">
        <v>1725</v>
      </c>
      <c r="B86" s="425"/>
      <c r="C86" s="425"/>
      <c r="D86" s="425"/>
      <c r="E86" s="521"/>
      <c r="F86" s="1650"/>
      <c r="G86" s="1315"/>
      <c r="H86" s="1315"/>
      <c r="I86" s="1289"/>
      <c r="J86" s="1050"/>
    </row>
    <row r="87" spans="1:10" x14ac:dyDescent="0.2">
      <c r="A87" s="1289" t="s">
        <v>1287</v>
      </c>
      <c r="B87" s="425"/>
      <c r="C87" s="425"/>
      <c r="D87" s="425"/>
      <c r="E87" s="521"/>
      <c r="F87" s="1651">
        <v>110</v>
      </c>
      <c r="G87" s="1315" t="s">
        <v>1284</v>
      </c>
      <c r="H87" s="1315"/>
      <c r="I87" s="1289" t="s">
        <v>1693</v>
      </c>
      <c r="J87" s="1050"/>
    </row>
    <row r="88" spans="1:10" x14ac:dyDescent="0.2">
      <c r="A88" s="1289" t="s">
        <v>1288</v>
      </c>
      <c r="B88" s="1654">
        <f>B60*F87*10^-6</f>
        <v>18.448895824777551</v>
      </c>
      <c r="C88" s="425" t="s">
        <v>1729</v>
      </c>
      <c r="D88" s="425"/>
      <c r="E88" s="521"/>
      <c r="F88" s="1650"/>
      <c r="G88" s="1315"/>
      <c r="H88" s="1315"/>
      <c r="I88" s="1289"/>
      <c r="J88" s="1050"/>
    </row>
    <row r="89" spans="1:10" ht="13.5" x14ac:dyDescent="0.2">
      <c r="A89" s="1289" t="s">
        <v>1286</v>
      </c>
      <c r="B89" s="1352">
        <f>B88*0.001*Electricity!B6</f>
        <v>5.0247696303626474E-4</v>
      </c>
      <c r="C89" s="416" t="s">
        <v>1696</v>
      </c>
      <c r="D89" s="425"/>
      <c r="E89" s="521"/>
      <c r="F89" s="1650"/>
      <c r="G89" s="1315"/>
      <c r="H89" s="1315"/>
      <c r="I89" s="1289"/>
      <c r="J89" s="1050"/>
    </row>
    <row r="90" spans="1:10" x14ac:dyDescent="0.2">
      <c r="A90" s="1283"/>
      <c r="B90" s="851"/>
      <c r="C90" s="203"/>
      <c r="D90" s="203"/>
      <c r="E90" s="521"/>
      <c r="F90" s="1652"/>
      <c r="G90" s="331"/>
      <c r="H90" s="216"/>
      <c r="I90" s="327"/>
      <c r="J90" s="1050"/>
    </row>
    <row r="91" spans="1:10" ht="13.5" x14ac:dyDescent="0.2">
      <c r="A91" s="191" t="s">
        <v>1726</v>
      </c>
      <c r="B91" s="1656">
        <f>(B74+B79+B84+B89)*365.25</f>
        <v>59.675933759767844</v>
      </c>
      <c r="C91" s="189" t="s">
        <v>128</v>
      </c>
      <c r="D91" s="203"/>
      <c r="E91" s="521"/>
      <c r="F91" s="1652"/>
      <c r="G91" s="331"/>
      <c r="H91" s="216"/>
      <c r="I91" s="327"/>
      <c r="J91" s="1050"/>
    </row>
    <row r="92" spans="1:10" x14ac:dyDescent="0.2">
      <c r="A92" s="1283"/>
      <c r="B92" s="851"/>
      <c r="C92" s="203"/>
      <c r="D92" s="203"/>
      <c r="E92" s="521"/>
      <c r="F92" s="1652"/>
      <c r="G92" s="331"/>
      <c r="H92" s="216"/>
      <c r="I92" s="327"/>
      <c r="J92" s="1050"/>
    </row>
    <row r="93" spans="1:10" x14ac:dyDescent="0.2">
      <c r="A93" s="1130" t="s">
        <v>1172</v>
      </c>
      <c r="B93" s="1279"/>
      <c r="C93" s="1279"/>
      <c r="D93" s="1279"/>
      <c r="E93" s="1280"/>
      <c r="F93" s="1653"/>
      <c r="G93" s="1317"/>
      <c r="H93" s="1317"/>
      <c r="I93" s="1318"/>
      <c r="J93" s="1350"/>
    </row>
    <row r="94" spans="1:10" s="90" customFormat="1" x14ac:dyDescent="0.2">
      <c r="A94" s="245"/>
      <c r="B94" s="425"/>
      <c r="C94" s="425"/>
      <c r="D94" s="425"/>
      <c r="E94" s="521"/>
      <c r="F94" s="1650"/>
      <c r="G94" s="1315"/>
      <c r="H94" s="1315"/>
      <c r="I94" s="1289"/>
      <c r="J94" s="1349"/>
    </row>
    <row r="95" spans="1:10" s="90" customFormat="1" x14ac:dyDescent="0.2">
      <c r="A95" s="245" t="s">
        <v>1516</v>
      </c>
      <c r="B95" s="425"/>
      <c r="C95" s="425"/>
      <c r="D95" s="425"/>
      <c r="E95" s="521"/>
      <c r="F95" s="1650"/>
      <c r="G95" s="1315"/>
      <c r="H95" s="1315"/>
      <c r="I95" s="1289"/>
      <c r="J95" s="1349"/>
    </row>
    <row r="96" spans="1:10" s="90" customFormat="1" x14ac:dyDescent="0.2">
      <c r="A96" s="1289" t="s">
        <v>1291</v>
      </c>
      <c r="B96" s="425"/>
      <c r="C96" s="425"/>
      <c r="D96" s="425"/>
      <c r="E96" s="521"/>
      <c r="F96" s="1651">
        <v>210</v>
      </c>
      <c r="G96" s="1315" t="s">
        <v>1284</v>
      </c>
      <c r="H96" s="1315"/>
      <c r="I96" s="1289" t="s">
        <v>1694</v>
      </c>
      <c r="J96" s="1349"/>
    </row>
    <row r="97" spans="1:10" s="90" customFormat="1" x14ac:dyDescent="0.2">
      <c r="A97" s="1289" t="s">
        <v>1292</v>
      </c>
      <c r="B97" s="1655">
        <f>B31*F96*10^-6</f>
        <v>11051.949999999997</v>
      </c>
      <c r="C97" s="425" t="s">
        <v>1729</v>
      </c>
      <c r="D97" s="1315"/>
      <c r="E97" s="521"/>
      <c r="F97" s="1315"/>
      <c r="G97" s="416"/>
      <c r="H97" s="1315"/>
      <c r="I97" s="1289"/>
      <c r="J97" s="1349"/>
    </row>
    <row r="98" spans="1:10" s="90" customFormat="1" ht="13.5" x14ac:dyDescent="0.25">
      <c r="A98" s="1289" t="s">
        <v>1286</v>
      </c>
      <c r="B98" s="1352">
        <f>B97*0.001*Electricity!B6</f>
        <v>0.30101260933840224</v>
      </c>
      <c r="C98" s="425" t="s">
        <v>1696</v>
      </c>
      <c r="D98" s="425"/>
      <c r="E98" s="521"/>
      <c r="F98" s="1315"/>
      <c r="G98" s="1315"/>
      <c r="H98" s="1315"/>
      <c r="I98" s="1289"/>
      <c r="J98" s="1349"/>
    </row>
    <row r="99" spans="1:10" s="90" customFormat="1" x14ac:dyDescent="0.2">
      <c r="A99" s="1289"/>
      <c r="B99" s="1351"/>
      <c r="C99" s="425"/>
      <c r="D99" s="425"/>
      <c r="E99" s="521"/>
      <c r="F99" s="1315"/>
      <c r="G99" s="1315"/>
      <c r="H99" s="1315"/>
      <c r="I99" s="1289"/>
      <c r="J99" s="1349"/>
    </row>
    <row r="100" spans="1:10" s="90" customFormat="1" x14ac:dyDescent="0.2">
      <c r="A100" s="245" t="s">
        <v>1720</v>
      </c>
      <c r="B100" s="425"/>
      <c r="C100" s="425"/>
      <c r="D100" s="425"/>
      <c r="E100" s="521"/>
      <c r="F100" s="1650"/>
      <c r="G100" s="1315"/>
      <c r="H100" s="1315"/>
      <c r="I100" s="1289"/>
      <c r="J100" s="1349"/>
    </row>
    <row r="101" spans="1:10" s="90" customFormat="1" x14ac:dyDescent="0.2">
      <c r="A101" s="1289" t="s">
        <v>1291</v>
      </c>
      <c r="B101" s="425"/>
      <c r="C101" s="425"/>
      <c r="D101" s="425"/>
      <c r="E101" s="521"/>
      <c r="F101" s="1651">
        <v>210</v>
      </c>
      <c r="G101" s="1315" t="s">
        <v>1284</v>
      </c>
      <c r="H101" s="1315"/>
      <c r="I101" s="1289" t="s">
        <v>1694</v>
      </c>
      <c r="J101" s="1349"/>
    </row>
    <row r="102" spans="1:10" s="90" customFormat="1" x14ac:dyDescent="0.2">
      <c r="A102" s="1289" t="s">
        <v>1292</v>
      </c>
      <c r="B102" s="1655">
        <f>B41*F101*10^-6</f>
        <v>92.053305954825461</v>
      </c>
      <c r="C102" s="425" t="s">
        <v>1729</v>
      </c>
      <c r="D102" s="1315"/>
      <c r="E102" s="521"/>
      <c r="F102" s="1315"/>
      <c r="G102" s="416"/>
      <c r="H102" s="1315"/>
      <c r="I102" s="1289"/>
      <c r="J102" s="1349"/>
    </row>
    <row r="103" spans="1:10" s="90" customFormat="1" ht="13.5" x14ac:dyDescent="0.25">
      <c r="A103" s="1289" t="s">
        <v>1286</v>
      </c>
      <c r="B103" s="1352">
        <f>B102*0.001*Electricity!B6</f>
        <v>2.5071779933575791E-3</v>
      </c>
      <c r="C103" s="425" t="s">
        <v>1696</v>
      </c>
      <c r="D103" s="425"/>
      <c r="E103" s="521"/>
      <c r="F103" s="1315"/>
      <c r="G103" s="1315"/>
      <c r="H103" s="1315"/>
      <c r="I103" s="1289"/>
      <c r="J103" s="1349"/>
    </row>
    <row r="104" spans="1:10" s="90" customFormat="1" x14ac:dyDescent="0.2">
      <c r="A104" s="1289"/>
      <c r="B104" s="1351"/>
      <c r="C104" s="425"/>
      <c r="D104" s="425"/>
      <c r="E104" s="521"/>
      <c r="F104" s="1315"/>
      <c r="G104" s="1315"/>
      <c r="H104" s="1315"/>
      <c r="I104" s="1289"/>
      <c r="J104" s="1349"/>
    </row>
    <row r="105" spans="1:10" s="90" customFormat="1" x14ac:dyDescent="0.2">
      <c r="A105" s="245" t="s">
        <v>1724</v>
      </c>
      <c r="B105" s="425"/>
      <c r="C105" s="425"/>
      <c r="D105" s="425"/>
      <c r="E105" s="521"/>
      <c r="F105" s="1650"/>
      <c r="G105" s="1315"/>
      <c r="H105" s="1315"/>
      <c r="I105" s="1289"/>
      <c r="J105" s="1349"/>
    </row>
    <row r="106" spans="1:10" s="90" customFormat="1" x14ac:dyDescent="0.2">
      <c r="A106" s="1289" t="s">
        <v>1291</v>
      </c>
      <c r="B106" s="425"/>
      <c r="C106" s="425"/>
      <c r="D106" s="425"/>
      <c r="E106" s="521"/>
      <c r="F106" s="1651">
        <v>210</v>
      </c>
      <c r="G106" s="1315" t="s">
        <v>1284</v>
      </c>
      <c r="H106" s="1315"/>
      <c r="I106" s="1289" t="s">
        <v>1694</v>
      </c>
      <c r="J106" s="1349"/>
    </row>
    <row r="107" spans="1:10" s="90" customFormat="1" x14ac:dyDescent="0.2">
      <c r="A107" s="1289" t="s">
        <v>1292</v>
      </c>
      <c r="B107" s="1655">
        <f>B51*F106*10^-6</f>
        <v>273</v>
      </c>
      <c r="C107" s="425" t="s">
        <v>1729</v>
      </c>
      <c r="D107" s="1315"/>
      <c r="E107" s="521"/>
      <c r="F107" s="1315"/>
      <c r="G107" s="416"/>
      <c r="H107" s="1315"/>
      <c r="I107" s="1289"/>
      <c r="J107" s="1349"/>
    </row>
    <row r="108" spans="1:10" s="90" customFormat="1" ht="13.5" x14ac:dyDescent="0.25">
      <c r="A108" s="1289" t="s">
        <v>1286</v>
      </c>
      <c r="B108" s="1352">
        <f>B107*0.001*Electricity!B6</f>
        <v>7.4354699713067678E-3</v>
      </c>
      <c r="C108" s="425" t="s">
        <v>1696</v>
      </c>
      <c r="D108" s="425"/>
      <c r="E108" s="521"/>
      <c r="F108" s="1315"/>
      <c r="G108" s="1315"/>
      <c r="H108" s="1315"/>
      <c r="I108" s="1289"/>
      <c r="J108" s="1349"/>
    </row>
    <row r="109" spans="1:10" s="90" customFormat="1" x14ac:dyDescent="0.2">
      <c r="A109" s="1289"/>
      <c r="B109" s="1351"/>
      <c r="C109" s="425"/>
      <c r="D109" s="425"/>
      <c r="E109" s="521"/>
      <c r="F109" s="1315"/>
      <c r="G109" s="1315"/>
      <c r="H109" s="1315"/>
      <c r="I109" s="1289"/>
      <c r="J109" s="1349"/>
    </row>
    <row r="110" spans="1:10" s="90" customFormat="1" x14ac:dyDescent="0.2">
      <c r="A110" s="245" t="s">
        <v>1725</v>
      </c>
      <c r="B110" s="425"/>
      <c r="C110" s="425"/>
      <c r="D110" s="425"/>
      <c r="E110" s="521"/>
      <c r="F110" s="1650"/>
      <c r="G110" s="1315"/>
      <c r="H110" s="1315"/>
      <c r="I110" s="1289"/>
      <c r="J110" s="1349"/>
    </row>
    <row r="111" spans="1:10" s="90" customFormat="1" x14ac:dyDescent="0.2">
      <c r="A111" s="1289" t="s">
        <v>1291</v>
      </c>
      <c r="B111" s="425"/>
      <c r="C111" s="425"/>
      <c r="D111" s="425"/>
      <c r="E111" s="521"/>
      <c r="F111" s="1651">
        <v>210</v>
      </c>
      <c r="G111" s="1315" t="s">
        <v>1284</v>
      </c>
      <c r="H111" s="1315"/>
      <c r="I111" s="1289" t="s">
        <v>1694</v>
      </c>
      <c r="J111" s="1349"/>
    </row>
    <row r="112" spans="1:10" s="90" customFormat="1" x14ac:dyDescent="0.2">
      <c r="A112" s="1289" t="s">
        <v>1292</v>
      </c>
      <c r="B112" s="1655">
        <f>B61*F111*10^-6</f>
        <v>0</v>
      </c>
      <c r="C112" s="425" t="s">
        <v>1729</v>
      </c>
      <c r="D112" s="1315"/>
      <c r="E112" s="521"/>
      <c r="F112" s="1315"/>
      <c r="G112" s="416"/>
      <c r="H112" s="1315"/>
      <c r="I112" s="1289"/>
      <c r="J112" s="1349"/>
    </row>
    <row r="113" spans="1:13" s="90" customFormat="1" ht="13.5" x14ac:dyDescent="0.25">
      <c r="A113" s="1289" t="s">
        <v>1286</v>
      </c>
      <c r="B113" s="1352">
        <f>B112*0.001*Electricity!B6</f>
        <v>0</v>
      </c>
      <c r="C113" s="425" t="s">
        <v>1696</v>
      </c>
      <c r="D113" s="425"/>
      <c r="E113" s="521"/>
      <c r="F113" s="1315"/>
      <c r="G113" s="1315"/>
      <c r="H113" s="1315"/>
      <c r="I113" s="1289"/>
      <c r="J113" s="1349"/>
    </row>
    <row r="114" spans="1:13" s="90" customFormat="1" x14ac:dyDescent="0.2">
      <c r="A114" s="1289"/>
      <c r="B114" s="1351"/>
      <c r="C114" s="425"/>
      <c r="D114" s="425"/>
      <c r="E114" s="521"/>
      <c r="F114" s="1315"/>
      <c r="G114" s="1315"/>
      <c r="H114" s="1315"/>
      <c r="I114" s="1289"/>
      <c r="J114" s="1349"/>
    </row>
    <row r="115" spans="1:13" ht="13.5" x14ac:dyDescent="0.25">
      <c r="A115" s="191" t="s">
        <v>1575</v>
      </c>
      <c r="B115" s="1656">
        <f>SUM(B98,B103,B108,B113)*365.25</f>
        <v>113.57640772994507</v>
      </c>
      <c r="C115" s="203" t="s">
        <v>128</v>
      </c>
      <c r="D115" s="203"/>
      <c r="E115" s="521"/>
      <c r="F115" s="852"/>
      <c r="G115" s="331"/>
      <c r="H115" s="216"/>
      <c r="I115" s="327"/>
      <c r="J115" s="1050"/>
    </row>
    <row r="116" spans="1:13" x14ac:dyDescent="0.2">
      <c r="A116" s="1130" t="s">
        <v>1173</v>
      </c>
      <c r="B116" s="1279"/>
      <c r="C116" s="1279"/>
      <c r="D116" s="1279"/>
      <c r="E116" s="1280"/>
      <c r="F116" s="1317"/>
      <c r="G116" s="1317"/>
      <c r="H116" s="1317"/>
      <c r="I116" s="1318"/>
      <c r="J116" s="1281"/>
    </row>
    <row r="117" spans="1:13" x14ac:dyDescent="0.2">
      <c r="A117" s="205"/>
      <c r="B117" s="425"/>
      <c r="C117" s="425"/>
      <c r="D117" s="425"/>
      <c r="E117" s="521"/>
      <c r="F117" s="1319"/>
      <c r="G117" s="331"/>
      <c r="H117" s="216"/>
      <c r="I117" s="327"/>
      <c r="J117" s="1050"/>
    </row>
    <row r="118" spans="1:13" x14ac:dyDescent="0.2">
      <c r="A118" s="205" t="s">
        <v>1516</v>
      </c>
      <c r="B118" s="425"/>
      <c r="C118" s="425"/>
      <c r="D118" s="425"/>
      <c r="E118" s="521"/>
      <c r="F118" s="1319"/>
      <c r="G118" s="331"/>
      <c r="H118" s="216"/>
      <c r="I118" s="327"/>
      <c r="J118" s="1050"/>
    </row>
    <row r="119" spans="1:13" x14ac:dyDescent="0.2">
      <c r="A119" s="540" t="s">
        <v>1293</v>
      </c>
      <c r="B119" s="1504">
        <f>F6</f>
        <v>52628333.333333328</v>
      </c>
      <c r="C119" s="425" t="s">
        <v>1372</v>
      </c>
      <c r="D119" s="425"/>
      <c r="E119" s="521"/>
      <c r="F119" s="1319"/>
      <c r="G119" s="331"/>
      <c r="H119" s="216"/>
      <c r="I119" s="327"/>
      <c r="J119" s="1050"/>
    </row>
    <row r="120" spans="1:13" x14ac:dyDescent="0.2">
      <c r="A120" s="540" t="s">
        <v>1294</v>
      </c>
      <c r="B120" s="425"/>
      <c r="C120" s="425"/>
      <c r="D120" s="425"/>
      <c r="E120" s="521"/>
      <c r="F120" s="1649">
        <v>540</v>
      </c>
      <c r="G120" s="331" t="s">
        <v>1284</v>
      </c>
      <c r="H120" s="216"/>
      <c r="I120" s="1289" t="s">
        <v>1694</v>
      </c>
      <c r="J120" s="1050"/>
      <c r="K120" s="90"/>
      <c r="L120" s="90"/>
      <c r="M120" s="90"/>
    </row>
    <row r="121" spans="1:13" x14ac:dyDescent="0.2">
      <c r="A121" s="540" t="s">
        <v>1295</v>
      </c>
      <c r="B121" s="1654">
        <f>B119*F120*10^-6</f>
        <v>28419.299999999996</v>
      </c>
      <c r="C121" s="425" t="s">
        <v>1729</v>
      </c>
      <c r="D121" s="425"/>
      <c r="E121" s="521"/>
      <c r="F121" s="1319"/>
      <c r="G121" s="331"/>
      <c r="H121" s="216"/>
      <c r="I121" s="327"/>
      <c r="J121" s="1050"/>
      <c r="K121" s="90"/>
      <c r="L121" s="90"/>
      <c r="M121" s="90"/>
    </row>
    <row r="122" spans="1:13" x14ac:dyDescent="0.2">
      <c r="A122" s="540"/>
      <c r="B122" s="1691"/>
      <c r="C122" s="1315"/>
      <c r="D122" s="425"/>
      <c r="E122" s="521"/>
      <c r="F122" s="1319"/>
      <c r="G122" s="331"/>
      <c r="H122" s="216"/>
      <c r="I122" s="327"/>
      <c r="J122" s="1050"/>
      <c r="K122" s="90"/>
      <c r="L122" s="90"/>
      <c r="M122" s="90"/>
    </row>
    <row r="123" spans="1:13" x14ac:dyDescent="0.2">
      <c r="A123" s="245" t="s">
        <v>1720</v>
      </c>
      <c r="B123" s="1691"/>
      <c r="C123" s="1315"/>
      <c r="D123" s="425"/>
      <c r="E123" s="521"/>
      <c r="F123" s="1319"/>
      <c r="G123" s="331"/>
      <c r="H123" s="216"/>
      <c r="I123" s="327"/>
      <c r="J123" s="1050"/>
      <c r="K123" s="90"/>
      <c r="L123" s="90"/>
      <c r="M123" s="90"/>
    </row>
    <row r="124" spans="1:13" x14ac:dyDescent="0.2">
      <c r="A124" s="540" t="s">
        <v>1293</v>
      </c>
      <c r="B124" s="1504">
        <f>F11/365.25</f>
        <v>438349.07597535936</v>
      </c>
      <c r="C124" s="425" t="s">
        <v>1372</v>
      </c>
      <c r="D124" s="425"/>
      <c r="E124" s="521"/>
      <c r="F124" s="1319"/>
      <c r="G124" s="331"/>
      <c r="H124" s="216"/>
      <c r="I124" s="327"/>
      <c r="J124" s="1050"/>
      <c r="K124" s="90"/>
      <c r="L124" s="90"/>
      <c r="M124" s="90"/>
    </row>
    <row r="125" spans="1:13" x14ac:dyDescent="0.2">
      <c r="A125" s="540" t="s">
        <v>1294</v>
      </c>
      <c r="B125" s="425"/>
      <c r="C125" s="425"/>
      <c r="D125" s="425"/>
      <c r="E125" s="521"/>
      <c r="F125" s="1649">
        <v>540</v>
      </c>
      <c r="G125" s="331" t="s">
        <v>1284</v>
      </c>
      <c r="H125" s="216"/>
      <c r="I125" s="1289" t="s">
        <v>1694</v>
      </c>
      <c r="J125" s="1050"/>
      <c r="K125" s="90"/>
      <c r="L125" s="90"/>
      <c r="M125" s="90"/>
    </row>
    <row r="126" spans="1:13" x14ac:dyDescent="0.2">
      <c r="A126" s="540" t="s">
        <v>1295</v>
      </c>
      <c r="B126" s="1654">
        <f>B124*F125*10^-6</f>
        <v>236.70850102669405</v>
      </c>
      <c r="C126" s="425" t="s">
        <v>1729</v>
      </c>
      <c r="D126" s="425"/>
      <c r="E126" s="521"/>
      <c r="F126" s="1319"/>
      <c r="G126" s="331"/>
      <c r="H126" s="216"/>
      <c r="I126" s="327"/>
      <c r="J126" s="1050"/>
      <c r="K126" s="90"/>
      <c r="L126" s="90"/>
      <c r="M126" s="90"/>
    </row>
    <row r="127" spans="1:13" x14ac:dyDescent="0.2">
      <c r="A127" s="540"/>
      <c r="B127" s="1691"/>
      <c r="C127" s="1315"/>
      <c r="D127" s="425"/>
      <c r="E127" s="521"/>
      <c r="F127" s="1319"/>
      <c r="G127" s="331"/>
      <c r="H127" s="216"/>
      <c r="I127" s="327"/>
      <c r="J127" s="1050"/>
      <c r="K127" s="90"/>
      <c r="L127" s="90"/>
      <c r="M127" s="90"/>
    </row>
    <row r="128" spans="1:13" x14ac:dyDescent="0.2">
      <c r="A128" s="540"/>
      <c r="B128" s="1691"/>
      <c r="C128" s="1315"/>
      <c r="D128" s="425"/>
      <c r="E128" s="521"/>
      <c r="F128" s="1319"/>
      <c r="G128" s="331"/>
      <c r="H128" s="216"/>
      <c r="I128" s="327"/>
      <c r="J128" s="1050"/>
      <c r="K128" s="90"/>
      <c r="L128" s="90"/>
      <c r="M128" s="90"/>
    </row>
    <row r="129" spans="1:13" x14ac:dyDescent="0.2">
      <c r="A129" s="245" t="s">
        <v>1724</v>
      </c>
      <c r="B129" s="1504">
        <f>F16</f>
        <v>1300000</v>
      </c>
      <c r="C129" s="425" t="s">
        <v>1372</v>
      </c>
      <c r="D129" s="425"/>
      <c r="E129" s="521"/>
      <c r="F129" s="1319"/>
      <c r="G129" s="331"/>
      <c r="H129" s="216"/>
      <c r="I129" s="327"/>
      <c r="J129" s="1050"/>
      <c r="K129" s="90"/>
      <c r="L129" s="90"/>
      <c r="M129" s="90"/>
    </row>
    <row r="130" spans="1:13" x14ac:dyDescent="0.2">
      <c r="A130" s="540" t="s">
        <v>1294</v>
      </c>
      <c r="B130" s="425"/>
      <c r="C130" s="425"/>
      <c r="D130" s="425"/>
      <c r="E130" s="521"/>
      <c r="F130" s="1649">
        <v>540</v>
      </c>
      <c r="G130" s="331" t="s">
        <v>1284</v>
      </c>
      <c r="H130" s="216"/>
      <c r="I130" s="1289" t="s">
        <v>1694</v>
      </c>
      <c r="J130" s="1050"/>
      <c r="K130" s="90"/>
      <c r="L130" s="90"/>
      <c r="M130" s="90"/>
    </row>
    <row r="131" spans="1:13" x14ac:dyDescent="0.2">
      <c r="A131" s="540" t="s">
        <v>1295</v>
      </c>
      <c r="B131" s="1654">
        <f>B129*F130*10^-6</f>
        <v>702</v>
      </c>
      <c r="C131" s="425" t="s">
        <v>1729</v>
      </c>
      <c r="D131" s="425"/>
      <c r="E131" s="521"/>
      <c r="F131" s="1319"/>
      <c r="G131" s="331"/>
      <c r="H131" s="216"/>
      <c r="I131" s="327"/>
      <c r="J131" s="1050"/>
      <c r="K131" s="90"/>
      <c r="L131" s="90"/>
      <c r="M131" s="90"/>
    </row>
    <row r="132" spans="1:13" x14ac:dyDescent="0.2">
      <c r="A132" s="540"/>
      <c r="B132" s="1691"/>
      <c r="C132" s="1315"/>
      <c r="D132" s="425"/>
      <c r="E132" s="521"/>
      <c r="F132" s="1319"/>
      <c r="G132" s="331"/>
      <c r="H132" s="216"/>
      <c r="I132" s="327"/>
      <c r="J132" s="1050"/>
      <c r="K132" s="90"/>
      <c r="L132" s="90"/>
      <c r="M132" s="90"/>
    </row>
    <row r="133" spans="1:13" x14ac:dyDescent="0.2">
      <c r="A133" s="245" t="s">
        <v>1725</v>
      </c>
      <c r="B133" s="1691"/>
      <c r="C133" s="1315"/>
      <c r="D133" s="425"/>
      <c r="E133" s="521"/>
      <c r="F133" s="1319"/>
      <c r="G133" s="331"/>
      <c r="H133" s="216"/>
      <c r="I133" s="327"/>
      <c r="J133" s="1050"/>
      <c r="K133" s="90"/>
      <c r="L133" s="90"/>
      <c r="M133" s="90"/>
    </row>
    <row r="134" spans="1:13" x14ac:dyDescent="0.2">
      <c r="A134" s="540" t="s">
        <v>1293</v>
      </c>
      <c r="B134" s="1504">
        <f>F21/365.25</f>
        <v>167717.23477070499</v>
      </c>
      <c r="C134" s="425" t="s">
        <v>1372</v>
      </c>
      <c r="D134" s="425"/>
      <c r="E134" s="521"/>
      <c r="F134" s="1319"/>
      <c r="G134" s="331"/>
      <c r="H134" s="216"/>
      <c r="I134" s="327"/>
      <c r="J134" s="1050"/>
      <c r="K134" s="90"/>
      <c r="L134" s="90"/>
      <c r="M134" s="90"/>
    </row>
    <row r="135" spans="1:13" x14ac:dyDescent="0.2">
      <c r="A135" s="540" t="s">
        <v>1294</v>
      </c>
      <c r="B135" s="425"/>
      <c r="C135" s="425"/>
      <c r="D135" s="425"/>
      <c r="E135" s="521"/>
      <c r="F135" s="1649">
        <v>540</v>
      </c>
      <c r="G135" s="331" t="s">
        <v>1284</v>
      </c>
      <c r="H135" s="216"/>
      <c r="I135" s="1289" t="s">
        <v>1694</v>
      </c>
      <c r="J135" s="1050"/>
      <c r="K135" s="90"/>
      <c r="L135" s="90"/>
      <c r="M135" s="90"/>
    </row>
    <row r="136" spans="1:13" x14ac:dyDescent="0.2">
      <c r="A136" s="540" t="s">
        <v>1295</v>
      </c>
      <c r="B136" s="1654">
        <f>B134*F135*10^-6</f>
        <v>90.5673067761807</v>
      </c>
      <c r="C136" s="425" t="s">
        <v>1729</v>
      </c>
      <c r="D136" s="425"/>
      <c r="E136" s="521"/>
      <c r="F136" s="1319"/>
      <c r="G136" s="331"/>
      <c r="H136" s="216"/>
      <c r="I136" s="327"/>
      <c r="J136" s="1050"/>
      <c r="K136" s="90"/>
      <c r="L136" s="90"/>
      <c r="M136" s="90"/>
    </row>
    <row r="137" spans="1:13" x14ac:dyDescent="0.2">
      <c r="A137" s="540"/>
      <c r="B137" s="1691"/>
      <c r="C137" s="1315"/>
      <c r="D137" s="425"/>
      <c r="E137" s="521"/>
      <c r="F137" s="1319"/>
      <c r="G137" s="331"/>
      <c r="H137" s="216"/>
      <c r="I137" s="327"/>
      <c r="J137" s="1050"/>
      <c r="K137" s="90"/>
      <c r="L137" s="90"/>
      <c r="M137" s="90"/>
    </row>
    <row r="138" spans="1:13" ht="13.5" x14ac:dyDescent="0.25">
      <c r="A138" s="205" t="s">
        <v>1286</v>
      </c>
      <c r="B138" s="1518">
        <f>(B121+B126+B131+B136)*0.001*Electricity!B6*365.25</f>
        <v>292.95458391158758</v>
      </c>
      <c r="C138" s="203" t="s">
        <v>128</v>
      </c>
      <c r="D138" s="203"/>
      <c r="E138" s="521"/>
      <c r="F138" s="1319"/>
      <c r="G138" s="331"/>
      <c r="H138" s="216"/>
      <c r="I138" s="327"/>
      <c r="J138" s="1050"/>
      <c r="K138" s="90"/>
      <c r="L138" s="90"/>
      <c r="M138" s="90"/>
    </row>
    <row r="139" spans="1:13" x14ac:dyDescent="0.2">
      <c r="A139" s="585"/>
      <c r="B139" s="425"/>
      <c r="C139" s="425"/>
      <c r="D139" s="425"/>
      <c r="E139" s="521"/>
      <c r="F139" s="691"/>
      <c r="G139" s="331"/>
      <c r="H139" s="331"/>
      <c r="I139" s="301"/>
      <c r="J139" s="1051"/>
      <c r="K139" s="90"/>
      <c r="L139" s="90"/>
      <c r="M139" s="90"/>
    </row>
    <row r="140" spans="1:13" ht="13.5" x14ac:dyDescent="0.2">
      <c r="A140" s="1145" t="s">
        <v>15</v>
      </c>
      <c r="B140" s="1530">
        <f>SUM(B68,B91,B115,B138)</f>
        <v>467.10788943588648</v>
      </c>
      <c r="C140" s="1237" t="s">
        <v>128</v>
      </c>
      <c r="D140" s="1356"/>
      <c r="E140" s="1284"/>
      <c r="F140" s="1161"/>
      <c r="G140" s="1162"/>
      <c r="H140" s="1163"/>
      <c r="I140" s="1164"/>
      <c r="J140" s="1285"/>
      <c r="K140" s="1657"/>
      <c r="L140" s="90"/>
      <c r="M140" s="90"/>
    </row>
    <row r="141" spans="1:13" x14ac:dyDescent="0.2">
      <c r="A141" s="186"/>
      <c r="B141" s="425"/>
      <c r="C141" s="425"/>
      <c r="D141" s="425"/>
      <c r="E141" s="521"/>
      <c r="F141" s="330"/>
      <c r="G141" s="289"/>
      <c r="H141" s="127"/>
      <c r="I141" s="327"/>
      <c r="J141" s="1050"/>
      <c r="K141" s="189"/>
      <c r="L141" s="90"/>
      <c r="M141" s="90"/>
    </row>
    <row r="142" spans="1:13" x14ac:dyDescent="0.2">
      <c r="A142" s="205"/>
      <c r="E142" s="521"/>
      <c r="F142" s="690"/>
      <c r="G142" s="128"/>
      <c r="H142" s="128"/>
      <c r="I142" s="309"/>
      <c r="J142" s="1286"/>
      <c r="K142" s="90"/>
      <c r="L142" s="90"/>
      <c r="M142" s="90"/>
    </row>
    <row r="143" spans="1:13" s="90" customFormat="1" x14ac:dyDescent="0.2">
      <c r="A143" s="205"/>
      <c r="B143" s="425"/>
      <c r="C143" s="425"/>
      <c r="D143" s="425"/>
      <c r="E143" s="521"/>
      <c r="F143" s="690"/>
      <c r="G143" s="289"/>
      <c r="H143" s="128"/>
      <c r="I143" s="309"/>
      <c r="J143" s="1286"/>
    </row>
    <row r="144" spans="1:13" s="90" customFormat="1" x14ac:dyDescent="0.2">
      <c r="A144" s="172"/>
      <c r="B144" s="425"/>
      <c r="C144" s="425"/>
      <c r="D144" s="425"/>
      <c r="E144" s="521"/>
      <c r="F144" s="690"/>
      <c r="G144" s="128"/>
      <c r="H144" s="128"/>
      <c r="I144" s="309"/>
      <c r="J144" s="1286"/>
    </row>
    <row r="145" spans="1:13" x14ac:dyDescent="0.2">
      <c r="A145" s="186"/>
      <c r="B145" s="425"/>
      <c r="C145" s="425"/>
      <c r="D145" s="425"/>
      <c r="E145" s="521"/>
      <c r="F145" s="289"/>
      <c r="G145" s="289"/>
      <c r="H145" s="132"/>
      <c r="I145" s="301"/>
      <c r="J145" s="1051"/>
      <c r="K145" s="90"/>
      <c r="L145" s="90"/>
      <c r="M145" s="90"/>
    </row>
    <row r="146" spans="1:13" x14ac:dyDescent="0.2">
      <c r="A146" s="245"/>
      <c r="B146" s="425"/>
      <c r="C146" s="425"/>
      <c r="D146" s="425"/>
      <c r="E146" s="521"/>
      <c r="F146" s="289"/>
      <c r="G146" s="289"/>
      <c r="H146" s="132"/>
      <c r="I146" s="301"/>
      <c r="J146" s="1051"/>
      <c r="K146" s="90"/>
      <c r="L146" s="90"/>
      <c r="M146" s="90"/>
    </row>
    <row r="147" spans="1:13" x14ac:dyDescent="0.2">
      <c r="A147" s="205"/>
      <c r="B147" s="425"/>
      <c r="C147" s="425"/>
      <c r="D147" s="425"/>
      <c r="E147" s="521"/>
      <c r="F147" s="289"/>
      <c r="G147" s="289"/>
      <c r="H147" s="132"/>
      <c r="I147" s="301"/>
      <c r="J147" s="1051"/>
    </row>
    <row r="148" spans="1:13" x14ac:dyDescent="0.2">
      <c r="A148" s="585"/>
      <c r="B148" s="425"/>
      <c r="C148" s="425"/>
      <c r="D148" s="425"/>
      <c r="E148" s="521"/>
      <c r="F148" s="289"/>
      <c r="G148" s="289"/>
      <c r="H148" s="132"/>
      <c r="I148" s="301"/>
      <c r="J148" s="1051"/>
    </row>
    <row r="149" spans="1:13" x14ac:dyDescent="0.2">
      <c r="A149" s="162"/>
      <c r="B149" s="214"/>
      <c r="C149" s="214"/>
      <c r="D149" s="214"/>
      <c r="E149" s="853"/>
      <c r="F149" s="330"/>
      <c r="G149" s="289"/>
      <c r="H149" s="127"/>
      <c r="I149" s="327"/>
      <c r="J149" s="1050"/>
    </row>
    <row r="150" spans="1:13" x14ac:dyDescent="0.2">
      <c r="A150" s="162"/>
      <c r="B150" s="214"/>
      <c r="C150" s="214"/>
      <c r="D150" s="214"/>
      <c r="E150" s="853"/>
      <c r="F150" s="330"/>
      <c r="G150" s="289"/>
      <c r="H150" s="127"/>
      <c r="I150" s="327"/>
      <c r="J150" s="1050"/>
    </row>
    <row r="151" spans="1:13" x14ac:dyDescent="0.2">
      <c r="A151" s="205"/>
      <c r="B151" s="214"/>
      <c r="C151" s="214"/>
      <c r="D151" s="214"/>
      <c r="E151" s="853"/>
      <c r="F151" s="851"/>
      <c r="G151" s="234"/>
      <c r="H151" s="234"/>
      <c r="I151" s="317"/>
      <c r="J151" s="1287"/>
    </row>
    <row r="152" spans="1:13" x14ac:dyDescent="0.2">
      <c r="A152" s="205"/>
      <c r="B152" s="214"/>
      <c r="C152" s="214"/>
      <c r="D152" s="214"/>
      <c r="E152" s="853"/>
      <c r="F152" s="851"/>
      <c r="G152" s="289"/>
      <c r="H152" s="234"/>
      <c r="I152" s="317"/>
      <c r="J152" s="1287"/>
    </row>
    <row r="153" spans="1:13" x14ac:dyDescent="0.2">
      <c r="A153" s="172"/>
      <c r="B153" s="214"/>
      <c r="C153" s="214"/>
      <c r="D153" s="214"/>
      <c r="E153" s="853"/>
      <c r="F153" s="88"/>
      <c r="G153" s="90"/>
      <c r="H153" s="192"/>
      <c r="I153" s="327"/>
      <c r="J153" s="1050"/>
    </row>
    <row r="154" spans="1:13" x14ac:dyDescent="0.2">
      <c r="A154" s="162"/>
      <c r="B154" s="214"/>
      <c r="C154" s="214"/>
      <c r="D154" s="214"/>
      <c r="E154" s="853"/>
      <c r="F154" s="103"/>
      <c r="G154" s="66"/>
      <c r="H154" s="240"/>
      <c r="I154" s="327"/>
      <c r="J154" s="1050"/>
    </row>
    <row r="155" spans="1:13" x14ac:dyDescent="0.2">
      <c r="A155" s="245"/>
      <c r="B155" s="214"/>
      <c r="C155" s="214"/>
      <c r="D155" s="214"/>
      <c r="E155" s="853"/>
      <c r="F155" s="103"/>
      <c r="G155" s="66"/>
      <c r="H155" s="240"/>
      <c r="I155" s="327"/>
      <c r="J155" s="1050"/>
    </row>
    <row r="156" spans="1:13" x14ac:dyDescent="0.2">
      <c r="A156" s="205"/>
      <c r="B156" s="214"/>
      <c r="C156" s="214"/>
      <c r="D156" s="214"/>
      <c r="E156" s="853"/>
      <c r="F156" s="103"/>
      <c r="G156" s="66"/>
      <c r="H156" s="240"/>
      <c r="I156" s="327"/>
      <c r="J156" s="1050"/>
    </row>
    <row r="157" spans="1:13" x14ac:dyDescent="0.2">
      <c r="A157" s="585"/>
      <c r="B157" s="214"/>
      <c r="C157" s="214"/>
      <c r="D157" s="214"/>
      <c r="E157" s="853"/>
      <c r="F157" s="103"/>
      <c r="G157" s="66"/>
      <c r="H157" s="240"/>
      <c r="I157" s="327"/>
      <c r="J157" s="1050"/>
    </row>
    <row r="158" spans="1:13" x14ac:dyDescent="0.2">
      <c r="A158" s="162"/>
      <c r="B158" s="214"/>
      <c r="C158" s="214"/>
      <c r="D158" s="214"/>
      <c r="E158" s="853"/>
      <c r="F158" s="88"/>
      <c r="G158" s="90"/>
      <c r="H158" s="273"/>
      <c r="I158" s="327"/>
      <c r="J158" s="1050"/>
    </row>
    <row r="159" spans="1:13" x14ac:dyDescent="0.2">
      <c r="A159" s="187"/>
      <c r="B159" s="214"/>
      <c r="C159" s="214"/>
      <c r="D159" s="214"/>
      <c r="E159" s="853"/>
      <c r="F159" s="90"/>
      <c r="G159" s="185"/>
      <c r="H159" s="192"/>
      <c r="I159" s="327"/>
      <c r="J159" s="1050"/>
    </row>
    <row r="160" spans="1:13" x14ac:dyDescent="0.2">
      <c r="A160" s="87"/>
      <c r="B160" s="214"/>
      <c r="C160" s="214"/>
      <c r="D160" s="214"/>
      <c r="E160" s="853"/>
      <c r="F160" s="103"/>
      <c r="G160" s="185"/>
      <c r="H160" s="240"/>
      <c r="I160" s="327"/>
      <c r="J160" s="1050"/>
    </row>
    <row r="161" spans="1:10" x14ac:dyDescent="0.2">
      <c r="A161" s="162"/>
      <c r="B161" s="425"/>
      <c r="C161" s="425"/>
      <c r="D161" s="425"/>
      <c r="E161" s="521"/>
      <c r="F161" s="103"/>
      <c r="G161" s="90"/>
      <c r="H161" s="192"/>
      <c r="I161" s="327"/>
      <c r="J161" s="1050"/>
    </row>
    <row r="162" spans="1:10" x14ac:dyDescent="0.2">
      <c r="A162" s="162"/>
      <c r="B162" s="425"/>
      <c r="C162" s="425"/>
      <c r="D162" s="425"/>
      <c r="E162" s="521"/>
      <c r="F162" s="103"/>
      <c r="G162" s="90"/>
      <c r="H162" s="192"/>
      <c r="I162" s="327"/>
      <c r="J162" s="1050"/>
    </row>
    <row r="163" spans="1:10" x14ac:dyDescent="0.2">
      <c r="A163" s="162"/>
      <c r="B163" s="425"/>
      <c r="C163" s="425"/>
      <c r="D163" s="425"/>
      <c r="E163" s="521"/>
      <c r="F163" s="99"/>
      <c r="G163" s="66"/>
      <c r="H163" s="192"/>
      <c r="I163" s="327"/>
      <c r="J163" s="1050"/>
    </row>
    <row r="164" spans="1:10" x14ac:dyDescent="0.2">
      <c r="A164" s="162"/>
      <c r="B164" s="425"/>
      <c r="C164" s="425"/>
      <c r="D164" s="425"/>
      <c r="E164" s="521"/>
      <c r="F164" s="99"/>
      <c r="G164" s="66"/>
      <c r="H164" s="192"/>
      <c r="I164" s="327"/>
      <c r="J164" s="1050"/>
    </row>
    <row r="165" spans="1:10" x14ac:dyDescent="0.2">
      <c r="A165" s="205"/>
      <c r="B165" s="425"/>
      <c r="C165" s="425"/>
      <c r="D165" s="425"/>
      <c r="E165" s="521"/>
      <c r="F165" s="206"/>
      <c r="G165" s="204"/>
      <c r="H165" s="204"/>
      <c r="I165" s="317"/>
      <c r="J165" s="1287"/>
    </row>
    <row r="166" spans="1:10" x14ac:dyDescent="0.2">
      <c r="A166" s="205"/>
      <c r="B166" s="425"/>
      <c r="C166" s="425"/>
      <c r="D166" s="425"/>
      <c r="E166" s="521"/>
      <c r="F166" s="206"/>
      <c r="G166" s="90"/>
      <c r="H166" s="204"/>
      <c r="I166" s="317"/>
      <c r="J166" s="1287"/>
    </row>
    <row r="167" spans="1:10" x14ac:dyDescent="0.2">
      <c r="A167" s="172"/>
      <c r="B167" s="425"/>
      <c r="C167" s="425"/>
      <c r="D167" s="425"/>
      <c r="E167" s="521"/>
      <c r="F167" s="88"/>
      <c r="G167" s="90"/>
      <c r="H167" s="192"/>
      <c r="I167" s="327"/>
      <c r="J167" s="1050"/>
    </row>
    <row r="168" spans="1:10" x14ac:dyDescent="0.2">
      <c r="A168" s="172"/>
      <c r="B168" s="425"/>
      <c r="C168" s="425"/>
      <c r="D168" s="425"/>
      <c r="E168" s="521"/>
      <c r="F168" s="88"/>
      <c r="G168" s="90"/>
      <c r="H168" s="192"/>
      <c r="I168" s="327"/>
      <c r="J168" s="1050"/>
    </row>
    <row r="169" spans="1:10" ht="12" customHeight="1" x14ac:dyDescent="0.2">
      <c r="A169" s="245"/>
      <c r="B169" s="595"/>
      <c r="C169" s="595"/>
      <c r="D169" s="595"/>
      <c r="E169" s="540"/>
      <c r="F169" s="139"/>
      <c r="G169" s="185"/>
      <c r="H169" s="240"/>
      <c r="I169" s="327"/>
      <c r="J169" s="1050"/>
    </row>
    <row r="170" spans="1:10" s="90" customFormat="1" x14ac:dyDescent="0.2">
      <c r="A170" s="205"/>
      <c r="B170" s="595"/>
      <c r="C170" s="595"/>
      <c r="D170" s="595"/>
      <c r="E170" s="540"/>
      <c r="H170" s="66"/>
      <c r="I170" s="301"/>
      <c r="J170" s="1051"/>
    </row>
    <row r="171" spans="1:10" s="90" customFormat="1" x14ac:dyDescent="0.2">
      <c r="A171" s="205"/>
      <c r="B171" s="595"/>
      <c r="C171" s="595"/>
      <c r="D171" s="595"/>
      <c r="E171" s="540"/>
      <c r="F171" s="139"/>
      <c r="G171" s="185"/>
      <c r="H171" s="240"/>
      <c r="I171" s="327"/>
      <c r="J171" s="1050"/>
    </row>
    <row r="172" spans="1:10" x14ac:dyDescent="0.2">
      <c r="A172" s="205"/>
      <c r="B172" s="595"/>
      <c r="C172" s="595"/>
      <c r="D172" s="595"/>
      <c r="E172" s="540"/>
      <c r="F172" s="206"/>
      <c r="G172" s="204"/>
      <c r="H172" s="204"/>
      <c r="I172" s="317"/>
      <c r="J172" s="1287"/>
    </row>
    <row r="173" spans="1:10" x14ac:dyDescent="0.2">
      <c r="A173" s="205"/>
      <c r="B173" s="425"/>
      <c r="C173" s="425"/>
      <c r="D173" s="425"/>
      <c r="E173" s="521"/>
      <c r="F173" s="200"/>
      <c r="G173" s="185"/>
      <c r="H173" s="192"/>
      <c r="I173" s="327"/>
      <c r="J173" s="1050"/>
    </row>
    <row r="174" spans="1:10" x14ac:dyDescent="0.2">
      <c r="A174" s="172"/>
      <c r="B174" s="425"/>
      <c r="C174" s="425"/>
      <c r="D174" s="425"/>
      <c r="E174" s="521"/>
      <c r="F174" s="247"/>
      <c r="G174" s="185"/>
      <c r="H174" s="192"/>
      <c r="I174" s="327"/>
      <c r="J174" s="1050"/>
    </row>
    <row r="175" spans="1:10" x14ac:dyDescent="0.2">
      <c r="A175" s="172"/>
      <c r="B175" s="425"/>
      <c r="C175" s="425"/>
      <c r="D175" s="425"/>
      <c r="E175" s="521"/>
      <c r="F175" s="247"/>
      <c r="G175" s="185"/>
      <c r="H175" s="192"/>
      <c r="I175" s="327"/>
      <c r="J175" s="1050"/>
    </row>
    <row r="176" spans="1:10" x14ac:dyDescent="0.2">
      <c r="A176" s="172"/>
      <c r="B176" s="425"/>
      <c r="C176" s="425"/>
      <c r="D176" s="425"/>
      <c r="E176" s="521"/>
      <c r="F176" s="247"/>
      <c r="G176" s="185"/>
      <c r="H176" s="192"/>
      <c r="I176" s="327"/>
      <c r="J176" s="1050"/>
    </row>
    <row r="177" spans="1:10" x14ac:dyDescent="0.2">
      <c r="A177" s="172"/>
      <c r="B177" s="425"/>
      <c r="C177" s="425"/>
      <c r="D177" s="425"/>
      <c r="E177" s="521"/>
      <c r="F177" s="200"/>
      <c r="G177" s="66"/>
      <c r="H177" s="192"/>
      <c r="I177" s="327"/>
      <c r="J177" s="1050"/>
    </row>
    <row r="178" spans="1:10" x14ac:dyDescent="0.2">
      <c r="A178" s="172"/>
      <c r="B178" s="214"/>
      <c r="C178" s="214"/>
      <c r="D178" s="214"/>
      <c r="E178" s="853"/>
      <c r="F178" s="139"/>
      <c r="G178" s="66"/>
      <c r="H178" s="66"/>
      <c r="I178" s="301"/>
      <c r="J178" s="1051"/>
    </row>
    <row r="179" spans="1:10" x14ac:dyDescent="0.2">
      <c r="A179" s="245"/>
      <c r="B179" s="214"/>
      <c r="C179" s="214"/>
      <c r="D179" s="214"/>
      <c r="E179" s="853"/>
      <c r="F179" s="139"/>
      <c r="G179" s="66"/>
      <c r="H179" s="66"/>
      <c r="I179" s="301"/>
      <c r="J179" s="1051"/>
    </row>
    <row r="180" spans="1:10" x14ac:dyDescent="0.2">
      <c r="A180" s="205"/>
      <c r="B180" s="214"/>
      <c r="C180" s="214"/>
      <c r="D180" s="214"/>
      <c r="E180" s="853"/>
      <c r="F180" s="139"/>
      <c r="G180" s="66"/>
      <c r="H180" s="66"/>
      <c r="I180" s="301"/>
      <c r="J180" s="1051"/>
    </row>
    <row r="181" spans="1:10" x14ac:dyDescent="0.2">
      <c r="A181" s="187"/>
      <c r="B181" s="214"/>
      <c r="C181" s="214"/>
      <c r="D181" s="214"/>
      <c r="E181" s="853"/>
      <c r="F181" s="103"/>
      <c r="G181" s="196"/>
      <c r="H181" s="192"/>
      <c r="I181" s="327"/>
      <c r="J181" s="1050"/>
    </row>
    <row r="182" spans="1:10" x14ac:dyDescent="0.2">
      <c r="A182" s="186"/>
      <c r="B182" s="214"/>
      <c r="C182" s="214"/>
      <c r="D182" s="214"/>
      <c r="E182" s="853"/>
      <c r="F182" s="100"/>
      <c r="G182" s="90"/>
      <c r="H182" s="273"/>
      <c r="I182" s="327"/>
      <c r="J182" s="1050"/>
    </row>
    <row r="183" spans="1:10" x14ac:dyDescent="0.2">
      <c r="A183" s="186"/>
      <c r="B183" s="214"/>
      <c r="C183" s="214"/>
      <c r="D183" s="214"/>
      <c r="E183" s="853"/>
      <c r="F183" s="103"/>
      <c r="G183" s="188"/>
      <c r="H183" s="240"/>
      <c r="I183" s="327"/>
      <c r="J183" s="1050"/>
    </row>
    <row r="184" spans="1:10" x14ac:dyDescent="0.2">
      <c r="A184" s="115"/>
      <c r="B184" s="214"/>
      <c r="C184" s="214"/>
      <c r="D184" s="214"/>
      <c r="E184" s="853"/>
      <c r="F184" s="139"/>
      <c r="G184" s="139"/>
      <c r="H184" s="192"/>
      <c r="I184" s="327"/>
      <c r="J184" s="1050"/>
    </row>
    <row r="185" spans="1:10" x14ac:dyDescent="0.2">
      <c r="A185" s="205"/>
      <c r="B185" s="214"/>
      <c r="C185" s="214"/>
      <c r="D185" s="214"/>
      <c r="E185" s="853"/>
      <c r="F185" s="206"/>
      <c r="G185" s="204"/>
      <c r="H185" s="204"/>
      <c r="I185" s="317"/>
      <c r="J185" s="1287"/>
    </row>
    <row r="186" spans="1:10" s="90" customFormat="1" x14ac:dyDescent="0.2">
      <c r="A186" s="172"/>
      <c r="B186" s="214"/>
      <c r="C186" s="214"/>
      <c r="D186" s="214"/>
      <c r="E186" s="853"/>
      <c r="F186" s="207"/>
      <c r="G186" s="185"/>
      <c r="H186" s="204"/>
      <c r="I186" s="317"/>
      <c r="J186" s="1287"/>
    </row>
    <row r="187" spans="1:10" x14ac:dyDescent="0.2">
      <c r="A187" s="187"/>
      <c r="B187" s="214"/>
      <c r="C187" s="214"/>
      <c r="D187" s="214"/>
      <c r="E187" s="853"/>
      <c r="F187" s="274"/>
      <c r="G187" s="185"/>
      <c r="H187" s="192"/>
      <c r="I187" s="327"/>
      <c r="J187" s="1050"/>
    </row>
    <row r="188" spans="1:10" x14ac:dyDescent="0.2">
      <c r="A188" s="239"/>
      <c r="B188" s="214"/>
      <c r="C188" s="214"/>
      <c r="D188" s="214"/>
      <c r="E188" s="853"/>
      <c r="F188" s="201"/>
      <c r="G188" s="185"/>
      <c r="H188" s="192"/>
      <c r="I188" s="327"/>
      <c r="J188" s="1050"/>
    </row>
    <row r="189" spans="1:10" x14ac:dyDescent="0.2">
      <c r="A189" s="239"/>
      <c r="B189" s="214"/>
      <c r="C189" s="214"/>
      <c r="D189" s="214"/>
      <c r="E189" s="853"/>
      <c r="F189" s="201"/>
      <c r="G189" s="185"/>
      <c r="H189" s="192"/>
      <c r="I189" s="327"/>
      <c r="J189" s="1050"/>
    </row>
    <row r="190" spans="1:10" x14ac:dyDescent="0.2">
      <c r="A190" s="239"/>
      <c r="B190" s="214"/>
      <c r="C190" s="214"/>
      <c r="D190" s="214"/>
      <c r="E190" s="853"/>
      <c r="F190" s="201"/>
      <c r="G190" s="185"/>
      <c r="H190" s="192"/>
      <c r="I190" s="327"/>
      <c r="J190" s="1050"/>
    </row>
    <row r="191" spans="1:10" x14ac:dyDescent="0.2">
      <c r="A191" s="239"/>
      <c r="B191" s="214"/>
      <c r="C191" s="214"/>
      <c r="D191" s="214"/>
      <c r="E191" s="853"/>
      <c r="F191" s="200"/>
      <c r="G191" s="66"/>
      <c r="H191" s="192"/>
      <c r="I191" s="327"/>
      <c r="J191" s="1050"/>
    </row>
    <row r="192" spans="1:10" x14ac:dyDescent="0.2">
      <c r="A192" s="538"/>
      <c r="B192" s="214"/>
      <c r="C192" s="214"/>
      <c r="D192" s="214"/>
      <c r="E192" s="853"/>
      <c r="F192" s="200"/>
      <c r="G192" s="185"/>
      <c r="H192" s="192"/>
      <c r="I192" s="327"/>
      <c r="J192" s="1050"/>
    </row>
    <row r="193" spans="1:10" x14ac:dyDescent="0.2">
      <c r="A193" s="538"/>
      <c r="B193" s="214"/>
      <c r="C193" s="214"/>
      <c r="D193" s="214"/>
      <c r="E193" s="853"/>
      <c r="F193" s="200"/>
      <c r="G193" s="196"/>
      <c r="H193" s="192"/>
      <c r="I193" s="327"/>
      <c r="J193" s="1050"/>
    </row>
    <row r="194" spans="1:10" x14ac:dyDescent="0.2">
      <c r="A194" s="239"/>
      <c r="B194" s="214"/>
      <c r="C194" s="214"/>
      <c r="D194" s="214"/>
      <c r="E194" s="853"/>
      <c r="F194" s="237"/>
      <c r="G194" s="243"/>
      <c r="H194" s="506"/>
      <c r="I194" s="309"/>
      <c r="J194" s="1286"/>
    </row>
    <row r="195" spans="1:10" x14ac:dyDescent="0.2">
      <c r="A195" s="242"/>
      <c r="B195" s="214"/>
      <c r="C195" s="214"/>
      <c r="D195" s="214"/>
      <c r="E195" s="853"/>
      <c r="F195" s="209"/>
      <c r="G195" s="196"/>
      <c r="H195" s="192"/>
      <c r="I195" s="327"/>
      <c r="J195" s="1050"/>
    </row>
    <row r="196" spans="1:10" x14ac:dyDescent="0.2">
      <c r="A196" s="186"/>
      <c r="B196" s="214"/>
      <c r="C196" s="214"/>
      <c r="D196" s="214"/>
      <c r="E196" s="853"/>
      <c r="F196" s="103"/>
      <c r="G196" s="185"/>
      <c r="H196" s="90"/>
      <c r="I196" s="301"/>
      <c r="J196" s="1051"/>
    </row>
    <row r="197" spans="1:10" x14ac:dyDescent="0.2">
      <c r="A197" s="186"/>
      <c r="B197" s="214"/>
      <c r="C197" s="214"/>
      <c r="D197" s="214"/>
      <c r="E197" s="853"/>
      <c r="F197" s="103"/>
      <c r="G197" s="185"/>
      <c r="H197" s="103"/>
      <c r="I197" s="333"/>
      <c r="J197" s="1288"/>
    </row>
    <row r="198" spans="1:10" x14ac:dyDescent="0.2">
      <c r="A198" s="571"/>
      <c r="B198" s="214"/>
      <c r="C198" s="214"/>
      <c r="D198" s="214"/>
      <c r="E198" s="853"/>
      <c r="F198" s="103"/>
      <c r="G198" s="185"/>
      <c r="H198" s="103"/>
      <c r="I198" s="333"/>
      <c r="J198" s="1288"/>
    </row>
    <row r="199" spans="1:10" x14ac:dyDescent="0.2">
      <c r="A199" s="186"/>
      <c r="B199" s="214"/>
      <c r="C199" s="214"/>
      <c r="D199" s="214"/>
      <c r="E199" s="853"/>
      <c r="F199" s="103"/>
      <c r="G199" s="66"/>
      <c r="H199" s="90"/>
      <c r="I199" s="301"/>
      <c r="J199" s="1051"/>
    </row>
    <row r="200" spans="1:10" x14ac:dyDescent="0.2">
      <c r="A200" s="120"/>
      <c r="F200" s="103"/>
      <c r="G200" s="66"/>
      <c r="H200" s="90"/>
      <c r="I200" s="301"/>
      <c r="J200" s="1051"/>
    </row>
    <row r="201" spans="1:10" x14ac:dyDescent="0.2">
      <c r="A201" s="120"/>
      <c r="G201" s="5"/>
    </row>
    <row r="202" spans="1:10" x14ac:dyDescent="0.2">
      <c r="A202" s="115"/>
    </row>
  </sheetData>
  <mergeCells count="3">
    <mergeCell ref="B1:I1"/>
    <mergeCell ref="F2:H2"/>
    <mergeCell ref="B2:E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178"/>
  <sheetViews>
    <sheetView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K12" sqref="K12"/>
    </sheetView>
  </sheetViews>
  <sheetFormatPr defaultColWidth="8.85546875" defaultRowHeight="12" x14ac:dyDescent="0.2"/>
  <cols>
    <col min="1" max="1" width="68.85546875" style="87" customWidth="1"/>
    <col min="2" max="2" width="11.140625" style="90" customWidth="1"/>
    <col min="3" max="3" width="9.42578125" style="90" customWidth="1"/>
    <col min="4" max="4" width="14.85546875" style="90" bestFit="1" customWidth="1"/>
    <col min="5" max="5" width="9.42578125" style="301" customWidth="1"/>
    <col min="6" max="7" width="9.42578125" customWidth="1"/>
    <col min="8" max="8" width="14.85546875" bestFit="1" customWidth="1"/>
    <col min="9" max="9" width="9.42578125" style="297" customWidth="1"/>
  </cols>
  <sheetData>
    <row r="1" spans="1:16" x14ac:dyDescent="0.2">
      <c r="A1" s="117"/>
      <c r="B1" s="1818" t="s">
        <v>1162</v>
      </c>
      <c r="C1" s="1819"/>
      <c r="D1" s="1819"/>
      <c r="E1" s="1820"/>
      <c r="F1" s="64"/>
      <c r="I1" s="5"/>
      <c r="K1" s="90"/>
      <c r="L1" s="90"/>
      <c r="M1" s="90"/>
    </row>
    <row r="2" spans="1:16" x14ac:dyDescent="0.2">
      <c r="A2" s="117"/>
      <c r="B2" s="199" t="s">
        <v>487</v>
      </c>
      <c r="C2" s="1692" t="s">
        <v>486</v>
      </c>
      <c r="D2" s="1692" t="s">
        <v>488</v>
      </c>
      <c r="E2" s="1693" t="s">
        <v>306</v>
      </c>
      <c r="F2" s="203"/>
      <c r="G2" s="598"/>
      <c r="H2" s="1137"/>
      <c r="I2" s="443"/>
      <c r="K2" s="90"/>
      <c r="L2" s="1137"/>
      <c r="M2" s="593"/>
    </row>
    <row r="3" spans="1:16" x14ac:dyDescent="0.2">
      <c r="A3" s="1118" t="s">
        <v>1164</v>
      </c>
      <c r="B3" s="1119"/>
      <c r="C3" s="1119"/>
      <c r="D3" s="1119"/>
      <c r="E3" s="1134"/>
      <c r="F3" s="1748"/>
      <c r="G3" s="1497"/>
      <c r="H3" s="1497"/>
      <c r="I3" s="1497"/>
      <c r="J3" s="90"/>
      <c r="K3" s="90"/>
      <c r="L3" s="1497"/>
      <c r="M3" s="1497"/>
      <c r="N3" s="90"/>
      <c r="O3" s="90"/>
      <c r="P3" s="90"/>
    </row>
    <row r="4" spans="1:16" x14ac:dyDescent="0.2">
      <c r="A4" s="1720" t="s">
        <v>1776</v>
      </c>
      <c r="B4" s="1721"/>
      <c r="C4" s="1721"/>
      <c r="D4" s="1721"/>
      <c r="E4" s="1722"/>
      <c r="F4" s="1497"/>
      <c r="G4" s="1497"/>
      <c r="H4" s="1497"/>
      <c r="I4" s="1497"/>
      <c r="J4" s="90"/>
      <c r="K4" s="90"/>
      <c r="L4" s="1497"/>
      <c r="M4" s="1497"/>
      <c r="N4" s="90"/>
      <c r="O4" s="90"/>
      <c r="P4" s="90"/>
    </row>
    <row r="5" spans="1:16" ht="13.5" x14ac:dyDescent="0.25">
      <c r="A5" s="1524" t="s">
        <v>1347</v>
      </c>
      <c r="B5" s="1525"/>
      <c r="C5" s="1525"/>
      <c r="D5" s="1525"/>
      <c r="E5" s="1524"/>
      <c r="F5" s="189"/>
      <c r="G5" s="90"/>
      <c r="H5" s="90"/>
      <c r="I5" s="66"/>
      <c r="J5" s="90"/>
      <c r="K5" s="90"/>
      <c r="L5" s="90"/>
      <c r="M5" s="90"/>
      <c r="N5" s="90"/>
      <c r="O5" s="90"/>
      <c r="P5" s="90"/>
    </row>
    <row r="6" spans="1:16" s="90" customFormat="1" x14ac:dyDescent="0.2">
      <c r="A6" s="245" t="s">
        <v>1163</v>
      </c>
      <c r="B6" s="852"/>
      <c r="C6" s="331"/>
      <c r="D6" s="216"/>
      <c r="E6" s="245"/>
      <c r="I6" s="66"/>
      <c r="J6" s="1707"/>
      <c r="K6" s="1708"/>
      <c r="L6" s="1708"/>
      <c r="M6" s="1709"/>
    </row>
    <row r="7" spans="1:16" s="90" customFormat="1" x14ac:dyDescent="0.2">
      <c r="A7" s="540" t="s">
        <v>1333</v>
      </c>
      <c r="B7" s="852">
        <v>605959</v>
      </c>
      <c r="C7" s="331" t="s">
        <v>1598</v>
      </c>
      <c r="D7" s="132" t="s">
        <v>1823</v>
      </c>
      <c r="E7" s="245"/>
      <c r="F7" s="1821"/>
      <c r="G7" s="1822"/>
      <c r="H7" s="1822"/>
      <c r="I7" s="1822"/>
    </row>
    <row r="8" spans="1:16" s="90" customFormat="1" x14ac:dyDescent="0.2">
      <c r="A8" s="647" t="s">
        <v>1514</v>
      </c>
      <c r="B8" s="1710">
        <v>8.8999999999999996E-2</v>
      </c>
      <c r="C8" s="331"/>
      <c r="D8" s="132" t="s">
        <v>1824</v>
      </c>
      <c r="E8" s="245"/>
      <c r="F8" s="1823"/>
      <c r="G8" s="1824"/>
      <c r="H8" s="1824"/>
      <c r="I8" s="1824"/>
    </row>
    <row r="9" spans="1:16" x14ac:dyDescent="0.2">
      <c r="A9" s="647" t="s">
        <v>1515</v>
      </c>
      <c r="B9" s="852">
        <f>B7*B8</f>
        <v>53930.350999999995</v>
      </c>
      <c r="C9" s="331" t="s">
        <v>1598</v>
      </c>
      <c r="D9" s="132"/>
      <c r="E9" s="332"/>
      <c r="F9" s="1825"/>
      <c r="G9" s="1826"/>
      <c r="H9" s="1826"/>
      <c r="I9" s="1826"/>
      <c r="J9" s="103"/>
      <c r="K9" s="90"/>
      <c r="L9" s="90"/>
      <c r="M9" s="90"/>
      <c r="N9" s="90"/>
      <c r="O9" s="90"/>
      <c r="P9" s="90"/>
    </row>
    <row r="10" spans="1:16" x14ac:dyDescent="0.2">
      <c r="A10" s="116" t="s">
        <v>1769</v>
      </c>
      <c r="D10" s="132"/>
      <c r="F10" s="1814"/>
      <c r="G10" s="1815"/>
      <c r="H10" s="1815"/>
      <c r="I10" s="1815"/>
      <c r="J10" s="103"/>
      <c r="K10" s="90"/>
      <c r="L10" s="90"/>
      <c r="M10" s="90"/>
      <c r="N10" s="90"/>
      <c r="O10" s="90"/>
      <c r="P10" s="90"/>
    </row>
    <row r="11" spans="1:16" x14ac:dyDescent="0.2">
      <c r="A11" s="162" t="s">
        <v>1444</v>
      </c>
      <c r="B11" s="331">
        <f>10^-6</f>
        <v>9.9999999999999995E-7</v>
      </c>
      <c r="C11" s="216" t="s">
        <v>1766</v>
      </c>
      <c r="D11" s="132"/>
      <c r="F11" s="1814"/>
      <c r="G11" s="1815"/>
      <c r="H11" s="1815"/>
      <c r="I11" s="1815"/>
      <c r="J11" s="90"/>
      <c r="K11" s="90"/>
      <c r="L11" s="90"/>
      <c r="M11" s="90"/>
      <c r="N11" s="90"/>
      <c r="O11" s="90"/>
      <c r="P11" s="90"/>
    </row>
    <row r="12" spans="1:16" x14ac:dyDescent="0.2">
      <c r="A12" s="162" t="s">
        <v>1445</v>
      </c>
      <c r="B12" s="331">
        <f>3.2*10^-3</f>
        <v>3.2000000000000002E-3</v>
      </c>
      <c r="C12" s="216" t="s">
        <v>1446</v>
      </c>
      <c r="D12" s="216"/>
      <c r="F12" s="1814"/>
      <c r="G12" s="1815"/>
      <c r="H12" s="1815"/>
      <c r="I12" s="1815"/>
      <c r="J12" s="90"/>
      <c r="K12" s="90"/>
      <c r="L12" s="90"/>
      <c r="M12" s="90"/>
      <c r="N12" s="90"/>
      <c r="O12" s="90"/>
      <c r="P12" s="90"/>
    </row>
    <row r="13" spans="1:16" x14ac:dyDescent="0.2">
      <c r="A13" s="162" t="s">
        <v>1448</v>
      </c>
      <c r="B13" s="331">
        <f>10^-3</f>
        <v>1E-3</v>
      </c>
      <c r="C13" s="216" t="s">
        <v>1767</v>
      </c>
      <c r="D13" s="132"/>
      <c r="F13" s="1814"/>
      <c r="G13" s="1815"/>
      <c r="H13" s="1815"/>
      <c r="I13" s="1815"/>
      <c r="J13" s="90"/>
      <c r="K13" s="90"/>
      <c r="L13" s="90"/>
      <c r="M13" s="90"/>
      <c r="N13" s="90"/>
      <c r="O13" s="90"/>
      <c r="P13" s="90"/>
    </row>
    <row r="14" spans="1:16" ht="13.5" x14ac:dyDescent="0.2">
      <c r="A14" s="162" t="s">
        <v>1450</v>
      </c>
      <c r="B14" s="331">
        <f>GWPCH4</f>
        <v>21</v>
      </c>
      <c r="C14" s="216" t="s">
        <v>1768</v>
      </c>
      <c r="D14" s="216"/>
      <c r="F14" s="1814"/>
      <c r="G14" s="1815"/>
      <c r="H14" s="1815"/>
      <c r="I14" s="1815"/>
      <c r="J14" s="90"/>
      <c r="K14" s="90"/>
      <c r="L14" s="90"/>
      <c r="M14" s="90"/>
      <c r="N14" s="90"/>
      <c r="O14" s="90"/>
      <c r="P14" s="90"/>
    </row>
    <row r="15" spans="1:16" ht="13.5" x14ac:dyDescent="0.2">
      <c r="A15" s="1289" t="s">
        <v>1772</v>
      </c>
      <c r="B15" s="1713">
        <f>B9*thermTOBtu*B11*B12*B13*B14</f>
        <v>0.36241195871999998</v>
      </c>
      <c r="C15" s="331" t="s">
        <v>119</v>
      </c>
      <c r="D15" s="216"/>
      <c r="F15" s="1814"/>
      <c r="G15" s="1815"/>
      <c r="H15" s="1815"/>
      <c r="I15" s="1815"/>
      <c r="J15" s="90"/>
      <c r="K15" s="90"/>
      <c r="L15" s="90"/>
      <c r="M15" s="90"/>
      <c r="N15" s="90"/>
      <c r="O15" s="90"/>
      <c r="P15" s="90"/>
    </row>
    <row r="16" spans="1:16" x14ac:dyDescent="0.2">
      <c r="A16" s="1809" t="s">
        <v>1485</v>
      </c>
      <c r="B16" s="1810"/>
      <c r="C16" s="1810"/>
      <c r="D16" s="1810"/>
      <c r="E16" s="1811"/>
      <c r="F16" s="90"/>
      <c r="G16" s="90"/>
      <c r="H16" s="90"/>
      <c r="I16" s="66"/>
      <c r="J16" s="90"/>
      <c r="K16" s="90"/>
      <c r="L16" s="90"/>
      <c r="M16" s="90"/>
      <c r="N16" s="90"/>
      <c r="O16" s="90"/>
      <c r="P16" s="90"/>
    </row>
    <row r="17" spans="1:16" x14ac:dyDescent="0.2">
      <c r="A17" s="245" t="s">
        <v>1163</v>
      </c>
      <c r="D17" s="132"/>
      <c r="F17" s="90"/>
      <c r="G17" s="90"/>
      <c r="H17" s="90"/>
      <c r="I17" s="66"/>
      <c r="J17" s="1711"/>
      <c r="K17" s="331"/>
      <c r="L17" s="90"/>
      <c r="M17" s="90"/>
      <c r="N17" s="90"/>
      <c r="O17" s="90"/>
      <c r="P17" s="90"/>
    </row>
    <row r="18" spans="1:16" x14ac:dyDescent="0.2">
      <c r="A18" s="116" t="s">
        <v>1769</v>
      </c>
      <c r="D18" s="132"/>
      <c r="F18" s="90"/>
      <c r="G18" s="90"/>
      <c r="H18" s="90"/>
      <c r="I18" s="66"/>
      <c r="J18" s="1711"/>
      <c r="K18" s="331"/>
      <c r="L18" s="90"/>
      <c r="M18" s="90"/>
      <c r="N18" s="90"/>
      <c r="O18" s="90"/>
      <c r="P18" s="90"/>
    </row>
    <row r="19" spans="1:16" ht="12.75" x14ac:dyDescent="0.2">
      <c r="A19" s="162" t="s">
        <v>1444</v>
      </c>
      <c r="B19" s="331">
        <f>10^-6</f>
        <v>9.9999999999999995E-7</v>
      </c>
      <c r="C19" s="216" t="s">
        <v>1766</v>
      </c>
      <c r="D19" s="216"/>
      <c r="F19" s="1816"/>
      <c r="G19" s="1817"/>
      <c r="H19" s="1817"/>
      <c r="I19" s="1817"/>
      <c r="J19" s="90"/>
      <c r="K19" s="90"/>
      <c r="L19" s="90"/>
      <c r="M19" s="90"/>
      <c r="N19" s="90"/>
      <c r="O19" s="90"/>
      <c r="P19" s="90"/>
    </row>
    <row r="20" spans="1:16" ht="12.75" x14ac:dyDescent="0.2">
      <c r="A20" s="162" t="s">
        <v>1445</v>
      </c>
      <c r="B20" s="331">
        <f>6.3*10^-4</f>
        <v>6.3000000000000003E-4</v>
      </c>
      <c r="C20" s="216" t="s">
        <v>1446</v>
      </c>
      <c r="D20" s="216"/>
      <c r="F20" s="1812"/>
      <c r="G20" s="1813"/>
      <c r="H20" s="1813"/>
      <c r="I20" s="1813"/>
      <c r="J20" s="1494"/>
      <c r="K20" s="90"/>
      <c r="L20" s="90"/>
      <c r="M20" s="90"/>
      <c r="N20" s="90"/>
      <c r="O20" s="90"/>
      <c r="P20" s="90"/>
    </row>
    <row r="21" spans="1:16" ht="12.75" x14ac:dyDescent="0.2">
      <c r="A21" s="162" t="s">
        <v>1448</v>
      </c>
      <c r="B21" s="331">
        <f>10^-3</f>
        <v>1E-3</v>
      </c>
      <c r="C21" s="216" t="s">
        <v>1449</v>
      </c>
      <c r="D21" s="216"/>
      <c r="F21" s="1812"/>
      <c r="G21" s="1813"/>
      <c r="H21" s="1813"/>
      <c r="I21" s="1813"/>
      <c r="J21" s="1319"/>
      <c r="K21" s="331"/>
      <c r="L21" s="90"/>
      <c r="M21" s="90"/>
      <c r="N21" s="90"/>
      <c r="O21" s="90"/>
      <c r="P21" s="90"/>
    </row>
    <row r="22" spans="1:16" ht="12.75" x14ac:dyDescent="0.2">
      <c r="A22" s="162" t="s">
        <v>1450</v>
      </c>
      <c r="B22" s="331">
        <f>GWPN2O</f>
        <v>310</v>
      </c>
      <c r="C22" s="216" t="s">
        <v>1451</v>
      </c>
      <c r="D22" s="216"/>
      <c r="F22" s="1812"/>
      <c r="G22" s="1813"/>
      <c r="H22" s="1813"/>
      <c r="I22" s="1813"/>
      <c r="J22" s="1319"/>
      <c r="K22" s="331"/>
      <c r="L22" s="90"/>
      <c r="M22" s="90"/>
      <c r="N22" s="90"/>
      <c r="O22" s="90"/>
      <c r="P22" s="90"/>
    </row>
    <row r="23" spans="1:16" ht="13.5" x14ac:dyDescent="0.2">
      <c r="A23" s="1289" t="s">
        <v>1772</v>
      </c>
      <c r="B23" s="1488">
        <f>B9*thermTOBtu*B19*B20*B21*B22</f>
        <v>1.05325975503</v>
      </c>
      <c r="C23" s="331" t="s">
        <v>119</v>
      </c>
      <c r="F23" s="1812"/>
      <c r="G23" s="1813"/>
      <c r="H23" s="1813"/>
      <c r="I23" s="1813"/>
      <c r="J23" s="1494"/>
      <c r="K23" s="331"/>
      <c r="L23" s="90"/>
      <c r="M23" s="90"/>
      <c r="N23" s="90"/>
      <c r="O23" s="90"/>
      <c r="P23" s="90"/>
    </row>
    <row r="24" spans="1:16" ht="13.5" x14ac:dyDescent="0.2">
      <c r="A24" s="1313" t="s">
        <v>1770</v>
      </c>
      <c r="B24" s="1309"/>
      <c r="C24" s="1310"/>
      <c r="D24" s="1311"/>
      <c r="E24" s="1312"/>
      <c r="F24" s="90"/>
      <c r="G24" s="90"/>
      <c r="H24" s="90"/>
      <c r="I24" s="66"/>
      <c r="J24" s="90"/>
      <c r="K24" s="90"/>
      <c r="L24" s="90"/>
      <c r="M24" s="90"/>
      <c r="N24" s="90"/>
      <c r="O24" s="90"/>
      <c r="P24" s="90"/>
    </row>
    <row r="25" spans="1:16" x14ac:dyDescent="0.2">
      <c r="A25" s="245" t="s">
        <v>1163</v>
      </c>
      <c r="B25" s="90">
        <v>226000</v>
      </c>
      <c r="C25" t="s">
        <v>167</v>
      </c>
      <c r="D25" s="132" t="s">
        <v>1823</v>
      </c>
      <c r="E25" s="327"/>
      <c r="F25" s="90"/>
      <c r="G25" s="90"/>
      <c r="H25" s="90"/>
      <c r="I25" s="66"/>
      <c r="J25" s="90"/>
      <c r="K25" s="90"/>
      <c r="L25" s="90"/>
      <c r="M25" s="90"/>
      <c r="N25" s="90"/>
      <c r="O25" s="90"/>
      <c r="P25" s="90"/>
    </row>
    <row r="26" spans="1:16" x14ac:dyDescent="0.2">
      <c r="A26" s="647" t="s">
        <v>1514</v>
      </c>
      <c r="B26" s="1710">
        <v>8.8999999999999996E-2</v>
      </c>
      <c r="C26" s="331"/>
      <c r="D26" s="132" t="s">
        <v>1824</v>
      </c>
      <c r="E26" s="327"/>
      <c r="I26" s="5"/>
    </row>
    <row r="27" spans="1:16" s="90" customFormat="1" x14ac:dyDescent="0.2">
      <c r="A27" s="1647" t="s">
        <v>1543</v>
      </c>
      <c r="B27" s="1491">
        <f>B25*B26</f>
        <v>20114</v>
      </c>
      <c r="C27" t="s">
        <v>167</v>
      </c>
      <c r="D27" s="216"/>
      <c r="E27" s="327"/>
      <c r="F27"/>
      <c r="G27"/>
      <c r="H27"/>
      <c r="I27" s="5"/>
      <c r="J27"/>
      <c r="K27"/>
      <c r="L27"/>
      <c r="M27"/>
      <c r="N27"/>
      <c r="O27"/>
      <c r="P27"/>
    </row>
    <row r="28" spans="1:16" s="90" customFormat="1" x14ac:dyDescent="0.2">
      <c r="A28" s="1127" t="s">
        <v>82</v>
      </c>
      <c r="D28" s="216"/>
      <c r="E28" s="327"/>
      <c r="F28"/>
      <c r="G28"/>
      <c r="H28"/>
      <c r="I28" s="5"/>
      <c r="J28"/>
      <c r="K28"/>
      <c r="L28"/>
      <c r="M28"/>
      <c r="N28"/>
      <c r="O28"/>
      <c r="P28"/>
    </row>
    <row r="29" spans="1:16" x14ac:dyDescent="0.2">
      <c r="A29" s="1289" t="s">
        <v>1453</v>
      </c>
      <c r="D29" s="216"/>
      <c r="E29" s="327"/>
      <c r="I29" s="5"/>
    </row>
    <row r="30" spans="1:16" x14ac:dyDescent="0.2">
      <c r="A30" s="1647" t="s">
        <v>1454</v>
      </c>
      <c r="B30" s="1491">
        <v>1.25</v>
      </c>
      <c r="C30" s="720"/>
      <c r="D30" s="216"/>
      <c r="E30" s="327"/>
      <c r="I30" s="5"/>
    </row>
    <row r="31" spans="1:16" x14ac:dyDescent="0.2">
      <c r="A31" s="1647" t="s">
        <v>1455</v>
      </c>
      <c r="B31" s="1491">
        <v>3.2</v>
      </c>
      <c r="C31" s="720" t="s">
        <v>1456</v>
      </c>
      <c r="D31" s="216"/>
      <c r="E31" s="327"/>
      <c r="I31" s="5"/>
    </row>
    <row r="32" spans="1:16" x14ac:dyDescent="0.2">
      <c r="A32" s="1647" t="s">
        <v>1457</v>
      </c>
      <c r="B32" s="1491">
        <f>10^-6</f>
        <v>9.9999999999999995E-7</v>
      </c>
      <c r="C32" s="720" t="s">
        <v>1458</v>
      </c>
      <c r="D32" s="216"/>
      <c r="E32" s="327"/>
      <c r="I32" s="5"/>
    </row>
    <row r="33" spans="1:9" x14ac:dyDescent="0.2">
      <c r="A33" s="1647" t="s">
        <v>1452</v>
      </c>
      <c r="B33" s="1491">
        <f>GWPN2O</f>
        <v>310</v>
      </c>
      <c r="C33" s="216" t="s">
        <v>1451</v>
      </c>
      <c r="D33" s="216"/>
      <c r="E33" s="327"/>
      <c r="I33" s="5"/>
    </row>
    <row r="34" spans="1:9" ht="13.5" x14ac:dyDescent="0.2">
      <c r="A34" s="1289" t="s">
        <v>1772</v>
      </c>
      <c r="B34" s="1492">
        <f>B27*B30*B31*B32*B33</f>
        <v>24.94136</v>
      </c>
      <c r="C34" s="331" t="s">
        <v>119</v>
      </c>
      <c r="D34" s="216"/>
      <c r="E34" s="327"/>
      <c r="I34" s="5"/>
    </row>
    <row r="35" spans="1:9" ht="13.5" x14ac:dyDescent="0.2">
      <c r="A35" s="1313" t="s">
        <v>1771</v>
      </c>
      <c r="B35" s="1310"/>
      <c r="C35" s="1311"/>
      <c r="D35" s="1311"/>
      <c r="E35" s="1312"/>
      <c r="I35" s="5"/>
    </row>
    <row r="36" spans="1:9" x14ac:dyDescent="0.2">
      <c r="A36" s="245" t="s">
        <v>1163</v>
      </c>
      <c r="B36" s="331"/>
      <c r="C36" s="216"/>
      <c r="D36" s="216"/>
      <c r="E36" s="327"/>
      <c r="I36" s="5"/>
    </row>
    <row r="37" spans="1:9" ht="12.75" x14ac:dyDescent="0.2">
      <c r="A37" s="1493" t="s">
        <v>1459</v>
      </c>
      <c r="B37" s="1494"/>
      <c r="C37"/>
      <c r="D37" s="216"/>
      <c r="E37" s="327"/>
      <c r="I37" s="5"/>
    </row>
    <row r="38" spans="1:9" ht="12.75" x14ac:dyDescent="0.2">
      <c r="A38" s="1714" t="s">
        <v>1460</v>
      </c>
      <c r="B38" s="1494">
        <v>1.25</v>
      </c>
      <c r="C38"/>
      <c r="D38" s="216"/>
      <c r="E38" s="327"/>
      <c r="I38" s="5"/>
    </row>
    <row r="39" spans="1:9" ht="12.75" x14ac:dyDescent="0.2">
      <c r="A39" s="1714" t="s">
        <v>1461</v>
      </c>
      <c r="B39" s="1319">
        <v>2.5999999999999999E-2</v>
      </c>
      <c r="C39" s="331" t="s">
        <v>1462</v>
      </c>
      <c r="D39" s="216"/>
      <c r="E39" s="327"/>
      <c r="I39" s="5"/>
    </row>
    <row r="40" spans="1:9" ht="12.75" x14ac:dyDescent="0.2">
      <c r="A40" s="1714" t="s">
        <v>1463</v>
      </c>
      <c r="B40" s="1319">
        <v>5.0000000000000001E-3</v>
      </c>
      <c r="C40" s="331" t="s">
        <v>1464</v>
      </c>
      <c r="D40" s="216"/>
      <c r="E40" s="327"/>
      <c r="I40" s="5"/>
    </row>
    <row r="41" spans="1:9" ht="12.75" x14ac:dyDescent="0.2">
      <c r="A41" s="1714" t="s">
        <v>1465</v>
      </c>
      <c r="B41" s="1494">
        <v>0.09</v>
      </c>
      <c r="C41" s="331" t="s">
        <v>1462</v>
      </c>
      <c r="D41" s="216"/>
      <c r="E41" s="327"/>
      <c r="I41" s="5"/>
    </row>
    <row r="42" spans="1:9" ht="15.75" x14ac:dyDescent="0.3">
      <c r="A42" s="1714" t="s">
        <v>1466</v>
      </c>
      <c r="B42" s="1495">
        <v>2.5000000000000001E-3</v>
      </c>
      <c r="C42" s="331" t="s">
        <v>1467</v>
      </c>
      <c r="D42" s="216"/>
      <c r="E42" s="327"/>
      <c r="I42" s="5"/>
    </row>
    <row r="43" spans="1:9" ht="15.75" x14ac:dyDescent="0.3">
      <c r="A43" s="1714" t="s">
        <v>1468</v>
      </c>
      <c r="B43" s="1494">
        <v>1.57</v>
      </c>
      <c r="C43" s="331"/>
      <c r="D43" s="216"/>
      <c r="E43" s="327"/>
      <c r="I43" s="5"/>
    </row>
    <row r="44" spans="1:9" ht="12.75" x14ac:dyDescent="0.2">
      <c r="A44" s="1714" t="s">
        <v>1469</v>
      </c>
      <c r="B44" s="1357">
        <v>0</v>
      </c>
      <c r="C44" s="331"/>
      <c r="D44" s="216"/>
      <c r="E44" s="327"/>
      <c r="I44" s="5"/>
    </row>
    <row r="45" spans="1:9" ht="12.75" x14ac:dyDescent="0.2">
      <c r="A45" s="1714" t="s">
        <v>1470</v>
      </c>
      <c r="B45" s="1494">
        <v>365.25</v>
      </c>
      <c r="C45" s="331" t="s">
        <v>773</v>
      </c>
      <c r="D45" s="216"/>
      <c r="E45" s="327"/>
      <c r="I45" s="5"/>
    </row>
    <row r="46" spans="1:9" ht="12.75" x14ac:dyDescent="0.2">
      <c r="A46" s="1714" t="s">
        <v>1471</v>
      </c>
      <c r="B46" s="1496">
        <f>10^-3</f>
        <v>1E-3</v>
      </c>
      <c r="C46" s="331" t="s">
        <v>1472</v>
      </c>
      <c r="E46" s="327"/>
      <c r="I46" s="5"/>
    </row>
    <row r="47" spans="1:9" ht="15.75" x14ac:dyDescent="0.3">
      <c r="A47" s="1714" t="s">
        <v>1473</v>
      </c>
      <c r="B47" s="852">
        <f>GWPN2O</f>
        <v>310</v>
      </c>
      <c r="C47" s="216" t="s">
        <v>1768</v>
      </c>
      <c r="D47" s="132"/>
      <c r="E47" s="327"/>
      <c r="I47" s="5"/>
    </row>
    <row r="48" spans="1:9" ht="13.5" x14ac:dyDescent="0.2">
      <c r="A48" s="1289" t="s">
        <v>1772</v>
      </c>
      <c r="B48" s="1135">
        <f>B27*B38*(B39-B40*B41)*B42*B43*(1-B44)*B45*B46*B47</f>
        <v>285.49002773632037</v>
      </c>
      <c r="C48" s="331" t="s">
        <v>119</v>
      </c>
      <c r="D48" s="216"/>
      <c r="E48" s="327"/>
      <c r="I48" s="5"/>
    </row>
    <row r="49" spans="1:16" x14ac:dyDescent="0.2">
      <c r="A49" s="245"/>
      <c r="B49" s="1491"/>
      <c r="C49" s="720"/>
      <c r="D49" s="216"/>
      <c r="E49" s="327"/>
      <c r="I49" s="5"/>
    </row>
    <row r="50" spans="1:16" ht="13.5" x14ac:dyDescent="0.2">
      <c r="A50" s="1202" t="s">
        <v>1794</v>
      </c>
      <c r="B50" s="1715">
        <f>SUM(B48,B34,B15)</f>
        <v>310.79379969504032</v>
      </c>
      <c r="C50" s="1237" t="s">
        <v>128</v>
      </c>
      <c r="D50" s="1239"/>
      <c r="E50" s="1716"/>
      <c r="I50" s="5"/>
    </row>
    <row r="51" spans="1:16" x14ac:dyDescent="0.2">
      <c r="A51" s="1725" t="s">
        <v>1775</v>
      </c>
      <c r="B51" s="1726"/>
      <c r="C51" s="1727"/>
      <c r="D51" s="1728"/>
      <c r="E51" s="1729"/>
      <c r="I51" s="5"/>
    </row>
    <row r="52" spans="1:16" x14ac:dyDescent="0.2">
      <c r="A52" s="1717" t="s">
        <v>1486</v>
      </c>
      <c r="B52" s="1230"/>
      <c r="C52" s="1230"/>
      <c r="D52" s="1311"/>
      <c r="E52" s="1312"/>
      <c r="I52" s="5"/>
    </row>
    <row r="53" spans="1:16" ht="12" customHeight="1" x14ac:dyDescent="0.2">
      <c r="A53" s="1289" t="s">
        <v>1487</v>
      </c>
      <c r="B53" s="211">
        <v>78000</v>
      </c>
      <c r="C53" s="5" t="s">
        <v>167</v>
      </c>
      <c r="D53" s="216" t="s">
        <v>1821</v>
      </c>
      <c r="E53" s="300" t="s">
        <v>1860</v>
      </c>
      <c r="I53" s="5"/>
    </row>
    <row r="54" spans="1:16" ht="12" customHeight="1" x14ac:dyDescent="0.2">
      <c r="A54" s="1289" t="s">
        <v>1488</v>
      </c>
      <c r="B54" s="90">
        <v>2.37</v>
      </c>
      <c r="C54" s="90" t="s">
        <v>167</v>
      </c>
      <c r="D54" s="216" t="s">
        <v>1736</v>
      </c>
      <c r="E54" s="327" t="s">
        <v>1822</v>
      </c>
      <c r="I54" s="5"/>
    </row>
    <row r="55" spans="1:16" ht="12" customHeight="1" x14ac:dyDescent="0.2">
      <c r="A55" s="1289"/>
      <c r="B55"/>
      <c r="C55"/>
      <c r="D55" s="216"/>
      <c r="E55" s="327"/>
      <c r="I55" s="5"/>
    </row>
    <row r="56" spans="1:16" ht="12" customHeight="1" x14ac:dyDescent="0.2">
      <c r="A56" s="1289" t="s">
        <v>1493</v>
      </c>
      <c r="B56">
        <v>0.09</v>
      </c>
      <c r="C56" t="s">
        <v>1489</v>
      </c>
      <c r="D56" s="216"/>
      <c r="E56" s="327" t="s">
        <v>1494</v>
      </c>
      <c r="I56" s="5"/>
    </row>
    <row r="57" spans="1:16" s="90" customFormat="1" ht="13.5" x14ac:dyDescent="0.2">
      <c r="A57" s="1289" t="s">
        <v>1492</v>
      </c>
      <c r="B57">
        <v>0.6</v>
      </c>
      <c r="C57" t="s">
        <v>1490</v>
      </c>
      <c r="D57" s="216"/>
      <c r="E57" s="327" t="s">
        <v>1494</v>
      </c>
      <c r="F57"/>
      <c r="G57"/>
      <c r="H57"/>
      <c r="I57" s="5"/>
      <c r="J57"/>
      <c r="K57"/>
      <c r="L57"/>
      <c r="M57"/>
      <c r="N57"/>
      <c r="O57"/>
      <c r="P57"/>
    </row>
    <row r="58" spans="1:16" s="90" customFormat="1" x14ac:dyDescent="0.2">
      <c r="A58" s="1289" t="s">
        <v>1491</v>
      </c>
      <c r="B58">
        <v>0.22</v>
      </c>
      <c r="C58"/>
      <c r="D58" s="216"/>
      <c r="E58" s="327" t="s">
        <v>1494</v>
      </c>
      <c r="F58"/>
      <c r="G58"/>
      <c r="H58"/>
      <c r="I58" s="5"/>
      <c r="J58"/>
      <c r="K58"/>
      <c r="L58"/>
      <c r="M58"/>
      <c r="N58"/>
      <c r="O58"/>
      <c r="P58"/>
    </row>
    <row r="59" spans="1:16" x14ac:dyDescent="0.2">
      <c r="A59" s="1289" t="s">
        <v>1447</v>
      </c>
      <c r="B59">
        <v>365.25</v>
      </c>
      <c r="C59" t="s">
        <v>773</v>
      </c>
      <c r="D59" s="216"/>
      <c r="E59" s="327"/>
      <c r="I59" s="5"/>
      <c r="L59" s="188"/>
      <c r="M59" s="188"/>
      <c r="N59" s="188"/>
    </row>
    <row r="60" spans="1:16" x14ac:dyDescent="0.2">
      <c r="A60" s="245"/>
      <c r="B60"/>
      <c r="C60"/>
      <c r="D60" s="216"/>
      <c r="E60" s="327"/>
      <c r="I60" s="5"/>
      <c r="L60" s="188"/>
      <c r="M60" s="188"/>
      <c r="N60" s="188"/>
    </row>
    <row r="61" spans="1:16" ht="13.5" x14ac:dyDescent="0.2">
      <c r="A61" s="1718" t="s">
        <v>1773</v>
      </c>
      <c r="B61" s="1719">
        <f>B53*B54*B56*B57*B58*B59*10^-3*GWPCH4</f>
        <v>16844.918290199999</v>
      </c>
      <c r="C61" s="1237" t="s">
        <v>128</v>
      </c>
      <c r="D61" s="1239"/>
      <c r="E61" s="1716"/>
      <c r="I61" s="5"/>
      <c r="L61" s="188"/>
      <c r="M61" s="188"/>
      <c r="N61" s="188"/>
    </row>
    <row r="62" spans="1:16" x14ac:dyDescent="0.2">
      <c r="A62" s="1725" t="s">
        <v>1774</v>
      </c>
      <c r="B62" s="1730"/>
      <c r="C62" s="1731"/>
      <c r="D62" s="1723"/>
      <c r="E62" s="1724"/>
      <c r="I62" s="5"/>
      <c r="L62" s="188"/>
      <c r="M62" s="188"/>
      <c r="N62" s="188"/>
    </row>
    <row r="63" spans="1:16" x14ac:dyDescent="0.2">
      <c r="A63" s="1733" t="s">
        <v>1792</v>
      </c>
      <c r="B63" s="1309"/>
      <c r="C63" s="1310"/>
      <c r="D63" s="1311"/>
      <c r="E63" s="1312"/>
      <c r="I63" s="5"/>
      <c r="L63" s="188"/>
      <c r="M63" s="188"/>
      <c r="N63" s="188"/>
    </row>
    <row r="64" spans="1:16" ht="12.75" x14ac:dyDescent="0.2">
      <c r="A64" s="1493" t="s">
        <v>1777</v>
      </c>
      <c r="B64" s="852"/>
      <c r="C64" s="331"/>
      <c r="D64" s="216"/>
      <c r="E64" s="327"/>
      <c r="I64" s="5"/>
      <c r="L64" s="188"/>
      <c r="M64" s="188"/>
      <c r="N64" s="188"/>
    </row>
    <row r="65" spans="1:14" x14ac:dyDescent="0.2">
      <c r="A65" s="1647" t="s">
        <v>1784</v>
      </c>
      <c r="B65" s="1135">
        <f>2234*B54+243*4*B54</f>
        <v>7598.22</v>
      </c>
      <c r="C65" s="331" t="s">
        <v>167</v>
      </c>
      <c r="D65" s="216" t="s">
        <v>1827</v>
      </c>
      <c r="E65" s="327"/>
      <c r="I65" s="5"/>
      <c r="L65" s="188"/>
      <c r="M65" s="188"/>
      <c r="N65" s="188"/>
    </row>
    <row r="66" spans="1:14" x14ac:dyDescent="0.2">
      <c r="A66" s="1647" t="s">
        <v>1785</v>
      </c>
      <c r="B66" s="1135">
        <v>4800</v>
      </c>
      <c r="C66" s="331" t="s">
        <v>167</v>
      </c>
      <c r="D66" s="216" t="s">
        <v>1825</v>
      </c>
      <c r="E66" s="327"/>
      <c r="I66" s="5"/>
      <c r="L66" s="188"/>
      <c r="M66" s="188"/>
      <c r="N66" s="188"/>
    </row>
    <row r="67" spans="1:14" x14ac:dyDescent="0.2">
      <c r="A67" s="1647" t="s">
        <v>1786</v>
      </c>
      <c r="B67" s="1135">
        <v>17000</v>
      </c>
      <c r="C67" s="331" t="s">
        <v>167</v>
      </c>
      <c r="D67" s="216" t="s">
        <v>1826</v>
      </c>
      <c r="E67" s="327"/>
      <c r="I67" s="5"/>
      <c r="L67" s="188"/>
      <c r="M67" s="188"/>
      <c r="N67" s="188"/>
    </row>
    <row r="68" spans="1:14" x14ac:dyDescent="0.2">
      <c r="A68" s="1647" t="s">
        <v>1787</v>
      </c>
      <c r="B68" s="1135">
        <v>25000</v>
      </c>
      <c r="C68" s="331" t="s">
        <v>167</v>
      </c>
      <c r="D68" s="216" t="s">
        <v>1828</v>
      </c>
      <c r="E68" s="327"/>
      <c r="I68" s="5"/>
      <c r="L68" s="188"/>
      <c r="M68" s="188"/>
      <c r="N68" s="188"/>
    </row>
    <row r="69" spans="1:14" x14ac:dyDescent="0.2">
      <c r="A69" s="1647" t="s">
        <v>1818</v>
      </c>
      <c r="B69" s="1135">
        <v>80000</v>
      </c>
      <c r="C69" s="331" t="s">
        <v>167</v>
      </c>
      <c r="D69" s="216" t="s">
        <v>1552</v>
      </c>
      <c r="E69" s="327"/>
      <c r="I69" s="5"/>
      <c r="L69" s="188"/>
      <c r="M69" s="188"/>
      <c r="N69" s="188"/>
    </row>
    <row r="70" spans="1:14" x14ac:dyDescent="0.2">
      <c r="A70" s="1647" t="s">
        <v>1819</v>
      </c>
      <c r="B70" s="1135">
        <v>4800</v>
      </c>
      <c r="C70" s="331" t="s">
        <v>167</v>
      </c>
      <c r="D70" s="216" t="s">
        <v>1830</v>
      </c>
      <c r="E70" s="327"/>
      <c r="I70" s="5"/>
      <c r="L70" s="188"/>
      <c r="M70" s="188"/>
      <c r="N70" s="188"/>
    </row>
    <row r="71" spans="1:14" x14ac:dyDescent="0.2">
      <c r="A71" s="1647"/>
      <c r="B71" s="852"/>
      <c r="C71" s="331"/>
      <c r="D71" s="216"/>
      <c r="E71" s="327"/>
      <c r="I71" s="5"/>
      <c r="L71" s="188"/>
      <c r="M71" s="188"/>
      <c r="N71" s="188"/>
    </row>
    <row r="72" spans="1:14" x14ac:dyDescent="0.2">
      <c r="A72" s="1647" t="s">
        <v>1778</v>
      </c>
      <c r="B72" s="90">
        <v>1.25</v>
      </c>
      <c r="C72" s="90" t="s">
        <v>1781</v>
      </c>
      <c r="E72" s="327"/>
      <c r="I72" s="5"/>
      <c r="L72" s="90"/>
      <c r="M72" s="90"/>
      <c r="N72" s="90"/>
    </row>
    <row r="73" spans="1:14" ht="13.5" x14ac:dyDescent="0.2">
      <c r="A73" s="1647" t="s">
        <v>1779</v>
      </c>
      <c r="B73" s="1732">
        <v>7</v>
      </c>
      <c r="C73" s="331" t="s">
        <v>1782</v>
      </c>
      <c r="D73" s="132"/>
      <c r="E73" s="327"/>
      <c r="I73" s="5"/>
      <c r="L73" s="64"/>
      <c r="M73" s="64"/>
      <c r="N73" s="64"/>
    </row>
    <row r="74" spans="1:14" x14ac:dyDescent="0.2">
      <c r="A74" s="1647" t="s">
        <v>1780</v>
      </c>
      <c r="B74" s="1712">
        <f>10^-6</f>
        <v>9.9999999999999995E-7</v>
      </c>
      <c r="C74" s="331" t="s">
        <v>1783</v>
      </c>
      <c r="D74" s="216"/>
      <c r="E74" s="327"/>
      <c r="I74" s="5"/>
      <c r="L74" s="64"/>
      <c r="M74" s="64"/>
      <c r="N74" s="64"/>
    </row>
    <row r="75" spans="1:14" ht="15.75" x14ac:dyDescent="0.3">
      <c r="A75" s="1714" t="s">
        <v>1473</v>
      </c>
      <c r="B75" s="1712">
        <f>GWPN2O</f>
        <v>310</v>
      </c>
      <c r="C75" s="216" t="s">
        <v>1768</v>
      </c>
      <c r="D75" s="216"/>
      <c r="E75" s="327"/>
      <c r="I75" s="5"/>
    </row>
    <row r="76" spans="1:14" x14ac:dyDescent="0.2">
      <c r="A76" s="205"/>
      <c r="B76" s="852"/>
      <c r="C76" s="331"/>
      <c r="D76" s="216"/>
      <c r="E76" s="327"/>
      <c r="I76" s="5"/>
    </row>
    <row r="77" spans="1:14" ht="13.5" x14ac:dyDescent="0.2">
      <c r="A77" s="1289" t="s">
        <v>1788</v>
      </c>
      <c r="B77" s="1135">
        <f t="shared" ref="B77:B82" si="0">B65*$B$72*$B$73*$B$74*$B$75</f>
        <v>20.610171749999999</v>
      </c>
      <c r="C77" s="331" t="s">
        <v>119</v>
      </c>
      <c r="D77" s="216"/>
      <c r="E77" s="327"/>
      <c r="I77" s="5"/>
    </row>
    <row r="78" spans="1:14" ht="13.5" x14ac:dyDescent="0.2">
      <c r="A78" s="1289" t="s">
        <v>1789</v>
      </c>
      <c r="B78" s="1135">
        <f t="shared" si="0"/>
        <v>13.019999999999998</v>
      </c>
      <c r="C78" s="331" t="s">
        <v>119</v>
      </c>
      <c r="D78" s="216"/>
      <c r="E78" s="327"/>
      <c r="I78" s="5"/>
    </row>
    <row r="79" spans="1:14" ht="13.5" x14ac:dyDescent="0.2">
      <c r="A79" s="1289" t="s">
        <v>1790</v>
      </c>
      <c r="B79" s="1135">
        <f t="shared" si="0"/>
        <v>46.112499999999997</v>
      </c>
      <c r="C79" s="331" t="s">
        <v>119</v>
      </c>
      <c r="D79" s="216"/>
      <c r="E79" s="327"/>
      <c r="I79" s="5"/>
    </row>
    <row r="80" spans="1:14" ht="13.5" x14ac:dyDescent="0.2">
      <c r="A80" s="1289" t="s">
        <v>1791</v>
      </c>
      <c r="B80" s="1135">
        <f t="shared" si="0"/>
        <v>67.8125</v>
      </c>
      <c r="C80" s="331" t="s">
        <v>119</v>
      </c>
      <c r="D80" s="216"/>
      <c r="E80" s="327"/>
      <c r="I80" s="5"/>
    </row>
    <row r="81" spans="1:11" ht="13.5" x14ac:dyDescent="0.2">
      <c r="A81" s="1289" t="s">
        <v>1816</v>
      </c>
      <c r="B81" s="1135">
        <f t="shared" si="0"/>
        <v>217</v>
      </c>
      <c r="C81" s="331" t="s">
        <v>119</v>
      </c>
      <c r="D81" s="216"/>
      <c r="E81" s="327"/>
      <c r="I81" s="5"/>
    </row>
    <row r="82" spans="1:11" ht="13.5" x14ac:dyDescent="0.2">
      <c r="A82" s="1289" t="s">
        <v>1817</v>
      </c>
      <c r="B82" s="1135">
        <f t="shared" si="0"/>
        <v>13.019999999999998</v>
      </c>
      <c r="C82" s="331" t="s">
        <v>119</v>
      </c>
      <c r="D82" s="216"/>
      <c r="E82" s="327"/>
      <c r="I82" s="5"/>
    </row>
    <row r="83" spans="1:11" ht="13.5" x14ac:dyDescent="0.2">
      <c r="A83" s="1313" t="s">
        <v>1771</v>
      </c>
      <c r="B83" s="1310"/>
      <c r="C83" s="1311"/>
      <c r="D83" s="1311"/>
      <c r="E83" s="1312"/>
      <c r="I83" s="5"/>
    </row>
    <row r="84" spans="1:11" ht="12.75" x14ac:dyDescent="0.2">
      <c r="A84" s="1493" t="s">
        <v>1459</v>
      </c>
      <c r="B84" s="1494"/>
      <c r="C84"/>
      <c r="D84" s="216"/>
      <c r="E84" s="327"/>
      <c r="I84" s="5"/>
    </row>
    <row r="85" spans="1:11" ht="12.75" x14ac:dyDescent="0.2">
      <c r="A85" s="1714" t="s">
        <v>1460</v>
      </c>
      <c r="B85" s="1494">
        <v>1.25</v>
      </c>
      <c r="C85"/>
      <c r="D85" s="216"/>
      <c r="E85" s="327"/>
      <c r="I85" s="5"/>
    </row>
    <row r="86" spans="1:11" ht="12.75" x14ac:dyDescent="0.2">
      <c r="A86" s="1714" t="s">
        <v>1461</v>
      </c>
      <c r="B86" s="1319">
        <v>2.5999999999999999E-2</v>
      </c>
      <c r="C86" s="331" t="s">
        <v>1462</v>
      </c>
      <c r="D86" s="216"/>
      <c r="E86" s="327"/>
      <c r="I86" s="5"/>
    </row>
    <row r="87" spans="1:11" ht="12.75" x14ac:dyDescent="0.2">
      <c r="A87" s="1714" t="s">
        <v>1463</v>
      </c>
      <c r="B87" s="1319">
        <v>5.0000000000000001E-3</v>
      </c>
      <c r="C87" s="331" t="s">
        <v>1464</v>
      </c>
      <c r="D87" s="216"/>
      <c r="E87" s="327"/>
      <c r="I87" s="5"/>
    </row>
    <row r="88" spans="1:11" s="90" customFormat="1" ht="12.75" x14ac:dyDescent="0.2">
      <c r="A88" s="1714" t="s">
        <v>1465</v>
      </c>
      <c r="B88" s="1494">
        <v>0.09</v>
      </c>
      <c r="C88" s="331" t="s">
        <v>1462</v>
      </c>
      <c r="D88" s="216"/>
      <c r="E88" s="327"/>
      <c r="F88"/>
      <c r="G88"/>
      <c r="H88"/>
      <c r="I88" s="5"/>
      <c r="J88"/>
      <c r="K88"/>
    </row>
    <row r="89" spans="1:11" ht="15.75" x14ac:dyDescent="0.3">
      <c r="A89" s="1714" t="s">
        <v>1466</v>
      </c>
      <c r="B89" s="1495">
        <v>2.5000000000000001E-3</v>
      </c>
      <c r="C89" s="331" t="s">
        <v>1467</v>
      </c>
      <c r="D89" s="216"/>
      <c r="E89" s="327"/>
      <c r="I89" s="5"/>
    </row>
    <row r="90" spans="1:11" ht="15.75" x14ac:dyDescent="0.3">
      <c r="A90" s="1714" t="s">
        <v>1468</v>
      </c>
      <c r="B90" s="1494">
        <v>1.57</v>
      </c>
      <c r="C90" s="331"/>
      <c r="D90" s="216"/>
      <c r="E90" s="327"/>
      <c r="I90" s="5"/>
    </row>
    <row r="91" spans="1:11" ht="12.75" x14ac:dyDescent="0.2">
      <c r="A91" s="1714" t="s">
        <v>1469</v>
      </c>
      <c r="B91" s="1357">
        <v>0</v>
      </c>
      <c r="C91" s="331"/>
      <c r="D91" s="216"/>
      <c r="E91" s="327"/>
      <c r="I91" s="5"/>
    </row>
    <row r="92" spans="1:11" ht="12.75" x14ac:dyDescent="0.2">
      <c r="A92" s="1714" t="s">
        <v>1470</v>
      </c>
      <c r="B92" s="1494">
        <v>365.25</v>
      </c>
      <c r="C92" s="331" t="s">
        <v>773</v>
      </c>
      <c r="D92" s="216"/>
      <c r="E92" s="327"/>
      <c r="I92" s="5"/>
    </row>
    <row r="93" spans="1:11" ht="12.75" x14ac:dyDescent="0.2">
      <c r="A93" s="1714" t="s">
        <v>1471</v>
      </c>
      <c r="B93" s="1496">
        <f>10^-3</f>
        <v>1E-3</v>
      </c>
      <c r="C93" s="331" t="s">
        <v>1472</v>
      </c>
      <c r="E93" s="327"/>
      <c r="I93" s="5"/>
    </row>
    <row r="94" spans="1:11" ht="15.75" x14ac:dyDescent="0.3">
      <c r="A94" s="1714" t="s">
        <v>1473</v>
      </c>
      <c r="B94" s="852">
        <f>GWPN2O</f>
        <v>310</v>
      </c>
      <c r="C94" s="216" t="s">
        <v>1768</v>
      </c>
      <c r="D94" s="132"/>
      <c r="E94" s="327"/>
      <c r="I94" s="5"/>
    </row>
    <row r="95" spans="1:11" x14ac:dyDescent="0.2">
      <c r="A95" s="245"/>
      <c r="B95" s="1491"/>
      <c r="C95" s="720"/>
      <c r="D95" s="216"/>
      <c r="E95" s="327"/>
      <c r="I95" s="5"/>
    </row>
    <row r="96" spans="1:11" ht="13.5" x14ac:dyDescent="0.2">
      <c r="A96" s="1289" t="s">
        <v>1788</v>
      </c>
      <c r="B96" s="1135">
        <f>B65*$B$85*($B$86-$B$87*$B$88)*$B$89*$B$90*(1-$B$91)*$B$92*$B$93*$B$94</f>
        <v>107.84607927546305</v>
      </c>
      <c r="C96" s="331" t="s">
        <v>119</v>
      </c>
      <c r="D96" s="216"/>
      <c r="E96" s="327"/>
      <c r="I96" s="5"/>
    </row>
    <row r="97" spans="1:10" ht="13.5" x14ac:dyDescent="0.2">
      <c r="A97" s="1289" t="s">
        <v>1789</v>
      </c>
      <c r="B97" s="1135">
        <f>B66*$B$85*($B$86-$B$87*$B$88)*$B$89*$B$90*(1-$B$91)*$B$92*$B$93*$B$94</f>
        <v>68.129269818750004</v>
      </c>
      <c r="C97" s="331" t="s">
        <v>119</v>
      </c>
      <c r="D97" s="216"/>
      <c r="E97" s="327"/>
      <c r="I97" s="5"/>
    </row>
    <row r="98" spans="1:10" ht="13.5" x14ac:dyDescent="0.2">
      <c r="A98" s="1289" t="s">
        <v>1790</v>
      </c>
      <c r="B98" s="1135">
        <f t="shared" ref="B98:B101" si="1">B67*$B$85*($B$86-$B$87*$B$88)*$B$89*$B$90*(1-$B$91)*$B$92*$B$93*$B$94</f>
        <v>241.2911639414063</v>
      </c>
      <c r="C98" s="331" t="s">
        <v>119</v>
      </c>
      <c r="D98" s="216"/>
      <c r="E98" s="327"/>
      <c r="I98" s="5"/>
    </row>
    <row r="99" spans="1:10" ht="13.5" x14ac:dyDescent="0.2">
      <c r="A99" s="1289" t="s">
        <v>1791</v>
      </c>
      <c r="B99" s="1135">
        <f t="shared" si="1"/>
        <v>354.83994697265621</v>
      </c>
      <c r="C99" s="331" t="s">
        <v>119</v>
      </c>
      <c r="D99" s="216"/>
      <c r="E99" s="327"/>
      <c r="I99" s="5"/>
    </row>
    <row r="100" spans="1:10" ht="13.5" x14ac:dyDescent="0.2">
      <c r="A100" s="1289" t="s">
        <v>1816</v>
      </c>
      <c r="B100" s="1135">
        <f t="shared" si="1"/>
        <v>1135.4878303125001</v>
      </c>
      <c r="C100" s="331" t="s">
        <v>119</v>
      </c>
      <c r="D100" s="216"/>
      <c r="E100" s="327"/>
      <c r="I100" s="5"/>
    </row>
    <row r="101" spans="1:10" ht="13.5" x14ac:dyDescent="0.2">
      <c r="A101" s="1289" t="s">
        <v>1817</v>
      </c>
      <c r="B101" s="1135">
        <f t="shared" si="1"/>
        <v>68.129269818750004</v>
      </c>
      <c r="C101" s="331" t="s">
        <v>119</v>
      </c>
      <c r="D101" s="216"/>
      <c r="E101" s="327"/>
      <c r="I101" s="5"/>
    </row>
    <row r="102" spans="1:10" ht="13.5" x14ac:dyDescent="0.2">
      <c r="A102" s="1202" t="s">
        <v>1793</v>
      </c>
      <c r="B102" s="1715">
        <f>SUM(B77:B82,B96:B101)</f>
        <v>2353.2987318895257</v>
      </c>
      <c r="C102" s="1237" t="s">
        <v>128</v>
      </c>
      <c r="D102" s="1239"/>
      <c r="E102" s="1716"/>
      <c r="I102" s="5"/>
    </row>
    <row r="103" spans="1:10" x14ac:dyDescent="0.2">
      <c r="A103" s="1738" t="s">
        <v>1795</v>
      </c>
      <c r="B103" s="1739"/>
      <c r="C103" s="1739"/>
      <c r="D103" s="1739"/>
      <c r="E103" s="1739"/>
      <c r="F103" s="90"/>
      <c r="I103" s="5"/>
    </row>
    <row r="104" spans="1:10" x14ac:dyDescent="0.2">
      <c r="A104" s="1807" t="s">
        <v>1544</v>
      </c>
      <c r="B104" s="1808"/>
      <c r="C104" s="1808"/>
      <c r="D104" s="1808"/>
      <c r="E104" s="1230"/>
      <c r="G104" s="188"/>
      <c r="H104" s="188"/>
      <c r="I104" s="185"/>
      <c r="J104" s="188"/>
    </row>
    <row r="105" spans="1:10" x14ac:dyDescent="0.2">
      <c r="A105" s="1734" t="s">
        <v>1732</v>
      </c>
      <c r="B105" s="1534">
        <v>160000</v>
      </c>
      <c r="C105" t="s">
        <v>167</v>
      </c>
      <c r="D105" s="447" t="s">
        <v>1831</v>
      </c>
      <c r="E105" s="301" t="s">
        <v>1832</v>
      </c>
      <c r="G105" s="188"/>
      <c r="I105" s="185"/>
      <c r="J105" s="188"/>
    </row>
    <row r="106" spans="1:10" x14ac:dyDescent="0.2">
      <c r="A106" s="1735" t="s">
        <v>1733</v>
      </c>
      <c r="B106" s="1534">
        <f>14726*B54+750*B54*4+717*B54*4</f>
        <v>48807.78</v>
      </c>
      <c r="C106" t="s">
        <v>167</v>
      </c>
      <c r="D106" s="71" t="s">
        <v>1829</v>
      </c>
      <c r="E106" s="301" t="s">
        <v>1833</v>
      </c>
      <c r="G106" s="188"/>
      <c r="H106" s="188"/>
      <c r="I106" s="185"/>
      <c r="J106" s="188"/>
    </row>
    <row r="107" spans="1:10" x14ac:dyDescent="0.2">
      <c r="A107" s="1747" t="s">
        <v>1545</v>
      </c>
      <c r="B107">
        <v>1.25</v>
      </c>
      <c r="C107" t="s">
        <v>1550</v>
      </c>
      <c r="D107" s="71"/>
      <c r="G107" s="188"/>
      <c r="H107" s="188"/>
      <c r="I107" s="185"/>
      <c r="J107" s="188"/>
    </row>
    <row r="108" spans="1:10" ht="13.5" x14ac:dyDescent="0.2">
      <c r="A108" s="1747" t="s">
        <v>1546</v>
      </c>
      <c r="B108">
        <v>0.09</v>
      </c>
      <c r="C108"/>
      <c r="D108" s="71"/>
      <c r="G108" s="188"/>
      <c r="H108" s="188"/>
      <c r="I108" s="185"/>
      <c r="J108" s="188"/>
    </row>
    <row r="109" spans="1:10" ht="13.5" x14ac:dyDescent="0.2">
      <c r="A109" s="1747" t="s">
        <v>1547</v>
      </c>
      <c r="B109">
        <v>0.32500000000000001</v>
      </c>
      <c r="C109"/>
      <c r="D109" s="71"/>
      <c r="G109" s="188"/>
      <c r="H109" s="188"/>
      <c r="I109" s="185"/>
      <c r="J109" s="188"/>
    </row>
    <row r="110" spans="1:10" ht="13.5" x14ac:dyDescent="0.2">
      <c r="A110" s="1747" t="s">
        <v>1548</v>
      </c>
      <c r="B110">
        <v>0.6</v>
      </c>
      <c r="C110"/>
      <c r="D110" s="71"/>
      <c r="G110" s="188"/>
      <c r="H110" s="188"/>
      <c r="I110" s="185"/>
      <c r="J110" s="188"/>
    </row>
    <row r="111" spans="1:10" ht="13.5" x14ac:dyDescent="0.2">
      <c r="A111" s="1747" t="s">
        <v>1549</v>
      </c>
      <c r="B111">
        <v>0.8</v>
      </c>
      <c r="C111"/>
      <c r="D111" s="71"/>
      <c r="G111" s="188"/>
      <c r="H111" s="188"/>
      <c r="I111" s="185"/>
      <c r="J111" s="188"/>
    </row>
    <row r="112" spans="1:10" x14ac:dyDescent="0.2">
      <c r="A112"/>
      <c r="B112"/>
      <c r="C112"/>
      <c r="D112"/>
      <c r="G112" s="188"/>
      <c r="H112" s="188"/>
      <c r="I112" s="185"/>
      <c r="J112" s="188"/>
    </row>
    <row r="113" spans="1:11" ht="13.5" x14ac:dyDescent="0.2">
      <c r="A113" t="s">
        <v>1731</v>
      </c>
      <c r="B113" s="1489">
        <f>B105*B107*B108*(1-B109)*B110*B111*365.25*10^-3*21</f>
        <v>44732.898000000001</v>
      </c>
      <c r="C113" s="331" t="s">
        <v>119</v>
      </c>
      <c r="D113"/>
      <c r="G113" s="188"/>
      <c r="H113" s="188"/>
      <c r="I113" s="185"/>
      <c r="J113" s="188"/>
    </row>
    <row r="114" spans="1:11" ht="13.5" x14ac:dyDescent="0.2">
      <c r="A114" t="s">
        <v>1734</v>
      </c>
      <c r="B114" s="1489">
        <f>B106*B107*B108*(1-B109)*B110*B111*365.25*10^-3*21</f>
        <v>13645.709027165249</v>
      </c>
      <c r="C114" s="331" t="s">
        <v>119</v>
      </c>
      <c r="D114"/>
      <c r="G114" s="188"/>
      <c r="H114" s="188"/>
      <c r="I114" s="185"/>
      <c r="J114" s="188"/>
    </row>
    <row r="115" spans="1:11" ht="14.25" x14ac:dyDescent="0.25">
      <c r="A115" s="1736" t="s">
        <v>1551</v>
      </c>
      <c r="B115" s="1230"/>
      <c r="C115" s="1230"/>
      <c r="D115" s="1523"/>
      <c r="E115" s="1740"/>
      <c r="G115" s="64"/>
      <c r="H115" s="64"/>
      <c r="I115" s="1037"/>
      <c r="J115" s="64"/>
    </row>
    <row r="116" spans="1:11" ht="12.75" x14ac:dyDescent="0.2">
      <c r="A116" s="1737" t="s">
        <v>1460</v>
      </c>
      <c r="B116" s="1494">
        <v>1.25</v>
      </c>
      <c r="C116"/>
      <c r="D116" s="1493"/>
      <c r="I116" s="5"/>
    </row>
    <row r="117" spans="1:11" ht="12.75" x14ac:dyDescent="0.2">
      <c r="A117" s="1737" t="s">
        <v>1461</v>
      </c>
      <c r="B117" s="1319">
        <v>2.5999999999999999E-2</v>
      </c>
      <c r="C117" s="331" t="s">
        <v>1462</v>
      </c>
      <c r="D117" s="1493"/>
      <c r="G117" s="66"/>
      <c r="H117" s="90"/>
      <c r="I117" s="298"/>
    </row>
    <row r="118" spans="1:11" ht="12.75" x14ac:dyDescent="0.2">
      <c r="A118" s="1737" t="s">
        <v>1463</v>
      </c>
      <c r="B118" s="1319">
        <v>5.0000000000000001E-3</v>
      </c>
      <c r="C118" s="331" t="s">
        <v>1464</v>
      </c>
      <c r="D118" s="1493"/>
      <c r="G118" s="5"/>
    </row>
    <row r="119" spans="1:11" ht="12.75" x14ac:dyDescent="0.2">
      <c r="A119" s="1737" t="s">
        <v>1465</v>
      </c>
      <c r="B119" s="1494">
        <v>0.09</v>
      </c>
      <c r="C119" s="331" t="s">
        <v>1462</v>
      </c>
      <c r="D119" s="1493"/>
    </row>
    <row r="120" spans="1:11" ht="15.75" x14ac:dyDescent="0.3">
      <c r="A120" s="1737" t="s">
        <v>1466</v>
      </c>
      <c r="B120" s="1495">
        <v>5.0000000000000001E-3</v>
      </c>
      <c r="C120" s="331" t="s">
        <v>1467</v>
      </c>
      <c r="D120" s="1493"/>
    </row>
    <row r="121" spans="1:11" ht="15.75" x14ac:dyDescent="0.3">
      <c r="A121" s="1737" t="s">
        <v>1468</v>
      </c>
      <c r="B121" s="1494">
        <v>1.57</v>
      </c>
      <c r="C121" s="331"/>
      <c r="D121" s="1493"/>
    </row>
    <row r="122" spans="1:11" ht="12.75" x14ac:dyDescent="0.2">
      <c r="A122" s="1737" t="s">
        <v>1469</v>
      </c>
      <c r="B122" s="1357">
        <v>0</v>
      </c>
      <c r="C122" s="331"/>
      <c r="D122" s="1493"/>
    </row>
    <row r="123" spans="1:11" ht="12.75" x14ac:dyDescent="0.2">
      <c r="A123" s="1737" t="s">
        <v>1470</v>
      </c>
      <c r="B123" s="1494">
        <v>365.25</v>
      </c>
      <c r="C123" s="331" t="s">
        <v>773</v>
      </c>
      <c r="D123" s="1493"/>
    </row>
    <row r="124" spans="1:11" ht="12.75" x14ac:dyDescent="0.2">
      <c r="A124" s="1737" t="s">
        <v>1471</v>
      </c>
      <c r="B124" s="1496">
        <f>10^-3</f>
        <v>1E-3</v>
      </c>
      <c r="C124" s="331" t="s">
        <v>1472</v>
      </c>
      <c r="D124" s="1493"/>
    </row>
    <row r="125" spans="1:11" ht="15.75" x14ac:dyDescent="0.3">
      <c r="A125" s="1737" t="s">
        <v>1473</v>
      </c>
      <c r="B125" s="852">
        <v>310</v>
      </c>
      <c r="C125" s="216" t="s">
        <v>1451</v>
      </c>
      <c r="D125" s="1493"/>
      <c r="K125" s="188"/>
    </row>
    <row r="126" spans="1:11" x14ac:dyDescent="0.2">
      <c r="A126"/>
      <c r="B126"/>
      <c r="C126"/>
      <c r="D126"/>
    </row>
    <row r="127" spans="1:11" ht="13.5" x14ac:dyDescent="0.2">
      <c r="A127" t="s">
        <v>1731</v>
      </c>
      <c r="B127" s="1135">
        <f>B105*B116*(B117-B118*B119)*B120*B121*(1-B122)*B123*B124*B125</f>
        <v>4541.9513212500005</v>
      </c>
      <c r="C127" s="331" t="s">
        <v>119</v>
      </c>
      <c r="D127"/>
    </row>
    <row r="128" spans="1:11" ht="13.5" x14ac:dyDescent="0.2">
      <c r="A128" t="s">
        <v>1734</v>
      </c>
      <c r="B128" s="1135">
        <f>B106*B116*(B117-B118*B119)*B120*B121*(1-B122)*B123*B124*B125</f>
        <v>1385.5160053642458</v>
      </c>
      <c r="C128" s="331" t="s">
        <v>119</v>
      </c>
      <c r="D128"/>
    </row>
    <row r="129" spans="1:6" ht="13.5" x14ac:dyDescent="0.2">
      <c r="A129" s="1741" t="s">
        <v>1796</v>
      </c>
      <c r="B129" s="1535">
        <f>SUM(B113:B114,B127:B128)</f>
        <v>64306.074353779499</v>
      </c>
      <c r="C129" s="1237" t="s">
        <v>128</v>
      </c>
      <c r="D129" s="1522"/>
      <c r="E129" s="1535"/>
      <c r="F129" s="331"/>
    </row>
    <row r="130" spans="1:6" x14ac:dyDescent="0.2">
      <c r="A130" s="1743" t="s">
        <v>1797</v>
      </c>
      <c r="B130" s="1739"/>
      <c r="C130" s="1739"/>
      <c r="D130" s="1739"/>
      <c r="E130" s="1742"/>
    </row>
    <row r="131" spans="1:6" ht="13.5" x14ac:dyDescent="0.2">
      <c r="A131" s="1744" t="s">
        <v>1810</v>
      </c>
      <c r="B131" s="1230"/>
      <c r="C131" s="1230"/>
      <c r="D131" s="1230"/>
      <c r="E131" s="1740"/>
    </row>
    <row r="132" spans="1:6" x14ac:dyDescent="0.2">
      <c r="A132" s="1745" t="s">
        <v>1798</v>
      </c>
      <c r="B132" s="90">
        <v>36000</v>
      </c>
      <c r="C132" s="90" t="s">
        <v>1799</v>
      </c>
      <c r="D132" s="90" t="s">
        <v>1834</v>
      </c>
    </row>
    <row r="133" spans="1:6" x14ac:dyDescent="0.2">
      <c r="A133" s="1745" t="s">
        <v>1802</v>
      </c>
      <c r="B133" s="90">
        <v>149</v>
      </c>
      <c r="C133" s="90" t="s">
        <v>1800</v>
      </c>
      <c r="D133" s="90" t="s">
        <v>1835</v>
      </c>
      <c r="E133" s="301" t="s">
        <v>1801</v>
      </c>
    </row>
    <row r="134" spans="1:6" x14ac:dyDescent="0.2">
      <c r="A134" s="1745" t="s">
        <v>1807</v>
      </c>
      <c r="B134" s="90">
        <f>10^-6</f>
        <v>9.9999999999999995E-7</v>
      </c>
      <c r="C134" s="90" t="s">
        <v>1808</v>
      </c>
    </row>
    <row r="135" spans="1:6" ht="13.5" customHeight="1" x14ac:dyDescent="0.2">
      <c r="A135" s="1745" t="s">
        <v>1806</v>
      </c>
      <c r="B135" s="90">
        <v>9.6999999999999993</v>
      </c>
      <c r="C135" s="90" t="s">
        <v>1803</v>
      </c>
    </row>
    <row r="136" spans="1:6" x14ac:dyDescent="0.2">
      <c r="A136" s="1745" t="s">
        <v>1470</v>
      </c>
      <c r="B136" s="90">
        <v>365.25</v>
      </c>
      <c r="C136" s="90" t="s">
        <v>773</v>
      </c>
    </row>
    <row r="137" spans="1:6" x14ac:dyDescent="0.2">
      <c r="A137" s="1745" t="s">
        <v>1805</v>
      </c>
      <c r="B137" s="90">
        <f>10^-6</f>
        <v>9.9999999999999995E-7</v>
      </c>
      <c r="C137" s="90" t="s">
        <v>1805</v>
      </c>
    </row>
    <row r="138" spans="1:6" x14ac:dyDescent="0.2">
      <c r="A138" s="1745" t="s">
        <v>1804</v>
      </c>
      <c r="B138" s="90">
        <f>GWPCH4</f>
        <v>21</v>
      </c>
      <c r="C138" s="216" t="s">
        <v>1451</v>
      </c>
    </row>
    <row r="140" spans="1:6" ht="13.5" x14ac:dyDescent="0.2">
      <c r="A140" s="87" t="s">
        <v>1809</v>
      </c>
      <c r="B140" s="211">
        <f>B132*B133*B134*B135*B136*B137*B138</f>
        <v>0.39908924369999993</v>
      </c>
      <c r="C140" s="331" t="s">
        <v>119</v>
      </c>
    </row>
    <row r="141" spans="1:6" ht="13.5" x14ac:dyDescent="0.2">
      <c r="A141" s="1744" t="s">
        <v>1811</v>
      </c>
      <c r="B141" s="1230"/>
      <c r="C141" s="1230"/>
      <c r="D141" s="1230"/>
      <c r="E141" s="1740"/>
    </row>
    <row r="142" spans="1:6" x14ac:dyDescent="0.2">
      <c r="A142" s="1745" t="s">
        <v>1798</v>
      </c>
      <c r="B142" s="90">
        <v>36000</v>
      </c>
      <c r="C142" s="90" t="s">
        <v>1799</v>
      </c>
      <c r="D142" s="90" t="s">
        <v>1834</v>
      </c>
    </row>
    <row r="143" spans="1:6" x14ac:dyDescent="0.2">
      <c r="A143" s="1745" t="s">
        <v>1802</v>
      </c>
      <c r="B143" s="90">
        <v>149</v>
      </c>
      <c r="C143" s="90" t="s">
        <v>1800</v>
      </c>
      <c r="D143" s="90" t="s">
        <v>1835</v>
      </c>
    </row>
    <row r="144" spans="1:6" x14ac:dyDescent="0.2">
      <c r="A144" s="1745" t="s">
        <v>1807</v>
      </c>
      <c r="B144" s="90">
        <f>10^-6</f>
        <v>9.9999999999999995E-7</v>
      </c>
      <c r="C144" s="90" t="s">
        <v>1808</v>
      </c>
    </row>
    <row r="145" spans="1:5" ht="13.5" x14ac:dyDescent="0.2">
      <c r="A145" s="1745" t="s">
        <v>1806</v>
      </c>
      <c r="B145" s="90">
        <v>900</v>
      </c>
      <c r="C145" s="90" t="s">
        <v>1812</v>
      </c>
    </row>
    <row r="146" spans="1:5" x14ac:dyDescent="0.2">
      <c r="A146" s="1745" t="s">
        <v>1470</v>
      </c>
      <c r="B146" s="90">
        <v>365.25</v>
      </c>
      <c r="C146" s="90" t="s">
        <v>773</v>
      </c>
    </row>
    <row r="147" spans="1:5" x14ac:dyDescent="0.2">
      <c r="A147" s="1745" t="s">
        <v>1805</v>
      </c>
      <c r="B147" s="90">
        <f>10^-6</f>
        <v>9.9999999999999995E-7</v>
      </c>
      <c r="C147" s="90" t="s">
        <v>1805</v>
      </c>
    </row>
    <row r="148" spans="1:5" x14ac:dyDescent="0.2">
      <c r="A148" s="1745" t="s">
        <v>1813</v>
      </c>
      <c r="B148" s="90">
        <v>21</v>
      </c>
      <c r="C148" s="216" t="s">
        <v>1451</v>
      </c>
    </row>
    <row r="150" spans="1:5" ht="13.5" x14ac:dyDescent="0.2">
      <c r="A150" s="87" t="s">
        <v>1809</v>
      </c>
      <c r="B150" s="211">
        <f>B142*B143*B144*B145*B146*B147*B148</f>
        <v>37.028898899999994</v>
      </c>
      <c r="C150" s="331" t="s">
        <v>119</v>
      </c>
    </row>
    <row r="151" spans="1:5" ht="13.5" x14ac:dyDescent="0.2">
      <c r="A151" s="1313" t="s">
        <v>1770</v>
      </c>
      <c r="B151" s="1309"/>
      <c r="C151" s="1310"/>
      <c r="D151" s="1230"/>
      <c r="E151" s="1740"/>
    </row>
    <row r="152" spans="1:5" x14ac:dyDescent="0.2">
      <c r="A152" s="245" t="s">
        <v>1814</v>
      </c>
      <c r="B152" s="90">
        <v>36000</v>
      </c>
      <c r="C152" s="90" t="s">
        <v>167</v>
      </c>
      <c r="D152" s="90" t="s">
        <v>1834</v>
      </c>
    </row>
    <row r="153" spans="1:5" x14ac:dyDescent="0.2">
      <c r="A153" s="1289" t="s">
        <v>1453</v>
      </c>
    </row>
    <row r="154" spans="1:5" x14ac:dyDescent="0.2">
      <c r="A154" s="1647" t="s">
        <v>1454</v>
      </c>
      <c r="B154" s="1491">
        <v>1.25</v>
      </c>
      <c r="C154" s="720"/>
    </row>
    <row r="155" spans="1:5" x14ac:dyDescent="0.2">
      <c r="A155" s="1647" t="s">
        <v>1455</v>
      </c>
      <c r="B155" s="1491">
        <v>3.2</v>
      </c>
      <c r="C155" s="720" t="s">
        <v>1456</v>
      </c>
    </row>
    <row r="156" spans="1:5" x14ac:dyDescent="0.2">
      <c r="A156" s="1647" t="s">
        <v>1457</v>
      </c>
      <c r="B156" s="1491">
        <f>10^-6</f>
        <v>9.9999999999999995E-7</v>
      </c>
      <c r="C156" s="720" t="s">
        <v>1458</v>
      </c>
    </row>
    <row r="157" spans="1:5" x14ac:dyDescent="0.2">
      <c r="A157" s="1647" t="s">
        <v>1452</v>
      </c>
      <c r="B157" s="1491">
        <f>GWPN2O</f>
        <v>310</v>
      </c>
      <c r="C157" s="216" t="s">
        <v>1451</v>
      </c>
    </row>
    <row r="158" spans="1:5" ht="13.5" x14ac:dyDescent="0.2">
      <c r="A158" s="1289" t="s">
        <v>1861</v>
      </c>
      <c r="B158" s="1492">
        <f>B152*B154*B155*B156*B157</f>
        <v>44.639999999999993</v>
      </c>
      <c r="C158" s="331" t="s">
        <v>119</v>
      </c>
    </row>
    <row r="159" spans="1:5" ht="13.5" x14ac:dyDescent="0.2">
      <c r="A159" s="1313" t="s">
        <v>1771</v>
      </c>
      <c r="B159" s="1310"/>
      <c r="C159" s="1311"/>
      <c r="D159" s="1230"/>
      <c r="E159" s="1740"/>
    </row>
    <row r="160" spans="1:5" x14ac:dyDescent="0.2">
      <c r="A160" s="245" t="s">
        <v>1814</v>
      </c>
      <c r="B160" s="331"/>
      <c r="C160" s="216"/>
    </row>
    <row r="161" spans="1:5" ht="12.75" x14ac:dyDescent="0.2">
      <c r="A161" s="1493" t="s">
        <v>1459</v>
      </c>
      <c r="B161" s="1494"/>
      <c r="C161"/>
    </row>
    <row r="162" spans="1:5" ht="12.75" x14ac:dyDescent="0.2">
      <c r="A162" s="1714" t="s">
        <v>1460</v>
      </c>
      <c r="B162" s="1494">
        <v>1.25</v>
      </c>
      <c r="C162"/>
    </row>
    <row r="163" spans="1:5" ht="12.75" x14ac:dyDescent="0.2">
      <c r="A163" s="1714" t="s">
        <v>1461</v>
      </c>
      <c r="B163" s="1319">
        <v>2.5999999999999999E-2</v>
      </c>
      <c r="C163" s="331" t="s">
        <v>1462</v>
      </c>
    </row>
    <row r="164" spans="1:5" ht="12.75" x14ac:dyDescent="0.2">
      <c r="A164" s="1714" t="s">
        <v>1463</v>
      </c>
      <c r="B164" s="1319">
        <v>5.0000000000000001E-3</v>
      </c>
      <c r="C164" s="331" t="s">
        <v>1464</v>
      </c>
    </row>
    <row r="165" spans="1:5" ht="12.75" x14ac:dyDescent="0.2">
      <c r="A165" s="1714" t="s">
        <v>1465</v>
      </c>
      <c r="B165" s="1494">
        <v>0.09</v>
      </c>
      <c r="C165" s="331" t="s">
        <v>1462</v>
      </c>
    </row>
    <row r="166" spans="1:5" ht="15.75" x14ac:dyDescent="0.3">
      <c r="A166" s="1714" t="s">
        <v>1466</v>
      </c>
      <c r="B166" s="1495">
        <v>2.5000000000000001E-3</v>
      </c>
      <c r="C166" s="331" t="s">
        <v>1467</v>
      </c>
    </row>
    <row r="167" spans="1:5" ht="15.75" x14ac:dyDescent="0.3">
      <c r="A167" s="1714" t="s">
        <v>1468</v>
      </c>
      <c r="B167" s="1494">
        <v>1.57</v>
      </c>
      <c r="C167" s="331"/>
    </row>
    <row r="168" spans="1:5" ht="12.75" x14ac:dyDescent="0.2">
      <c r="A168" s="1714" t="s">
        <v>1469</v>
      </c>
      <c r="B168" s="1357">
        <v>0</v>
      </c>
      <c r="C168" s="331"/>
    </row>
    <row r="169" spans="1:5" ht="12.75" x14ac:dyDescent="0.2">
      <c r="A169" s="1714" t="s">
        <v>1470</v>
      </c>
      <c r="B169" s="1494">
        <v>365.25</v>
      </c>
      <c r="C169" s="331" t="s">
        <v>773</v>
      </c>
    </row>
    <row r="170" spans="1:5" ht="12.75" x14ac:dyDescent="0.2">
      <c r="A170" s="1714" t="s">
        <v>1471</v>
      </c>
      <c r="B170" s="1496">
        <f>10^-3</f>
        <v>1E-3</v>
      </c>
      <c r="C170" s="331" t="s">
        <v>1472</v>
      </c>
    </row>
    <row r="171" spans="1:5" ht="15.75" x14ac:dyDescent="0.3">
      <c r="A171" s="1714" t="s">
        <v>1473</v>
      </c>
      <c r="B171" s="852">
        <f>GWPN2O</f>
        <v>310</v>
      </c>
      <c r="C171" s="216" t="s">
        <v>1768</v>
      </c>
    </row>
    <row r="172" spans="1:5" ht="13.5" x14ac:dyDescent="0.2">
      <c r="A172" s="1289" t="s">
        <v>1861</v>
      </c>
      <c r="B172" s="1135">
        <f>B152*B162*(B163-B164*B165)*B166*B167*(1-B168)*B169*B170*B171</f>
        <v>510.96952364062503</v>
      </c>
      <c r="C172" s="331" t="s">
        <v>119</v>
      </c>
    </row>
    <row r="173" spans="1:5" x14ac:dyDescent="0.2">
      <c r="A173" s="245"/>
      <c r="B173" s="1491"/>
      <c r="C173" s="720"/>
    </row>
    <row r="174" spans="1:5" ht="13.5" x14ac:dyDescent="0.2">
      <c r="A174" s="1202" t="s">
        <v>1815</v>
      </c>
      <c r="B174" s="1715">
        <f>SUM(B172,B158,B150,B140)</f>
        <v>593.03751178432503</v>
      </c>
      <c r="C174" s="1237" t="s">
        <v>128</v>
      </c>
      <c r="D174" s="1522"/>
      <c r="E174" s="1746"/>
    </row>
    <row r="178" spans="1:5" ht="13.5" x14ac:dyDescent="0.2">
      <c r="A178" s="1749" t="s">
        <v>1820</v>
      </c>
      <c r="B178" s="1535">
        <f>SUM(B174,B129,B102,B61,B50)</f>
        <v>84408.122687348397</v>
      </c>
      <c r="C178" s="1237" t="s">
        <v>128</v>
      </c>
      <c r="D178" s="1522"/>
      <c r="E178" s="1746"/>
    </row>
  </sheetData>
  <mergeCells count="17">
    <mergeCell ref="F11:I11"/>
    <mergeCell ref="B1:E1"/>
    <mergeCell ref="F7:I7"/>
    <mergeCell ref="F8:I8"/>
    <mergeCell ref="F9:I9"/>
    <mergeCell ref="F10:I10"/>
    <mergeCell ref="F12:I12"/>
    <mergeCell ref="F13:I13"/>
    <mergeCell ref="F14:I14"/>
    <mergeCell ref="F15:I15"/>
    <mergeCell ref="F19:I19"/>
    <mergeCell ref="A104:D104"/>
    <mergeCell ref="A16:E16"/>
    <mergeCell ref="F21:I21"/>
    <mergeCell ref="F22:I22"/>
    <mergeCell ref="F23:I23"/>
    <mergeCell ref="F20:I20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I180"/>
  <sheetViews>
    <sheetView zoomScale="85" zoomScaleNormal="85"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A18" sqref="A18"/>
    </sheetView>
  </sheetViews>
  <sheetFormatPr defaultColWidth="8.85546875" defaultRowHeight="12" x14ac:dyDescent="0.2"/>
  <cols>
    <col min="1" max="1" width="58" style="1072" bestFit="1" customWidth="1"/>
    <col min="2" max="2" width="13.85546875" style="1098" bestFit="1" customWidth="1"/>
    <col min="3" max="3" width="20.5703125" style="1099" bestFit="1" customWidth="1"/>
    <col min="4" max="4" width="16.7109375" style="1099" customWidth="1"/>
    <col min="5" max="5" width="19.42578125" style="1072" customWidth="1"/>
    <col min="6" max="16384" width="8.85546875" style="1100"/>
  </cols>
  <sheetData>
    <row r="1" spans="1:9" s="1055" customFormat="1" x14ac:dyDescent="0.2">
      <c r="A1" s="1054"/>
      <c r="B1" s="1827">
        <v>2015</v>
      </c>
      <c r="C1" s="1827"/>
      <c r="D1" s="1827"/>
      <c r="E1" s="1828"/>
      <c r="F1" s="64" t="s">
        <v>1169</v>
      </c>
      <c r="G1"/>
      <c r="H1"/>
      <c r="I1"/>
    </row>
    <row r="2" spans="1:9" s="1055" customFormat="1" x14ac:dyDescent="0.2">
      <c r="A2" s="1056" t="s">
        <v>489</v>
      </c>
      <c r="B2" s="1059" t="s">
        <v>487</v>
      </c>
      <c r="C2" s="1060" t="s">
        <v>486</v>
      </c>
      <c r="D2" s="1057" t="s">
        <v>488</v>
      </c>
      <c r="E2" s="1058" t="s">
        <v>306</v>
      </c>
      <c r="F2" s="203" t="s">
        <v>1166</v>
      </c>
      <c r="G2" s="598"/>
      <c r="H2" s="1137" t="s">
        <v>1168</v>
      </c>
      <c r="I2" s="419"/>
    </row>
    <row r="3" spans="1:9" s="1061" customFormat="1" ht="15.75" x14ac:dyDescent="0.2">
      <c r="A3" s="1114" t="s">
        <v>755</v>
      </c>
      <c r="B3" s="1115"/>
      <c r="C3" s="1116"/>
      <c r="D3" s="1116"/>
      <c r="E3" s="1117"/>
      <c r="F3" s="1139"/>
      <c r="G3" s="1134"/>
      <c r="H3" s="1134"/>
      <c r="I3" s="1134"/>
    </row>
    <row r="4" spans="1:9" s="1061" customFormat="1" x14ac:dyDescent="0.2">
      <c r="A4" s="1131" t="s">
        <v>81</v>
      </c>
      <c r="B4" s="1062"/>
      <c r="C4" s="1063"/>
      <c r="D4" s="1065"/>
      <c r="E4" s="1066"/>
    </row>
    <row r="5" spans="1:9" s="1061" customFormat="1" x14ac:dyDescent="0.2">
      <c r="A5" s="1067" t="s">
        <v>733</v>
      </c>
      <c r="B5" s="1062" t="s">
        <v>34</v>
      </c>
      <c r="C5" s="1069"/>
      <c r="D5" s="1065"/>
      <c r="E5" s="1066"/>
    </row>
    <row r="6" spans="1:9" s="1061" customFormat="1" x14ac:dyDescent="0.2">
      <c r="A6" s="1067" t="s">
        <v>736</v>
      </c>
      <c r="B6" s="1528">
        <v>9350</v>
      </c>
      <c r="C6" s="1068" t="s">
        <v>746</v>
      </c>
      <c r="D6" s="1065" t="s">
        <v>1495</v>
      </c>
      <c r="E6" s="1067"/>
    </row>
    <row r="7" spans="1:9" s="1061" customFormat="1" x14ac:dyDescent="0.2">
      <c r="A7" s="1072" t="s">
        <v>735</v>
      </c>
      <c r="B7" s="1528">
        <v>3357</v>
      </c>
      <c r="C7" s="1068" t="s">
        <v>746</v>
      </c>
      <c r="D7" s="1065" t="s">
        <v>1495</v>
      </c>
      <c r="E7" s="1067"/>
    </row>
    <row r="8" spans="1:9" s="1061" customFormat="1" x14ac:dyDescent="0.2">
      <c r="A8" s="1067" t="s">
        <v>734</v>
      </c>
      <c r="B8" s="1528">
        <v>11181</v>
      </c>
      <c r="C8" s="1068" t="s">
        <v>746</v>
      </c>
      <c r="D8" s="1065" t="s">
        <v>1495</v>
      </c>
      <c r="E8" s="1067"/>
    </row>
    <row r="9" spans="1:9" s="1061" customFormat="1" x14ac:dyDescent="0.2">
      <c r="A9" s="1064" t="s">
        <v>737</v>
      </c>
      <c r="B9" s="1528">
        <v>3826</v>
      </c>
      <c r="C9" s="1068" t="s">
        <v>746</v>
      </c>
      <c r="D9" s="1065" t="s">
        <v>1496</v>
      </c>
      <c r="E9" s="1067"/>
    </row>
    <row r="10" spans="1:9" s="1061" customFormat="1" x14ac:dyDescent="0.2">
      <c r="A10" s="1067" t="s">
        <v>738</v>
      </c>
      <c r="B10" s="1528">
        <v>1431</v>
      </c>
      <c r="C10" s="1068" t="s">
        <v>746</v>
      </c>
      <c r="D10" s="1088" t="s">
        <v>1497</v>
      </c>
      <c r="E10" s="1067"/>
    </row>
    <row r="11" spans="1:9" s="1061" customFormat="1" x14ac:dyDescent="0.2">
      <c r="A11" s="1067" t="s">
        <v>739</v>
      </c>
      <c r="B11" s="1528">
        <v>463</v>
      </c>
      <c r="C11" s="1068" t="s">
        <v>746</v>
      </c>
      <c r="D11" s="1065" t="s">
        <v>1498</v>
      </c>
      <c r="E11" s="1067"/>
    </row>
    <row r="12" spans="1:9" s="1061" customFormat="1" x14ac:dyDescent="0.2">
      <c r="A12" s="1067" t="s">
        <v>740</v>
      </c>
      <c r="B12" s="1528">
        <v>1438</v>
      </c>
      <c r="C12" s="1068" t="s">
        <v>746</v>
      </c>
      <c r="D12" s="1065" t="s">
        <v>1499</v>
      </c>
      <c r="E12" s="1067" t="s">
        <v>1379</v>
      </c>
    </row>
    <row r="13" spans="1:9" s="1061" customFormat="1" x14ac:dyDescent="0.2">
      <c r="A13" s="1067" t="s">
        <v>741</v>
      </c>
      <c r="B13" s="1529">
        <f>26400*(1/7)</f>
        <v>3771.4285714285711</v>
      </c>
      <c r="C13" s="1068" t="s">
        <v>746</v>
      </c>
      <c r="D13" s="1065" t="s">
        <v>1500</v>
      </c>
      <c r="E13" s="1067" t="s">
        <v>1704</v>
      </c>
    </row>
    <row r="14" spans="1:9" s="1061" customFormat="1" x14ac:dyDescent="0.2">
      <c r="A14" s="1067" t="s">
        <v>756</v>
      </c>
      <c r="B14" s="1528">
        <f>759220+591+916+345+690+21</f>
        <v>761783</v>
      </c>
      <c r="C14" s="1068" t="s">
        <v>746</v>
      </c>
      <c r="D14" s="1065" t="s">
        <v>1501</v>
      </c>
      <c r="E14" s="1067" t="s">
        <v>1705</v>
      </c>
    </row>
    <row r="15" spans="1:9" s="1061" customFormat="1" x14ac:dyDescent="0.2">
      <c r="A15" s="1067"/>
      <c r="B15" s="1062"/>
      <c r="C15" s="1068"/>
      <c r="D15" s="1065"/>
    </row>
    <row r="16" spans="1:9" s="1061" customFormat="1" x14ac:dyDescent="0.2">
      <c r="A16" s="1106" t="s">
        <v>732</v>
      </c>
      <c r="B16" s="1062"/>
      <c r="C16" s="1068"/>
      <c r="D16" s="1065"/>
      <c r="E16" s="1067"/>
    </row>
    <row r="17" spans="1:5" s="1061" customFormat="1" x14ac:dyDescent="0.2">
      <c r="A17" s="1131" t="s">
        <v>81</v>
      </c>
      <c r="B17" s="1062"/>
      <c r="C17" s="1068"/>
      <c r="D17" s="1065"/>
      <c r="E17" s="1067"/>
    </row>
    <row r="18" spans="1:5" s="1061" customFormat="1" x14ac:dyDescent="0.2">
      <c r="A18" s="1067" t="s">
        <v>743</v>
      </c>
      <c r="B18" s="1062"/>
      <c r="C18" s="1069"/>
      <c r="D18" s="1065"/>
      <c r="E18" s="1067"/>
    </row>
    <row r="19" spans="1:5" s="1061" customFormat="1" x14ac:dyDescent="0.2">
      <c r="A19" s="1067" t="s">
        <v>736</v>
      </c>
      <c r="B19" s="1529">
        <v>104</v>
      </c>
      <c r="C19" s="1063" t="s">
        <v>745</v>
      </c>
      <c r="D19" s="1065" t="s">
        <v>1502</v>
      </c>
      <c r="E19" s="1067" t="s">
        <v>1380</v>
      </c>
    </row>
    <row r="20" spans="1:5" s="1061" customFormat="1" x14ac:dyDescent="0.2">
      <c r="A20" s="1072" t="s">
        <v>735</v>
      </c>
      <c r="B20" s="1529">
        <v>100</v>
      </c>
      <c r="C20" s="1063" t="s">
        <v>745</v>
      </c>
      <c r="D20" s="1065" t="s">
        <v>1502</v>
      </c>
      <c r="E20" s="1067" t="s">
        <v>1334</v>
      </c>
    </row>
    <row r="21" spans="1:5" s="1061" customFormat="1" x14ac:dyDescent="0.2">
      <c r="A21" s="1067" t="s">
        <v>734</v>
      </c>
      <c r="B21" s="1529">
        <v>151</v>
      </c>
      <c r="C21" s="1063" t="s">
        <v>745</v>
      </c>
      <c r="D21" s="1065" t="s">
        <v>1502</v>
      </c>
      <c r="E21" s="1067" t="s">
        <v>1334</v>
      </c>
    </row>
    <row r="22" spans="1:5" s="1061" customFormat="1" x14ac:dyDescent="0.2">
      <c r="A22" s="1064" t="s">
        <v>737</v>
      </c>
      <c r="B22" s="1529">
        <v>18</v>
      </c>
      <c r="C22" s="1063" t="s">
        <v>745</v>
      </c>
      <c r="D22" s="1065" t="s">
        <v>1503</v>
      </c>
      <c r="E22" s="1067" t="s">
        <v>1335</v>
      </c>
    </row>
    <row r="23" spans="1:5" s="1061" customFormat="1" x14ac:dyDescent="0.2">
      <c r="A23" s="1067" t="s">
        <v>738</v>
      </c>
      <c r="B23" s="1529">
        <v>8</v>
      </c>
      <c r="C23" s="1063" t="s">
        <v>745</v>
      </c>
      <c r="D23" s="1065" t="s">
        <v>1503</v>
      </c>
      <c r="E23" s="1067" t="s">
        <v>1335</v>
      </c>
    </row>
    <row r="24" spans="1:5" s="1061" customFormat="1" x14ac:dyDescent="0.2">
      <c r="A24" s="1067" t="s">
        <v>739</v>
      </c>
      <c r="B24" s="1670">
        <v>1.5</v>
      </c>
      <c r="C24" s="1063" t="s">
        <v>745</v>
      </c>
      <c r="D24" s="1065" t="s">
        <v>1503</v>
      </c>
      <c r="E24" s="1067" t="s">
        <v>1335</v>
      </c>
    </row>
    <row r="25" spans="1:5" s="1061" customFormat="1" x14ac:dyDescent="0.2">
      <c r="A25" s="1067" t="s">
        <v>740</v>
      </c>
      <c r="B25" s="1529">
        <v>5</v>
      </c>
      <c r="C25" s="1063" t="s">
        <v>745</v>
      </c>
      <c r="D25" s="1065" t="s">
        <v>1503</v>
      </c>
      <c r="E25" s="1067" t="s">
        <v>1335</v>
      </c>
    </row>
    <row r="26" spans="1:5" s="1061" customFormat="1" x14ac:dyDescent="0.2">
      <c r="A26" s="1067" t="s">
        <v>741</v>
      </c>
      <c r="B26" s="1670">
        <v>0.68</v>
      </c>
      <c r="C26" s="1063" t="s">
        <v>745</v>
      </c>
      <c r="D26" s="1065" t="s">
        <v>1504</v>
      </c>
      <c r="E26" s="1070"/>
    </row>
    <row r="27" spans="1:5" s="1078" customFormat="1" x14ac:dyDescent="0.2">
      <c r="A27" s="1074" t="s">
        <v>106</v>
      </c>
      <c r="B27" s="1075"/>
      <c r="C27" s="1076"/>
      <c r="D27" s="1076"/>
      <c r="E27" s="1077"/>
    </row>
    <row r="28" spans="1:5" s="1061" customFormat="1" x14ac:dyDescent="0.2">
      <c r="A28" s="1067" t="s">
        <v>742</v>
      </c>
      <c r="B28" s="1079"/>
      <c r="D28" s="1065"/>
      <c r="E28" s="1067"/>
    </row>
    <row r="29" spans="1:5" s="1061" customFormat="1" x14ac:dyDescent="0.2">
      <c r="A29" s="1067" t="s">
        <v>736</v>
      </c>
      <c r="B29" s="1080">
        <f t="shared" ref="B29:B36" si="0">B6*B19</f>
        <v>972400</v>
      </c>
      <c r="C29" s="1088" t="s">
        <v>747</v>
      </c>
      <c r="D29" s="1065"/>
      <c r="E29" s="1067"/>
    </row>
    <row r="30" spans="1:5" s="1061" customFormat="1" x14ac:dyDescent="0.2">
      <c r="A30" s="1072" t="s">
        <v>735</v>
      </c>
      <c r="B30" s="1080">
        <f t="shared" si="0"/>
        <v>335700</v>
      </c>
      <c r="C30" s="1088" t="s">
        <v>747</v>
      </c>
      <c r="D30" s="1065"/>
      <c r="E30" s="1064"/>
    </row>
    <row r="31" spans="1:5" s="1061" customFormat="1" x14ac:dyDescent="0.2">
      <c r="A31" s="1067" t="s">
        <v>734</v>
      </c>
      <c r="B31" s="1080">
        <f t="shared" si="0"/>
        <v>1688331</v>
      </c>
      <c r="C31" s="1088" t="s">
        <v>747</v>
      </c>
      <c r="D31" s="1065"/>
      <c r="E31" s="1067"/>
    </row>
    <row r="32" spans="1:5" s="1061" customFormat="1" x14ac:dyDescent="0.2">
      <c r="A32" s="1064" t="s">
        <v>737</v>
      </c>
      <c r="B32" s="1080">
        <f t="shared" si="0"/>
        <v>68868</v>
      </c>
      <c r="C32" s="1088" t="s">
        <v>747</v>
      </c>
      <c r="D32" s="1065"/>
      <c r="E32" s="1064"/>
    </row>
    <row r="33" spans="1:5" s="1061" customFormat="1" x14ac:dyDescent="0.2">
      <c r="A33" s="1067" t="s">
        <v>738</v>
      </c>
      <c r="B33" s="1080">
        <f t="shared" si="0"/>
        <v>11448</v>
      </c>
      <c r="C33" s="1088" t="s">
        <v>747</v>
      </c>
      <c r="D33" s="1065"/>
      <c r="E33" s="1067"/>
    </row>
    <row r="34" spans="1:5" s="1061" customFormat="1" x14ac:dyDescent="0.2">
      <c r="A34" s="1067" t="s">
        <v>739</v>
      </c>
      <c r="B34" s="1080">
        <f t="shared" si="0"/>
        <v>694.5</v>
      </c>
      <c r="C34" s="1088" t="s">
        <v>747</v>
      </c>
      <c r="D34" s="1065"/>
      <c r="E34" s="1067"/>
    </row>
    <row r="35" spans="1:5" s="1061" customFormat="1" x14ac:dyDescent="0.2">
      <c r="A35" s="1067" t="s">
        <v>740</v>
      </c>
      <c r="B35" s="1080">
        <f t="shared" si="0"/>
        <v>7190</v>
      </c>
      <c r="C35" s="1088" t="s">
        <v>747</v>
      </c>
      <c r="D35" s="1065"/>
      <c r="E35" s="1067"/>
    </row>
    <row r="36" spans="1:5" s="1061" customFormat="1" x14ac:dyDescent="0.2">
      <c r="A36" s="1067" t="s">
        <v>741</v>
      </c>
      <c r="B36" s="1080">
        <f t="shared" si="0"/>
        <v>2564.5714285714284</v>
      </c>
      <c r="C36" s="1088" t="s">
        <v>747</v>
      </c>
      <c r="D36" s="1065"/>
      <c r="E36" s="1067"/>
    </row>
    <row r="37" spans="1:5" s="1061" customFormat="1" x14ac:dyDescent="0.2">
      <c r="A37" s="1081" t="s">
        <v>748</v>
      </c>
      <c r="B37" s="1082">
        <f>SUM(B29:B36)</f>
        <v>3087196.0714285714</v>
      </c>
      <c r="C37" s="1061" t="s">
        <v>747</v>
      </c>
      <c r="D37" s="1065"/>
      <c r="E37" s="1067"/>
    </row>
    <row r="38" spans="1:5" s="1061" customFormat="1" ht="13.5" x14ac:dyDescent="0.2">
      <c r="A38" s="1067" t="s">
        <v>744</v>
      </c>
      <c r="B38" s="1080">
        <f>B37*GWPCH4</f>
        <v>64831117.5</v>
      </c>
      <c r="C38" s="1063" t="s">
        <v>1718</v>
      </c>
      <c r="D38" s="1065"/>
      <c r="E38" s="1067"/>
    </row>
    <row r="39" spans="1:5" s="1061" customFormat="1" x14ac:dyDescent="0.2">
      <c r="A39" s="1067" t="s">
        <v>778</v>
      </c>
      <c r="B39" s="1155">
        <f>B38/1000</f>
        <v>64831.1175</v>
      </c>
      <c r="C39" s="1084" t="s">
        <v>117</v>
      </c>
      <c r="D39" s="1065"/>
      <c r="E39" s="1067"/>
    </row>
    <row r="40" spans="1:5" s="1061" customFormat="1" x14ac:dyDescent="0.2">
      <c r="A40" s="1077"/>
      <c r="B40" s="1085"/>
      <c r="C40" s="1083"/>
      <c r="D40" s="1065"/>
      <c r="E40" s="1066"/>
    </row>
    <row r="41" spans="1:5" s="1061" customFormat="1" x14ac:dyDescent="0.2">
      <c r="A41" s="1106" t="s">
        <v>731</v>
      </c>
      <c r="B41" s="1085"/>
      <c r="C41" s="1086"/>
      <c r="D41" s="1086"/>
      <c r="E41" s="1067"/>
    </row>
    <row r="42" spans="1:5" s="1061" customFormat="1" x14ac:dyDescent="0.2">
      <c r="A42" s="1131" t="s">
        <v>81</v>
      </c>
      <c r="B42" s="1085"/>
      <c r="C42" s="1063"/>
      <c r="D42" s="1065"/>
      <c r="E42" s="1064"/>
    </row>
    <row r="43" spans="1:5" s="1088" customFormat="1" x14ac:dyDescent="0.2">
      <c r="A43" s="1067" t="s">
        <v>757</v>
      </c>
      <c r="B43" s="1080"/>
      <c r="C43" s="1063"/>
      <c r="D43" s="1065"/>
      <c r="E43" s="1067"/>
    </row>
    <row r="44" spans="1:5" s="1088" customFormat="1" x14ac:dyDescent="0.2">
      <c r="A44" s="1067" t="s">
        <v>736</v>
      </c>
      <c r="B44" s="1667">
        <v>831</v>
      </c>
      <c r="C44" s="1063" t="s">
        <v>645</v>
      </c>
      <c r="D44" s="1065" t="s">
        <v>1505</v>
      </c>
      <c r="E44" s="1065" t="s">
        <v>1336</v>
      </c>
    </row>
    <row r="45" spans="1:5" s="1088" customFormat="1" x14ac:dyDescent="0.2">
      <c r="A45" s="1072" t="s">
        <v>735</v>
      </c>
      <c r="B45" s="1667">
        <v>554</v>
      </c>
      <c r="C45" s="1063" t="s">
        <v>645</v>
      </c>
      <c r="D45" s="1065" t="s">
        <v>1505</v>
      </c>
      <c r="E45" s="1065" t="s">
        <v>1336</v>
      </c>
    </row>
    <row r="46" spans="1:5" s="1088" customFormat="1" x14ac:dyDescent="0.2">
      <c r="A46" s="1067" t="s">
        <v>734</v>
      </c>
      <c r="B46" s="1667">
        <v>680</v>
      </c>
      <c r="C46" s="1063" t="s">
        <v>645</v>
      </c>
      <c r="D46" s="1065" t="s">
        <v>1505</v>
      </c>
      <c r="E46" s="1065" t="s">
        <v>1336</v>
      </c>
    </row>
    <row r="47" spans="1:5" s="1088" customFormat="1" x14ac:dyDescent="0.2">
      <c r="A47" s="1064" t="s">
        <v>737</v>
      </c>
      <c r="B47" s="1667">
        <v>450</v>
      </c>
      <c r="C47" s="1063" t="s">
        <v>645</v>
      </c>
      <c r="D47" s="1065" t="s">
        <v>1505</v>
      </c>
      <c r="E47" s="1065" t="s">
        <v>1336</v>
      </c>
    </row>
    <row r="48" spans="1:5" s="1088" customFormat="1" x14ac:dyDescent="0.2">
      <c r="A48" s="1067" t="s">
        <v>738</v>
      </c>
      <c r="B48" s="1667">
        <v>80</v>
      </c>
      <c r="C48" s="1063" t="s">
        <v>645</v>
      </c>
      <c r="D48" s="1065" t="s">
        <v>1505</v>
      </c>
      <c r="E48" s="1065" t="s">
        <v>1336</v>
      </c>
    </row>
    <row r="49" spans="1:5" s="1088" customFormat="1" x14ac:dyDescent="0.2">
      <c r="A49" s="1067" t="s">
        <v>739</v>
      </c>
      <c r="B49" s="1667">
        <v>68</v>
      </c>
      <c r="C49" s="1063" t="s">
        <v>645</v>
      </c>
      <c r="D49" s="1065" t="s">
        <v>1505</v>
      </c>
      <c r="E49" s="1065" t="s">
        <v>1336</v>
      </c>
    </row>
    <row r="50" spans="1:5" s="1088" customFormat="1" x14ac:dyDescent="0.2">
      <c r="A50" s="1067" t="s">
        <v>740</v>
      </c>
      <c r="B50" s="1667">
        <v>64</v>
      </c>
      <c r="C50" s="1063" t="s">
        <v>645</v>
      </c>
      <c r="D50" s="1065" t="s">
        <v>1505</v>
      </c>
      <c r="E50" s="1067"/>
    </row>
    <row r="51" spans="1:5" s="1088" customFormat="1" x14ac:dyDescent="0.2">
      <c r="A51" s="1067" t="s">
        <v>741</v>
      </c>
      <c r="B51" s="1667">
        <v>2</v>
      </c>
      <c r="C51" s="1063" t="s">
        <v>645</v>
      </c>
      <c r="D51" s="1065" t="s">
        <v>1506</v>
      </c>
      <c r="E51" s="1067" t="s">
        <v>1337</v>
      </c>
    </row>
    <row r="52" spans="1:5" s="1088" customFormat="1" x14ac:dyDescent="0.2">
      <c r="A52" s="1067" t="s">
        <v>756</v>
      </c>
      <c r="B52" s="1668">
        <v>0.9</v>
      </c>
      <c r="C52" s="1063" t="s">
        <v>645</v>
      </c>
      <c r="D52" s="1065" t="s">
        <v>1505</v>
      </c>
      <c r="E52" s="1065" t="s">
        <v>1336</v>
      </c>
    </row>
    <row r="53" spans="1:5" s="1088" customFormat="1" x14ac:dyDescent="0.2">
      <c r="A53" s="1067" t="s">
        <v>758</v>
      </c>
      <c r="B53" s="1671"/>
      <c r="C53" s="1063"/>
      <c r="D53" s="1065"/>
      <c r="E53" s="1067"/>
    </row>
    <row r="54" spans="1:5" s="1088" customFormat="1" x14ac:dyDescent="0.2">
      <c r="A54" s="1067" t="s">
        <v>736</v>
      </c>
      <c r="B54" s="1668">
        <v>1956</v>
      </c>
      <c r="C54" s="1063" t="s">
        <v>1338</v>
      </c>
      <c r="D54" s="1065" t="s">
        <v>1507</v>
      </c>
      <c r="E54" s="1067" t="s">
        <v>1339</v>
      </c>
    </row>
    <row r="55" spans="1:5" s="1088" customFormat="1" x14ac:dyDescent="0.2">
      <c r="A55" s="1072" t="s">
        <v>735</v>
      </c>
      <c r="B55" s="1669">
        <v>1891</v>
      </c>
      <c r="C55" s="1063" t="s">
        <v>1338</v>
      </c>
      <c r="D55" s="1065" t="s">
        <v>1507</v>
      </c>
      <c r="E55" s="1067" t="s">
        <v>1339</v>
      </c>
    </row>
    <row r="56" spans="1:5" s="1088" customFormat="1" x14ac:dyDescent="0.2">
      <c r="A56" s="1067" t="s">
        <v>734</v>
      </c>
      <c r="B56" s="1669">
        <v>2881</v>
      </c>
      <c r="C56" s="1063" t="s">
        <v>1338</v>
      </c>
      <c r="D56" s="1065" t="s">
        <v>1507</v>
      </c>
      <c r="E56" s="1067" t="s">
        <v>1339</v>
      </c>
    </row>
    <row r="57" spans="1:5" s="1088" customFormat="1" x14ac:dyDescent="0.2">
      <c r="A57" s="1064" t="s">
        <v>737</v>
      </c>
      <c r="B57" s="1668">
        <v>6.1</v>
      </c>
      <c r="C57" s="1063" t="s">
        <v>759</v>
      </c>
      <c r="D57" s="1065" t="s">
        <v>1507</v>
      </c>
      <c r="E57" s="1065" t="s">
        <v>1340</v>
      </c>
    </row>
    <row r="58" spans="1:5" s="1088" customFormat="1" x14ac:dyDescent="0.2">
      <c r="A58" s="1067" t="s">
        <v>738</v>
      </c>
      <c r="B58" s="1668">
        <v>8.3000000000000007</v>
      </c>
      <c r="C58" s="1063" t="s">
        <v>759</v>
      </c>
      <c r="D58" s="1065" t="s">
        <v>1507</v>
      </c>
      <c r="E58" s="1065" t="s">
        <v>1340</v>
      </c>
    </row>
    <row r="59" spans="1:5" s="1088" customFormat="1" x14ac:dyDescent="0.2">
      <c r="A59" s="1067" t="s">
        <v>739</v>
      </c>
      <c r="B59" s="1668">
        <v>5.4</v>
      </c>
      <c r="C59" s="1063" t="s">
        <v>759</v>
      </c>
      <c r="D59" s="1065" t="s">
        <v>1507</v>
      </c>
      <c r="E59" s="1065" t="s">
        <v>1340</v>
      </c>
    </row>
    <row r="60" spans="1:5" s="1088" customFormat="1" x14ac:dyDescent="0.2">
      <c r="A60" s="1067" t="s">
        <v>740</v>
      </c>
      <c r="B60" s="1668">
        <v>9.5</v>
      </c>
      <c r="C60" s="1063" t="s">
        <v>759</v>
      </c>
      <c r="D60" s="1065" t="s">
        <v>1507</v>
      </c>
      <c r="E60" s="1065" t="s">
        <v>1340</v>
      </c>
    </row>
    <row r="61" spans="1:5" s="1088" customFormat="1" x14ac:dyDescent="0.2">
      <c r="A61" s="1067" t="s">
        <v>741</v>
      </c>
      <c r="B61" s="1668">
        <v>2</v>
      </c>
      <c r="C61" s="1063" t="s">
        <v>759</v>
      </c>
      <c r="D61" s="1065"/>
      <c r="E61" s="1065"/>
    </row>
    <row r="62" spans="1:5" s="1088" customFormat="1" x14ac:dyDescent="0.2">
      <c r="A62" s="1067" t="s">
        <v>756</v>
      </c>
      <c r="B62" s="1668">
        <v>17</v>
      </c>
      <c r="C62" s="1063" t="s">
        <v>759</v>
      </c>
      <c r="D62" s="1065" t="s">
        <v>1507</v>
      </c>
      <c r="E62" s="1065" t="s">
        <v>1340</v>
      </c>
    </row>
    <row r="63" spans="1:5" s="1088" customFormat="1" ht="13.5" x14ac:dyDescent="0.2">
      <c r="A63" s="1067" t="s">
        <v>1155</v>
      </c>
      <c r="B63" s="1080"/>
      <c r="C63" s="1063"/>
      <c r="D63" s="1065" t="s">
        <v>1508</v>
      </c>
      <c r="E63" s="1071"/>
    </row>
    <row r="64" spans="1:5" s="1088" customFormat="1" ht="14.25" x14ac:dyDescent="0.2">
      <c r="A64" s="1067" t="s">
        <v>736</v>
      </c>
      <c r="B64" s="1090">
        <v>0.17</v>
      </c>
      <c r="C64" s="1063" t="s">
        <v>1156</v>
      </c>
      <c r="D64" s="1065" t="s">
        <v>1505</v>
      </c>
      <c r="E64" s="1067" t="s">
        <v>1336</v>
      </c>
    </row>
    <row r="65" spans="1:5" s="1088" customFormat="1" ht="14.25" x14ac:dyDescent="0.2">
      <c r="A65" s="1072" t="s">
        <v>735</v>
      </c>
      <c r="B65" s="1090">
        <v>0.17</v>
      </c>
      <c r="C65" s="1063" t="s">
        <v>1156</v>
      </c>
      <c r="D65" s="1065" t="s">
        <v>1505</v>
      </c>
      <c r="E65" s="1067" t="s">
        <v>1336</v>
      </c>
    </row>
    <row r="66" spans="1:5" s="1088" customFormat="1" ht="14.25" x14ac:dyDescent="0.2">
      <c r="A66" s="1067" t="s">
        <v>734</v>
      </c>
      <c r="B66" s="1090">
        <v>0.24</v>
      </c>
      <c r="C66" s="1063" t="s">
        <v>1156</v>
      </c>
      <c r="D66" s="1065" t="s">
        <v>1505</v>
      </c>
      <c r="E66" s="1067" t="s">
        <v>1336</v>
      </c>
    </row>
    <row r="67" spans="1:5" s="1088" customFormat="1" ht="14.25" x14ac:dyDescent="0.2">
      <c r="A67" s="1064" t="s">
        <v>737</v>
      </c>
      <c r="B67" s="1090">
        <v>0.33</v>
      </c>
      <c r="C67" s="1063" t="s">
        <v>1156</v>
      </c>
      <c r="D67" s="1065" t="s">
        <v>1505</v>
      </c>
      <c r="E67" s="1067" t="s">
        <v>1336</v>
      </c>
    </row>
    <row r="68" spans="1:5" s="1088" customFormat="1" ht="14.25" x14ac:dyDescent="0.2">
      <c r="A68" s="1067" t="s">
        <v>738</v>
      </c>
      <c r="B68" s="1090">
        <v>0.19</v>
      </c>
      <c r="C68" s="1063" t="s">
        <v>1156</v>
      </c>
      <c r="D68" s="1065" t="s">
        <v>1505</v>
      </c>
      <c r="E68" s="1067" t="s">
        <v>1336</v>
      </c>
    </row>
    <row r="69" spans="1:5" s="1088" customFormat="1" ht="14.25" x14ac:dyDescent="0.2">
      <c r="A69" s="1067" t="s">
        <v>739</v>
      </c>
      <c r="B69" s="1090">
        <v>0.48</v>
      </c>
      <c r="C69" s="1063" t="s">
        <v>1156</v>
      </c>
      <c r="D69" s="1065" t="s">
        <v>1505</v>
      </c>
      <c r="E69" s="1067" t="s">
        <v>1336</v>
      </c>
    </row>
    <row r="70" spans="1:5" s="1088" customFormat="1" ht="14.25" x14ac:dyDescent="0.2">
      <c r="A70" s="1067" t="s">
        <v>740</v>
      </c>
      <c r="B70" s="1090">
        <v>0.17</v>
      </c>
      <c r="C70" s="1063" t="s">
        <v>1156</v>
      </c>
      <c r="D70" s="1065" t="s">
        <v>1505</v>
      </c>
      <c r="E70" s="1067" t="s">
        <v>1336</v>
      </c>
    </row>
    <row r="71" spans="1:5" s="1088" customFormat="1" ht="14.25" x14ac:dyDescent="0.2">
      <c r="A71" s="1067" t="s">
        <v>741</v>
      </c>
      <c r="B71" s="1090">
        <v>0.17</v>
      </c>
      <c r="C71" s="1063" t="s">
        <v>1156</v>
      </c>
      <c r="D71" s="1065" t="s">
        <v>1504</v>
      </c>
      <c r="E71" s="1067" t="s">
        <v>1707</v>
      </c>
    </row>
    <row r="72" spans="1:5" s="1088" customFormat="1" ht="14.25" x14ac:dyDescent="0.2">
      <c r="A72" s="1067" t="s">
        <v>756</v>
      </c>
      <c r="B72" s="1090">
        <v>0.36</v>
      </c>
      <c r="C72" s="1063" t="s">
        <v>1156</v>
      </c>
      <c r="D72" s="1065" t="s">
        <v>1505</v>
      </c>
      <c r="E72" s="1067" t="s">
        <v>1336</v>
      </c>
    </row>
    <row r="73" spans="1:5" s="1088" customFormat="1" ht="13.5" x14ac:dyDescent="0.2">
      <c r="A73" s="1067" t="s">
        <v>1157</v>
      </c>
      <c r="B73" s="1080"/>
      <c r="C73" s="1063"/>
      <c r="D73" s="1065" t="s">
        <v>1508</v>
      </c>
      <c r="E73" s="1071"/>
    </row>
    <row r="74" spans="1:5" s="1088" customFormat="1" x14ac:dyDescent="0.2">
      <c r="A74" s="1067" t="s">
        <v>736</v>
      </c>
      <c r="B74" s="1090">
        <v>69</v>
      </c>
      <c r="C74" s="1063" t="s">
        <v>1338</v>
      </c>
      <c r="D74" s="1065" t="s">
        <v>1507</v>
      </c>
      <c r="E74" s="1067" t="s">
        <v>1339</v>
      </c>
    </row>
    <row r="75" spans="1:5" s="1088" customFormat="1" x14ac:dyDescent="0.2">
      <c r="A75" s="1072" t="s">
        <v>735</v>
      </c>
      <c r="B75" s="1090">
        <v>59</v>
      </c>
      <c r="C75" s="1063" t="s">
        <v>1338</v>
      </c>
      <c r="D75" s="1065" t="s">
        <v>1507</v>
      </c>
      <c r="E75" s="1067" t="s">
        <v>1339</v>
      </c>
    </row>
    <row r="76" spans="1:5" s="1088" customFormat="1" x14ac:dyDescent="0.2">
      <c r="A76" s="1067" t="s">
        <v>734</v>
      </c>
      <c r="B76" s="1090">
        <v>160</v>
      </c>
      <c r="C76" s="1063" t="s">
        <v>1338</v>
      </c>
      <c r="D76" s="1065" t="s">
        <v>1507</v>
      </c>
      <c r="E76" s="1067" t="s">
        <v>1339</v>
      </c>
    </row>
    <row r="77" spans="1:5" s="1088" customFormat="1" x14ac:dyDescent="0.2">
      <c r="A77" s="1064" t="s">
        <v>737</v>
      </c>
      <c r="B77" s="1090">
        <v>0.25</v>
      </c>
      <c r="C77" s="1063" t="s">
        <v>781</v>
      </c>
      <c r="D77" s="1065" t="s">
        <v>1509</v>
      </c>
      <c r="E77" s="1067" t="s">
        <v>1340</v>
      </c>
    </row>
    <row r="78" spans="1:5" s="1088" customFormat="1" x14ac:dyDescent="0.2">
      <c r="A78" s="1067" t="s">
        <v>738</v>
      </c>
      <c r="B78" s="1090">
        <v>0.45</v>
      </c>
      <c r="C78" s="1063" t="s">
        <v>781</v>
      </c>
      <c r="D78" s="1065" t="s">
        <v>1509</v>
      </c>
      <c r="E78" s="1067" t="s">
        <v>1340</v>
      </c>
    </row>
    <row r="79" spans="1:5" s="1088" customFormat="1" x14ac:dyDescent="0.2">
      <c r="A79" s="1067" t="s">
        <v>739</v>
      </c>
      <c r="B79" s="1090">
        <v>0.54</v>
      </c>
      <c r="C79" s="1063" t="s">
        <v>781</v>
      </c>
      <c r="D79" s="1065" t="s">
        <v>1509</v>
      </c>
      <c r="E79" s="1067" t="s">
        <v>1340</v>
      </c>
    </row>
    <row r="80" spans="1:5" s="1088" customFormat="1" x14ac:dyDescent="0.2">
      <c r="A80" s="1067" t="s">
        <v>740</v>
      </c>
      <c r="B80" s="1090">
        <v>0.45</v>
      </c>
      <c r="C80" s="1063" t="s">
        <v>781</v>
      </c>
      <c r="D80" s="1065" t="s">
        <v>1509</v>
      </c>
      <c r="E80" s="1067" t="s">
        <v>1340</v>
      </c>
    </row>
    <row r="81" spans="1:5" s="1088" customFormat="1" x14ac:dyDescent="0.2">
      <c r="A81" s="1067" t="s">
        <v>741</v>
      </c>
      <c r="B81" s="1090">
        <v>0.45</v>
      </c>
      <c r="C81" s="1063" t="s">
        <v>781</v>
      </c>
      <c r="D81" s="1065"/>
      <c r="E81" s="1067" t="s">
        <v>1707</v>
      </c>
    </row>
    <row r="82" spans="1:5" s="1088" customFormat="1" x14ac:dyDescent="0.2">
      <c r="A82" s="1067" t="s">
        <v>756</v>
      </c>
      <c r="B82" s="1090">
        <v>0.96</v>
      </c>
      <c r="C82" s="1063" t="s">
        <v>781</v>
      </c>
      <c r="D82" s="1065" t="s">
        <v>1509</v>
      </c>
      <c r="E82" s="1067" t="s">
        <v>1340</v>
      </c>
    </row>
    <row r="83" spans="1:5" s="1088" customFormat="1" x14ac:dyDescent="0.2">
      <c r="A83" s="1081"/>
      <c r="B83" s="1080"/>
      <c r="C83" s="1063"/>
      <c r="D83" s="1065"/>
      <c r="E83" s="1067"/>
    </row>
    <row r="84" spans="1:5" s="1088" customFormat="1" x14ac:dyDescent="0.2">
      <c r="A84" s="1073" t="s">
        <v>750</v>
      </c>
      <c r="B84" s="1080"/>
      <c r="C84" s="1063"/>
      <c r="D84" s="1065"/>
      <c r="E84" s="1067"/>
    </row>
    <row r="85" spans="1:5" s="1088" customFormat="1" x14ac:dyDescent="0.2">
      <c r="A85" s="1131" t="s">
        <v>81</v>
      </c>
      <c r="B85" s="1080"/>
      <c r="C85" s="1063"/>
      <c r="D85" s="1065"/>
      <c r="E85" s="1067"/>
    </row>
    <row r="86" spans="1:5" s="1088" customFormat="1" x14ac:dyDescent="0.2">
      <c r="A86" s="1067" t="s">
        <v>769</v>
      </c>
      <c r="B86" s="1080" t="s">
        <v>34</v>
      </c>
      <c r="C86" s="1063"/>
      <c r="D86" s="1065"/>
      <c r="E86" s="1067"/>
    </row>
    <row r="87" spans="1:5" s="1088" customFormat="1" x14ac:dyDescent="0.2">
      <c r="A87" s="1081" t="s">
        <v>768</v>
      </c>
      <c r="B87" s="1090">
        <v>0.17</v>
      </c>
      <c r="C87" s="1068" t="s">
        <v>752</v>
      </c>
      <c r="D87" s="1063" t="s">
        <v>1504</v>
      </c>
      <c r="E87" s="1064" t="s">
        <v>766</v>
      </c>
    </row>
    <row r="88" spans="1:5" s="1088" customFormat="1" x14ac:dyDescent="0.2">
      <c r="A88" s="1081" t="s">
        <v>767</v>
      </c>
      <c r="B88" s="1094">
        <v>0.66</v>
      </c>
      <c r="C88" s="1068" t="s">
        <v>752</v>
      </c>
      <c r="D88" s="1063" t="s">
        <v>1504</v>
      </c>
      <c r="E88" s="1064" t="s">
        <v>766</v>
      </c>
    </row>
    <row r="89" spans="1:5" s="1088" customFormat="1" ht="14.25" x14ac:dyDescent="0.2">
      <c r="A89" s="1067" t="s">
        <v>775</v>
      </c>
      <c r="B89" s="1095">
        <v>0.66200000000000003</v>
      </c>
      <c r="C89" s="1063" t="s">
        <v>1158</v>
      </c>
      <c r="D89" s="1065" t="s">
        <v>1508</v>
      </c>
      <c r="E89" s="1064" t="s">
        <v>763</v>
      </c>
    </row>
    <row r="90" spans="1:5" s="1088" customFormat="1" x14ac:dyDescent="0.2">
      <c r="A90" s="1067" t="s">
        <v>770</v>
      </c>
      <c r="B90" s="1095">
        <f>1/1000</f>
        <v>1E-3</v>
      </c>
      <c r="C90" s="1063" t="s">
        <v>772</v>
      </c>
      <c r="D90" s="1065"/>
      <c r="E90" s="1064"/>
    </row>
    <row r="91" spans="1:5" s="1088" customFormat="1" x14ac:dyDescent="0.2">
      <c r="A91" s="1067" t="s">
        <v>771</v>
      </c>
      <c r="B91" s="1095">
        <v>365</v>
      </c>
      <c r="C91" s="1063" t="s">
        <v>773</v>
      </c>
      <c r="D91" s="1065"/>
      <c r="E91" s="1064"/>
    </row>
    <row r="92" spans="1:5" s="1088" customFormat="1" x14ac:dyDescent="0.2">
      <c r="A92" s="1067"/>
      <c r="B92" s="1080"/>
      <c r="C92" s="1063"/>
      <c r="D92" s="1065"/>
      <c r="E92" s="1067"/>
    </row>
    <row r="93" spans="1:5" s="1088" customFormat="1" x14ac:dyDescent="0.2">
      <c r="A93" s="1074" t="s">
        <v>106</v>
      </c>
      <c r="B93" s="1080"/>
      <c r="C93" s="1063"/>
      <c r="D93" s="1065"/>
      <c r="E93" s="1067"/>
    </row>
    <row r="94" spans="1:5" s="1088" customFormat="1" x14ac:dyDescent="0.2">
      <c r="A94" s="1081" t="s">
        <v>765</v>
      </c>
      <c r="B94" s="1093">
        <f>AVERAGE(B87:B88)</f>
        <v>0.41500000000000004</v>
      </c>
      <c r="C94" s="1068" t="s">
        <v>752</v>
      </c>
      <c r="D94" s="1705"/>
      <c r="E94" s="1092" t="s">
        <v>774</v>
      </c>
    </row>
    <row r="95" spans="1:5" s="1088" customFormat="1" ht="13.5" x14ac:dyDescent="0.2">
      <c r="A95" s="1067" t="s">
        <v>1159</v>
      </c>
      <c r="B95" s="1080"/>
      <c r="C95" s="1063"/>
      <c r="D95" s="1065" t="s">
        <v>1510</v>
      </c>
      <c r="E95" s="1064" t="s">
        <v>764</v>
      </c>
    </row>
    <row r="96" spans="1:5" s="1088" customFormat="1" x14ac:dyDescent="0.2">
      <c r="A96" s="1067" t="s">
        <v>736</v>
      </c>
      <c r="B96" s="1096">
        <f>B6*B54*B64*$B$94*$B$89</f>
        <v>854152.60326000024</v>
      </c>
      <c r="C96" s="1088" t="s">
        <v>747</v>
      </c>
      <c r="D96" s="1065"/>
      <c r="E96" s="1067"/>
    </row>
    <row r="97" spans="1:5" s="1088" customFormat="1" x14ac:dyDescent="0.2">
      <c r="A97" s="1072" t="s">
        <v>735</v>
      </c>
      <c r="B97" s="1096">
        <f>B7*B55*B65*$B$94*$B$89</f>
        <v>296481.69005670008</v>
      </c>
      <c r="C97" s="1088" t="s">
        <v>747</v>
      </c>
      <c r="D97" s="1065"/>
      <c r="E97" s="1067"/>
    </row>
    <row r="98" spans="1:5" s="1088" customFormat="1" x14ac:dyDescent="0.2">
      <c r="A98" s="1067" t="s">
        <v>734</v>
      </c>
      <c r="B98" s="1096">
        <f>B8*B56*B66*$B$94*$B$89</f>
        <v>2123935.0585272</v>
      </c>
      <c r="C98" s="1088" t="s">
        <v>747</v>
      </c>
      <c r="D98" s="1065"/>
      <c r="E98" s="1067"/>
    </row>
    <row r="99" spans="1:5" s="1088" customFormat="1" x14ac:dyDescent="0.2">
      <c r="A99" s="1064" t="s">
        <v>737</v>
      </c>
      <c r="B99" s="1096">
        <f>B9*B47*$B$90*B57*$B$91*B67*$B$94*$B$89</f>
        <v>347536.32546154509</v>
      </c>
      <c r="C99" s="1088" t="s">
        <v>747</v>
      </c>
      <c r="D99" s="1065"/>
      <c r="E99" s="1067"/>
    </row>
    <row r="100" spans="1:5" s="1088" customFormat="1" x14ac:dyDescent="0.2">
      <c r="A100" s="1067" t="s">
        <v>738</v>
      </c>
      <c r="B100" s="1096">
        <f t="shared" ref="B100:B104" si="1">B10*B48*$B$90*B58*$B$91*B68*$B$94*$B$89</f>
        <v>18103.404889692007</v>
      </c>
      <c r="C100" s="1088" t="s">
        <v>747</v>
      </c>
      <c r="D100" s="1065"/>
      <c r="E100" s="1067"/>
    </row>
    <row r="101" spans="1:5" s="1088" customFormat="1" x14ac:dyDescent="0.2">
      <c r="A101" s="1067" t="s">
        <v>739</v>
      </c>
      <c r="B101" s="1096">
        <f t="shared" si="1"/>
        <v>8183.2129246656013</v>
      </c>
      <c r="C101" s="1088" t="s">
        <v>747</v>
      </c>
      <c r="D101" s="1065"/>
      <c r="E101" s="1067"/>
    </row>
    <row r="102" spans="1:5" s="1088" customFormat="1" x14ac:dyDescent="0.2">
      <c r="A102" s="1067" t="s">
        <v>740</v>
      </c>
      <c r="B102" s="1096">
        <f t="shared" si="1"/>
        <v>14904.257227936001</v>
      </c>
      <c r="C102" s="1088" t="s">
        <v>747</v>
      </c>
      <c r="D102" s="1065"/>
      <c r="E102" s="1067"/>
    </row>
    <row r="103" spans="1:5" s="1088" customFormat="1" x14ac:dyDescent="0.2">
      <c r="A103" s="1067" t="s">
        <v>741</v>
      </c>
      <c r="B103" s="1096">
        <f t="shared" si="1"/>
        <v>257.16611862857144</v>
      </c>
      <c r="C103" s="1088" t="s">
        <v>747</v>
      </c>
      <c r="D103" s="1065"/>
      <c r="E103" s="1067"/>
    </row>
    <row r="104" spans="1:5" s="1088" customFormat="1" x14ac:dyDescent="0.2">
      <c r="A104" s="1067" t="s">
        <v>756</v>
      </c>
      <c r="B104" s="1096">
        <f t="shared" si="1"/>
        <v>420750.03316620796</v>
      </c>
      <c r="C104" s="1088" t="s">
        <v>747</v>
      </c>
      <c r="D104" s="1065"/>
      <c r="E104" s="1067"/>
    </row>
    <row r="105" spans="1:5" s="1088" customFormat="1" x14ac:dyDescent="0.2">
      <c r="A105" s="1067" t="s">
        <v>776</v>
      </c>
      <c r="B105" s="1097">
        <f>SUM(B96:B104)</f>
        <v>4084303.7516325749</v>
      </c>
      <c r="C105" s="1061" t="s">
        <v>747</v>
      </c>
      <c r="D105" s="1065"/>
      <c r="E105" s="1067"/>
    </row>
    <row r="106" spans="1:5" s="1088" customFormat="1" x14ac:dyDescent="0.2">
      <c r="A106" s="1067" t="s">
        <v>777</v>
      </c>
      <c r="B106" s="1082">
        <f>B105/1000</f>
        <v>4084.3037516325749</v>
      </c>
      <c r="C106" s="1083" t="s">
        <v>754</v>
      </c>
      <c r="D106" s="1065"/>
      <c r="E106" s="1067"/>
    </row>
    <row r="107" spans="1:5" x14ac:dyDescent="0.2">
      <c r="D107" s="1102"/>
    </row>
    <row r="108" spans="1:5" x14ac:dyDescent="0.2">
      <c r="D108" s="1102"/>
    </row>
    <row r="109" spans="1:5" x14ac:dyDescent="0.2">
      <c r="D109" s="1102"/>
    </row>
    <row r="110" spans="1:5" x14ac:dyDescent="0.2">
      <c r="D110" s="1065" t="s">
        <v>1508</v>
      </c>
      <c r="E110" s="1064"/>
    </row>
    <row r="111" spans="1:5" x14ac:dyDescent="0.2">
      <c r="D111" s="1065" t="s">
        <v>1508</v>
      </c>
      <c r="E111" s="1064"/>
    </row>
    <row r="112" spans="1:5" x14ac:dyDescent="0.2">
      <c r="D112" s="1065" t="s">
        <v>1508</v>
      </c>
      <c r="E112" s="1064"/>
    </row>
    <row r="113" spans="1:5" x14ac:dyDescent="0.2">
      <c r="D113" s="1065" t="s">
        <v>1508</v>
      </c>
      <c r="E113" s="1064"/>
    </row>
    <row r="114" spans="1:5" x14ac:dyDescent="0.2">
      <c r="A114" s="1091" t="s">
        <v>751</v>
      </c>
      <c r="D114" s="1065" t="s">
        <v>1508</v>
      </c>
      <c r="E114" s="1064"/>
    </row>
    <row r="115" spans="1:5" x14ac:dyDescent="0.2">
      <c r="A115" s="1131" t="s">
        <v>81</v>
      </c>
      <c r="D115" s="1102"/>
      <c r="E115" s="1064"/>
    </row>
    <row r="116" spans="1:5" x14ac:dyDescent="0.2">
      <c r="A116" s="1067" t="s">
        <v>780</v>
      </c>
      <c r="B116" s="1087"/>
      <c r="C116" s="1088"/>
      <c r="D116" s="1065"/>
      <c r="E116" s="1064"/>
    </row>
    <row r="117" spans="1:5" ht="13.5" x14ac:dyDescent="0.2">
      <c r="A117" s="1067" t="s">
        <v>760</v>
      </c>
      <c r="B117" s="1089">
        <v>0.02</v>
      </c>
      <c r="C117" s="1063" t="s">
        <v>1160</v>
      </c>
      <c r="D117" s="1065" t="s">
        <v>1706</v>
      </c>
      <c r="E117" s="1064" t="s">
        <v>1708</v>
      </c>
    </row>
    <row r="118" spans="1:5" ht="13.5" x14ac:dyDescent="0.2">
      <c r="A118" s="1072" t="s">
        <v>761</v>
      </c>
      <c r="B118" s="1672">
        <v>5.0000000000000001E-3</v>
      </c>
      <c r="C118" s="1083" t="s">
        <v>1161</v>
      </c>
      <c r="D118" s="1065" t="s">
        <v>1706</v>
      </c>
      <c r="E118" s="1064" t="s">
        <v>1708</v>
      </c>
    </row>
    <row r="119" spans="1:5" ht="13.5" x14ac:dyDescent="0.2">
      <c r="A119" s="1067" t="s">
        <v>762</v>
      </c>
      <c r="B119" s="1672">
        <v>1E-3</v>
      </c>
      <c r="C119" s="1083" t="s">
        <v>1161</v>
      </c>
      <c r="D119" s="1065" t="s">
        <v>1706</v>
      </c>
      <c r="E119" s="1064" t="s">
        <v>1708</v>
      </c>
    </row>
    <row r="120" spans="1:5" x14ac:dyDescent="0.2">
      <c r="A120" s="1067" t="s">
        <v>1709</v>
      </c>
      <c r="B120" s="1673">
        <v>0.26</v>
      </c>
      <c r="C120" s="1083"/>
      <c r="D120" s="1065"/>
      <c r="E120" s="1064"/>
    </row>
    <row r="121" spans="1:5" x14ac:dyDescent="0.2">
      <c r="A121" s="1067" t="s">
        <v>1710</v>
      </c>
      <c r="B121" s="1673">
        <v>0.34</v>
      </c>
      <c r="C121" s="1083"/>
      <c r="D121" s="1065"/>
      <c r="E121" s="1064"/>
    </row>
    <row r="122" spans="1:5" x14ac:dyDescent="0.2">
      <c r="A122" s="1067" t="s">
        <v>1711</v>
      </c>
      <c r="B122" s="1674">
        <f>0.8/3</f>
        <v>0.26666666666666666</v>
      </c>
      <c r="C122" s="1706"/>
      <c r="D122" s="1065"/>
      <c r="E122" s="1064"/>
    </row>
    <row r="123" spans="1:5" x14ac:dyDescent="0.2">
      <c r="A123" s="1067" t="s">
        <v>1712</v>
      </c>
      <c r="B123" s="1674">
        <v>0</v>
      </c>
      <c r="C123" s="1706"/>
      <c r="D123" s="1065"/>
      <c r="E123" s="1064"/>
    </row>
    <row r="124" spans="1:5" x14ac:dyDescent="0.2">
      <c r="A124" s="1067" t="s">
        <v>779</v>
      </c>
      <c r="B124" s="1089">
        <f>44/28</f>
        <v>1.5714285714285714</v>
      </c>
      <c r="C124" s="1068" t="s">
        <v>752</v>
      </c>
      <c r="D124" s="1065" t="s">
        <v>1706</v>
      </c>
      <c r="E124" s="1064" t="s">
        <v>1708</v>
      </c>
    </row>
    <row r="125" spans="1:5" x14ac:dyDescent="0.2">
      <c r="A125" s="1067" t="s">
        <v>770</v>
      </c>
      <c r="B125" s="1095">
        <f>1/1000</f>
        <v>1E-3</v>
      </c>
      <c r="C125" s="1063" t="s">
        <v>772</v>
      </c>
      <c r="D125" s="1065"/>
      <c r="E125" s="1064"/>
    </row>
    <row r="126" spans="1:5" x14ac:dyDescent="0.2">
      <c r="A126" s="1067" t="s">
        <v>771</v>
      </c>
      <c r="B126" s="1095">
        <v>365</v>
      </c>
      <c r="C126" s="1063" t="s">
        <v>773</v>
      </c>
      <c r="D126" s="1065"/>
      <c r="E126" s="1064"/>
    </row>
    <row r="127" spans="1:5" x14ac:dyDescent="0.2">
      <c r="A127" s="1074" t="s">
        <v>106</v>
      </c>
      <c r="C127" s="1102"/>
      <c r="D127" s="1102"/>
      <c r="E127" s="1064"/>
    </row>
    <row r="128" spans="1:5" x14ac:dyDescent="0.2">
      <c r="A128" s="1072" t="s">
        <v>782</v>
      </c>
      <c r="B128" s="1101"/>
      <c r="C128" s="1102"/>
      <c r="D128" s="1102"/>
      <c r="E128" s="1064"/>
    </row>
    <row r="129" spans="1:5" ht="13.5" x14ac:dyDescent="0.2">
      <c r="A129" s="1067" t="s">
        <v>736</v>
      </c>
      <c r="B129" s="1103">
        <f>B6*B44*B74*$B$125*$B$124*$B$118</f>
        <v>4212.368678571429</v>
      </c>
      <c r="C129" s="1102" t="s">
        <v>1714</v>
      </c>
      <c r="D129" s="1102"/>
      <c r="E129" s="1064"/>
    </row>
    <row r="130" spans="1:5" ht="13.5" x14ac:dyDescent="0.2">
      <c r="A130" s="1072" t="s">
        <v>735</v>
      </c>
      <c r="B130" s="1103">
        <f t="shared" ref="B130:B136" si="2">B7*B45*B75*$B$125*$B$124*$B$118</f>
        <v>862.13994428571436</v>
      </c>
      <c r="C130" s="1102" t="s">
        <v>1714</v>
      </c>
      <c r="D130" s="1102"/>
    </row>
    <row r="131" spans="1:5" ht="13.5" x14ac:dyDescent="0.2">
      <c r="A131" s="1067" t="s">
        <v>734</v>
      </c>
      <c r="B131" s="1103">
        <f t="shared" si="2"/>
        <v>9558.157714285715</v>
      </c>
      <c r="C131" s="1099" t="s">
        <v>1714</v>
      </c>
    </row>
    <row r="132" spans="1:5" ht="13.5" x14ac:dyDescent="0.2">
      <c r="A132" s="1064" t="s">
        <v>737</v>
      </c>
      <c r="B132" s="1103">
        <f>B9*B47*B77*$B$125*$B$124*$B$118</f>
        <v>3.3819107142857145</v>
      </c>
      <c r="C132" s="1099" t="s">
        <v>1714</v>
      </c>
    </row>
    <row r="133" spans="1:5" ht="13.5" x14ac:dyDescent="0.2">
      <c r="A133" s="1067" t="s">
        <v>738</v>
      </c>
      <c r="B133" s="1103">
        <f t="shared" si="2"/>
        <v>0.40476857142857142</v>
      </c>
      <c r="C133" s="1099" t="s">
        <v>1714</v>
      </c>
    </row>
    <row r="134" spans="1:5" ht="13.5" x14ac:dyDescent="0.2">
      <c r="A134" s="1067" t="s">
        <v>739</v>
      </c>
      <c r="B134" s="1103">
        <f t="shared" si="2"/>
        <v>0.13358211428571429</v>
      </c>
      <c r="C134" s="1099" t="s">
        <v>1714</v>
      </c>
    </row>
    <row r="135" spans="1:5" ht="13.5" x14ac:dyDescent="0.2">
      <c r="A135" s="1067" t="s">
        <v>740</v>
      </c>
      <c r="B135" s="1103">
        <f t="shared" si="2"/>
        <v>0.32539885714285716</v>
      </c>
      <c r="C135" s="1099" t="s">
        <v>1714</v>
      </c>
    </row>
    <row r="136" spans="1:5" ht="13.5" x14ac:dyDescent="0.2">
      <c r="A136" s="1067" t="s">
        <v>741</v>
      </c>
      <c r="B136" s="1103">
        <f t="shared" si="2"/>
        <v>2.6669387755102043E-2</v>
      </c>
      <c r="C136" s="1099" t="s">
        <v>1714</v>
      </c>
    </row>
    <row r="137" spans="1:5" ht="13.5" x14ac:dyDescent="0.2">
      <c r="A137" s="1067" t="s">
        <v>756</v>
      </c>
      <c r="B137" s="1103">
        <f>B14*B52*$B$121*B82*$B$123*$B$119</f>
        <v>0</v>
      </c>
      <c r="C137" s="1099" t="s">
        <v>1714</v>
      </c>
    </row>
    <row r="138" spans="1:5" ht="13.5" x14ac:dyDescent="0.2">
      <c r="A138" s="1067" t="s">
        <v>783</v>
      </c>
      <c r="B138" s="1082">
        <f>SUM(B129:B137)</f>
        <v>14636.938666787757</v>
      </c>
      <c r="C138" s="1680" t="s">
        <v>1717</v>
      </c>
    </row>
    <row r="139" spans="1:5" ht="13.5" x14ac:dyDescent="0.2">
      <c r="A139" s="1067" t="s">
        <v>784</v>
      </c>
      <c r="B139" s="1082">
        <f>B138/1000</f>
        <v>14.636938666787756</v>
      </c>
      <c r="C139" s="1680" t="s">
        <v>1715</v>
      </c>
    </row>
    <row r="140" spans="1:5" s="1088" customFormat="1" x14ac:dyDescent="0.2">
      <c r="A140" s="1067"/>
      <c r="B140" s="1087"/>
      <c r="C140" s="1063"/>
      <c r="D140" s="1065"/>
      <c r="E140" s="1067"/>
    </row>
    <row r="141" spans="1:5" x14ac:dyDescent="0.2">
      <c r="A141" s="1066" t="s">
        <v>753</v>
      </c>
      <c r="B141" s="1155">
        <f>B106*GWPCH4+B139*GWPN2O</f>
        <v>90307.829770988275</v>
      </c>
      <c r="C141" s="1105" t="s">
        <v>117</v>
      </c>
      <c r="E141" s="1064"/>
    </row>
    <row r="142" spans="1:5" x14ac:dyDescent="0.2">
      <c r="A142" s="1104"/>
      <c r="E142" s="1064"/>
    </row>
    <row r="143" spans="1:5" x14ac:dyDescent="0.2">
      <c r="A143" s="1091" t="s">
        <v>1713</v>
      </c>
      <c r="B143" s="1675"/>
      <c r="C143" s="1676"/>
      <c r="D143" s="1677"/>
      <c r="E143" s="1678"/>
    </row>
    <row r="144" spans="1:5" ht="13.5" x14ac:dyDescent="0.2">
      <c r="A144" s="1067" t="s">
        <v>736</v>
      </c>
      <c r="B144" s="1080">
        <f t="shared" ref="B144:B150" si="3">B129*B6*0.01*0.0075*$B$120*$B$122*$B$124/1000*GWPN2O</f>
        <v>99.769470738401026</v>
      </c>
      <c r="C144" s="1099" t="s">
        <v>1714</v>
      </c>
      <c r="D144" s="1063"/>
      <c r="E144" s="1064"/>
    </row>
    <row r="145" spans="1:5" ht="13.5" x14ac:dyDescent="0.2">
      <c r="A145" s="1064" t="s">
        <v>735</v>
      </c>
      <c r="B145" s="1080">
        <f t="shared" si="3"/>
        <v>7.3314316652704834</v>
      </c>
      <c r="C145" s="1099" t="s">
        <v>1714</v>
      </c>
      <c r="D145" s="1063"/>
      <c r="E145" s="1064"/>
    </row>
    <row r="146" spans="1:5" ht="13.5" x14ac:dyDescent="0.2">
      <c r="A146" s="1067" t="s">
        <v>734</v>
      </c>
      <c r="B146" s="1080">
        <f t="shared" si="3"/>
        <v>270.71637274365651</v>
      </c>
      <c r="C146" s="1099" t="s">
        <v>1714</v>
      </c>
      <c r="D146" s="1063"/>
      <c r="E146" s="1064"/>
    </row>
    <row r="147" spans="1:5" ht="13.5" x14ac:dyDescent="0.2">
      <c r="A147" s="1064" t="s">
        <v>737</v>
      </c>
      <c r="B147" s="1080">
        <f t="shared" si="3"/>
        <v>3.2776817720877559E-2</v>
      </c>
      <c r="C147" s="1099" t="s">
        <v>1714</v>
      </c>
      <c r="D147" s="1063"/>
      <c r="E147" s="1064"/>
    </row>
    <row r="148" spans="1:5" ht="13.5" x14ac:dyDescent="0.2">
      <c r="A148" s="1067" t="s">
        <v>738</v>
      </c>
      <c r="B148" s="1080">
        <f t="shared" si="3"/>
        <v>1.4672566967951018E-3</v>
      </c>
      <c r="C148" s="1099" t="s">
        <v>1714</v>
      </c>
      <c r="D148" s="1063"/>
      <c r="E148" s="1064"/>
    </row>
    <row r="149" spans="1:5" ht="13.5" x14ac:dyDescent="0.2">
      <c r="A149" s="1067" t="s">
        <v>739</v>
      </c>
      <c r="B149" s="1080">
        <f t="shared" si="3"/>
        <v>1.5667113391258774E-4</v>
      </c>
      <c r="C149" s="1099" t="s">
        <v>1714</v>
      </c>
      <c r="D149" s="1063"/>
      <c r="E149" s="1064"/>
    </row>
    <row r="150" spans="1:5" ht="13.5" x14ac:dyDescent="0.2">
      <c r="A150" s="1067" t="s">
        <v>740</v>
      </c>
      <c r="B150" s="1080">
        <f t="shared" si="3"/>
        <v>1.1853172150177961E-3</v>
      </c>
      <c r="C150" s="1099" t="s">
        <v>1714</v>
      </c>
      <c r="D150" s="1063"/>
      <c r="E150" s="1064"/>
    </row>
    <row r="151" spans="1:5" ht="13.5" x14ac:dyDescent="0.2">
      <c r="A151" s="1067" t="s">
        <v>741</v>
      </c>
      <c r="B151" s="1080">
        <f>B136*B13*0.01*0.0075*$B$130*$B$132*$B$134/1000*GWPN2O</f>
        <v>0.91081486012358259</v>
      </c>
      <c r="C151" s="1099" t="s">
        <v>1714</v>
      </c>
      <c r="D151" s="1063"/>
      <c r="E151" s="1064"/>
    </row>
    <row r="152" spans="1:5" ht="13.5" x14ac:dyDescent="0.2">
      <c r="A152" s="1067" t="s">
        <v>756</v>
      </c>
      <c r="B152" s="1080">
        <f>B137*B4*0.01*0.0075*$B$119*$B$121*$B$123/1000*GWPN2O</f>
        <v>0</v>
      </c>
      <c r="C152" s="1099" t="s">
        <v>1714</v>
      </c>
      <c r="D152" s="1063"/>
      <c r="E152" s="1064"/>
    </row>
    <row r="153" spans="1:5" ht="13.5" x14ac:dyDescent="0.2">
      <c r="A153" s="1067" t="s">
        <v>783</v>
      </c>
      <c r="B153" s="1534">
        <f>SUM(B144:B152)</f>
        <v>378.76367607021825</v>
      </c>
      <c r="C153" s="1680" t="s">
        <v>1717</v>
      </c>
      <c r="D153" s="1063"/>
      <c r="E153" s="1064"/>
    </row>
    <row r="154" spans="1:5" ht="13.5" x14ac:dyDescent="0.2">
      <c r="A154" s="1067" t="s">
        <v>784</v>
      </c>
      <c r="B154" s="1679">
        <f>B153/1000</f>
        <v>0.37876367607021827</v>
      </c>
      <c r="C154" s="1680" t="s">
        <v>1715</v>
      </c>
      <c r="D154" s="1063"/>
      <c r="E154" s="1064"/>
    </row>
    <row r="155" spans="1:5" x14ac:dyDescent="0.2">
      <c r="A155" s="1066"/>
      <c r="B155" s="1085"/>
      <c r="C155" s="1681"/>
      <c r="D155" s="1063"/>
      <c r="E155" s="1064"/>
    </row>
    <row r="156" spans="1:5" ht="13.5" x14ac:dyDescent="0.2">
      <c r="A156" s="1066"/>
      <c r="B156" s="1155">
        <f>B127*GWPCH4+B154*GWPN2O</f>
        <v>117.41673958176766</v>
      </c>
      <c r="C156" s="1681" t="s">
        <v>1716</v>
      </c>
      <c r="D156" s="1063"/>
      <c r="E156" s="1064"/>
    </row>
    <row r="157" spans="1:5" x14ac:dyDescent="0.2">
      <c r="D157" s="1063"/>
    </row>
    <row r="158" spans="1:5" x14ac:dyDescent="0.2">
      <c r="D158" s="1102"/>
      <c r="E158" s="1064"/>
    </row>
    <row r="159" spans="1:5" x14ac:dyDescent="0.2">
      <c r="A159" s="1106" t="s">
        <v>749</v>
      </c>
      <c r="D159" s="1102"/>
      <c r="E159" s="1064"/>
    </row>
    <row r="160" spans="1:5" x14ac:dyDescent="0.2">
      <c r="A160" s="1131" t="s">
        <v>81</v>
      </c>
      <c r="D160" s="1102"/>
      <c r="E160" s="1064"/>
    </row>
    <row r="161" spans="1:5" x14ac:dyDescent="0.2">
      <c r="A161" s="1072" t="s">
        <v>856</v>
      </c>
      <c r="D161" s="1102"/>
      <c r="E161" s="1064"/>
    </row>
    <row r="162" spans="1:5" x14ac:dyDescent="0.2">
      <c r="A162" s="1072" t="s">
        <v>1866</v>
      </c>
      <c r="B162" s="1526">
        <v>29082</v>
      </c>
      <c r="C162" s="1102" t="s">
        <v>785</v>
      </c>
      <c r="D162" s="1065" t="s">
        <v>1511</v>
      </c>
      <c r="E162" s="1064" t="s">
        <v>854</v>
      </c>
    </row>
    <row r="163" spans="1:5" x14ac:dyDescent="0.2">
      <c r="A163" s="1072" t="s">
        <v>786</v>
      </c>
      <c r="B163" s="1526">
        <v>389690414</v>
      </c>
      <c r="C163" s="1099" t="s">
        <v>785</v>
      </c>
      <c r="D163" s="1063" t="s">
        <v>1512</v>
      </c>
      <c r="E163" s="1064" t="s">
        <v>855</v>
      </c>
    </row>
    <row r="164" spans="1:5" x14ac:dyDescent="0.2">
      <c r="A164" s="1107" t="s">
        <v>789</v>
      </c>
      <c r="B164" s="1682"/>
      <c r="D164" s="1063"/>
      <c r="E164" s="1314"/>
    </row>
    <row r="165" spans="1:5" x14ac:dyDescent="0.2">
      <c r="A165" s="1072" t="s">
        <v>787</v>
      </c>
      <c r="B165" s="1527">
        <v>154.6</v>
      </c>
      <c r="C165" s="1099" t="s">
        <v>117</v>
      </c>
      <c r="D165" s="1063" t="s">
        <v>1513</v>
      </c>
      <c r="E165" s="1064" t="s">
        <v>1341</v>
      </c>
    </row>
    <row r="166" spans="1:5" x14ac:dyDescent="0.2">
      <c r="A166" s="1107" t="s">
        <v>788</v>
      </c>
      <c r="B166" s="1682"/>
      <c r="D166" s="1063"/>
      <c r="E166" s="1314"/>
    </row>
    <row r="167" spans="1:5" x14ac:dyDescent="0.2">
      <c r="A167" s="1072" t="s">
        <v>787</v>
      </c>
      <c r="B167" s="1527">
        <v>31.1</v>
      </c>
      <c r="C167" s="1099" t="s">
        <v>117</v>
      </c>
      <c r="D167" s="1063" t="s">
        <v>1513</v>
      </c>
      <c r="E167" s="1063" t="s">
        <v>1342</v>
      </c>
    </row>
    <row r="168" spans="1:5" x14ac:dyDescent="0.2">
      <c r="A168" s="1072" t="s">
        <v>790</v>
      </c>
      <c r="B168" s="1527">
        <v>12.7</v>
      </c>
      <c r="C168" s="1099" t="s">
        <v>117</v>
      </c>
      <c r="D168" s="1063" t="s">
        <v>1513</v>
      </c>
      <c r="E168" s="1063" t="s">
        <v>1342</v>
      </c>
    </row>
    <row r="169" spans="1:5" x14ac:dyDescent="0.2">
      <c r="A169" s="1072" t="s">
        <v>791</v>
      </c>
      <c r="B169" s="1527">
        <v>18.399999999999999</v>
      </c>
      <c r="C169" s="1099" t="s">
        <v>117</v>
      </c>
      <c r="D169" s="1063" t="s">
        <v>1513</v>
      </c>
      <c r="E169" s="1063" t="s">
        <v>1342</v>
      </c>
    </row>
    <row r="170" spans="1:5" x14ac:dyDescent="0.2">
      <c r="A170" s="1074" t="s">
        <v>106</v>
      </c>
      <c r="D170" s="1102"/>
      <c r="E170" s="1064"/>
    </row>
    <row r="171" spans="1:5" x14ac:dyDescent="0.2">
      <c r="A171" s="1072" t="s">
        <v>1865</v>
      </c>
      <c r="B171" s="1108">
        <f>B162/B163</f>
        <v>7.4628471615419316E-5</v>
      </c>
      <c r="D171" s="1102"/>
      <c r="E171" s="1064"/>
    </row>
    <row r="172" spans="1:5" x14ac:dyDescent="0.2">
      <c r="A172" s="1072" t="s">
        <v>857</v>
      </c>
      <c r="B172" s="1109">
        <f>B171*B165</f>
        <v>1.1537561711743825E-2</v>
      </c>
      <c r="C172" s="1099" t="s">
        <v>117</v>
      </c>
      <c r="D172" s="1102"/>
    </row>
    <row r="173" spans="1:5" x14ac:dyDescent="0.2">
      <c r="A173" s="1072" t="s">
        <v>858</v>
      </c>
      <c r="B173" s="1109">
        <f>B171*B167</f>
        <v>2.3209454672395409E-3</v>
      </c>
      <c r="C173" s="1099" t="s">
        <v>117</v>
      </c>
    </row>
    <row r="174" spans="1:5" x14ac:dyDescent="0.2">
      <c r="A174" s="1072" t="s">
        <v>859</v>
      </c>
      <c r="B174" s="1109">
        <f>SUM(B172:B173)</f>
        <v>1.3858507178983365E-2</v>
      </c>
      <c r="C174" s="1099" t="s">
        <v>117</v>
      </c>
    </row>
    <row r="175" spans="1:5" x14ac:dyDescent="0.2">
      <c r="A175" s="1064" t="s">
        <v>860</v>
      </c>
      <c r="B175" s="1155">
        <f>B174*1000000</f>
        <v>13858.507178983366</v>
      </c>
      <c r="C175" s="1105" t="s">
        <v>117</v>
      </c>
    </row>
    <row r="178" spans="1:5" ht="13.5" x14ac:dyDescent="0.2">
      <c r="A178" s="1145" t="s">
        <v>15</v>
      </c>
      <c r="B178" s="1110">
        <f>SUM(B39,B141,B175)</f>
        <v>168997.45444997164</v>
      </c>
      <c r="C178" s="1237" t="s">
        <v>128</v>
      </c>
      <c r="D178" s="1112"/>
      <c r="E178" s="1111"/>
    </row>
    <row r="180" spans="1:5" x14ac:dyDescent="0.2">
      <c r="B180" s="1113"/>
    </row>
  </sheetData>
  <mergeCells count="1">
    <mergeCell ref="B1:E1"/>
  </mergeCells>
  <pageMargins left="0.7" right="0.7" top="0.75" bottom="0.75" header="0.3" footer="0.3"/>
  <pageSetup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77"/>
  <sheetViews>
    <sheetView workbookViewId="0">
      <pane xSplit="1" ySplit="2" topLeftCell="B3" activePane="bottomRight" state="frozen"/>
      <selection activeCell="F46" sqref="F46"/>
      <selection pane="topRight" activeCell="F46" sqref="F46"/>
      <selection pane="bottomLeft" activeCell="F46" sqref="F46"/>
      <selection pane="bottomRight" activeCell="B31" sqref="B31"/>
    </sheetView>
  </sheetViews>
  <sheetFormatPr defaultColWidth="8.85546875" defaultRowHeight="12" x14ac:dyDescent="0.2"/>
  <cols>
    <col min="1" max="1" width="52.28515625" style="1" customWidth="1"/>
    <col min="2" max="2" width="14.7109375" style="208" customWidth="1"/>
    <col min="3" max="3" width="14.5703125" customWidth="1"/>
    <col min="4" max="4" width="9.42578125" customWidth="1"/>
    <col min="5" max="5" width="9.42578125" style="302" customWidth="1"/>
  </cols>
  <sheetData>
    <row r="1" spans="1:5" x14ac:dyDescent="0.2">
      <c r="A1" s="112"/>
      <c r="B1" s="1790">
        <v>2015</v>
      </c>
      <c r="C1" s="1791"/>
      <c r="D1" s="1791"/>
      <c r="E1" s="1792"/>
    </row>
    <row r="2" spans="1:5" x14ac:dyDescent="0.2">
      <c r="A2" s="112" t="s">
        <v>489</v>
      </c>
      <c r="B2" s="199" t="s">
        <v>487</v>
      </c>
      <c r="C2" s="1048" t="s">
        <v>486</v>
      </c>
      <c r="D2" s="556" t="s">
        <v>488</v>
      </c>
      <c r="E2" s="578" t="s">
        <v>306</v>
      </c>
    </row>
    <row r="3" spans="1:5" x14ac:dyDescent="0.2">
      <c r="A3" s="1118" t="s">
        <v>944</v>
      </c>
      <c r="B3" s="1122"/>
      <c r="C3" s="1119"/>
      <c r="D3" s="1119"/>
      <c r="E3" s="1121"/>
    </row>
    <row r="4" spans="1:5" x14ac:dyDescent="0.2">
      <c r="A4" s="1133" t="s">
        <v>81</v>
      </c>
      <c r="B4" s="987"/>
      <c r="C4" s="93"/>
      <c r="D4" s="312"/>
      <c r="E4" s="722"/>
    </row>
    <row r="5" spans="1:5" x14ac:dyDescent="0.2">
      <c r="A5" s="172"/>
      <c r="B5" s="988"/>
      <c r="C5" s="93"/>
      <c r="D5" s="312"/>
      <c r="E5" s="722"/>
    </row>
    <row r="6" spans="1:5" x14ac:dyDescent="0.2">
      <c r="A6" s="540" t="s">
        <v>945</v>
      </c>
      <c r="B6" s="988"/>
      <c r="C6" s="93"/>
      <c r="D6" s="312"/>
      <c r="E6" s="722"/>
    </row>
    <row r="7" spans="1:5" x14ac:dyDescent="0.2">
      <c r="A7" s="647" t="s">
        <v>946</v>
      </c>
      <c r="B7" s="1123">
        <f>SUM(B8:B10)</f>
        <v>1109</v>
      </c>
      <c r="C7" s="93"/>
      <c r="D7" s="312"/>
      <c r="E7" s="722"/>
    </row>
    <row r="8" spans="1:5" x14ac:dyDescent="0.2">
      <c r="A8" s="985" t="s">
        <v>960</v>
      </c>
      <c r="B8" s="1123">
        <v>749</v>
      </c>
      <c r="C8" s="93"/>
      <c r="D8" s="312" t="s">
        <v>1874</v>
      </c>
      <c r="E8" s="722"/>
    </row>
    <row r="9" spans="1:5" x14ac:dyDescent="0.2">
      <c r="A9" s="985" t="s">
        <v>962</v>
      </c>
      <c r="B9" s="1123">
        <v>119</v>
      </c>
      <c r="C9" s="93"/>
      <c r="D9" s="312" t="s">
        <v>1874</v>
      </c>
      <c r="E9" s="722"/>
    </row>
    <row r="10" spans="1:5" x14ac:dyDescent="0.2">
      <c r="A10" s="985" t="s">
        <v>963</v>
      </c>
      <c r="B10" s="1123">
        <v>241</v>
      </c>
      <c r="C10" s="93"/>
      <c r="D10" s="312" t="s">
        <v>1874</v>
      </c>
      <c r="E10" s="722"/>
    </row>
    <row r="11" spans="1:5" x14ac:dyDescent="0.2">
      <c r="A11" s="986" t="s">
        <v>961</v>
      </c>
      <c r="B11" s="1123">
        <f>SUM(B12:B14)</f>
        <v>1301.7</v>
      </c>
      <c r="C11" s="323" t="s">
        <v>785</v>
      </c>
      <c r="D11" s="312"/>
      <c r="E11" s="995"/>
    </row>
    <row r="12" spans="1:5" x14ac:dyDescent="0.2">
      <c r="A12" s="985" t="s">
        <v>960</v>
      </c>
      <c r="B12" s="1123">
        <v>88.6</v>
      </c>
      <c r="C12" s="323" t="s">
        <v>785</v>
      </c>
      <c r="D12" s="312" t="s">
        <v>1874</v>
      </c>
      <c r="E12" s="722"/>
    </row>
    <row r="13" spans="1:5" x14ac:dyDescent="0.2">
      <c r="A13" s="985" t="s">
        <v>962</v>
      </c>
      <c r="B13" s="1123">
        <v>72.97</v>
      </c>
      <c r="C13" s="323" t="s">
        <v>785</v>
      </c>
      <c r="D13" s="312" t="s">
        <v>1874</v>
      </c>
      <c r="E13" s="995"/>
    </row>
    <row r="14" spans="1:5" x14ac:dyDescent="0.2">
      <c r="A14" s="985" t="s">
        <v>963</v>
      </c>
      <c r="B14" s="1123">
        <v>1140.1300000000001</v>
      </c>
      <c r="C14" s="93" t="s">
        <v>785</v>
      </c>
      <c r="D14" s="312" t="s">
        <v>1874</v>
      </c>
      <c r="E14" s="995"/>
    </row>
    <row r="15" spans="1:5" x14ac:dyDescent="0.2">
      <c r="A15" s="986" t="s">
        <v>964</v>
      </c>
      <c r="B15" s="1123">
        <f>SUM(B16:B18)</f>
        <v>193.49279999999999</v>
      </c>
      <c r="C15" s="323"/>
      <c r="D15" s="312"/>
      <c r="E15" s="995"/>
    </row>
    <row r="16" spans="1:5" x14ac:dyDescent="0.2">
      <c r="A16" s="985" t="s">
        <v>960</v>
      </c>
      <c r="B16" s="1123">
        <v>88.6</v>
      </c>
      <c r="C16" s="93" t="s">
        <v>785</v>
      </c>
      <c r="D16" s="312" t="s">
        <v>1874</v>
      </c>
      <c r="E16" s="995"/>
    </row>
    <row r="17" spans="1:5" x14ac:dyDescent="0.2">
      <c r="A17" s="985" t="s">
        <v>962</v>
      </c>
      <c r="B17" s="1123">
        <v>36.484999999999999</v>
      </c>
      <c r="C17" s="93" t="s">
        <v>785</v>
      </c>
      <c r="D17" s="312" t="s">
        <v>1874</v>
      </c>
      <c r="E17" s="995"/>
    </row>
    <row r="18" spans="1:5" x14ac:dyDescent="0.2">
      <c r="A18" s="985" t="s">
        <v>963</v>
      </c>
      <c r="B18" s="1123">
        <v>68.407799999999995</v>
      </c>
      <c r="C18" s="93" t="s">
        <v>785</v>
      </c>
      <c r="D18" s="312" t="s">
        <v>1874</v>
      </c>
      <c r="E18" s="995"/>
    </row>
    <row r="19" spans="1:5" x14ac:dyDescent="0.2">
      <c r="A19" s="985"/>
      <c r="B19" s="1123"/>
      <c r="C19" s="93"/>
      <c r="D19" s="312"/>
      <c r="E19" s="995"/>
    </row>
    <row r="20" spans="1:5" x14ac:dyDescent="0.2">
      <c r="A20" s="697" t="s">
        <v>949</v>
      </c>
      <c r="B20" s="1124"/>
      <c r="C20" s="323"/>
      <c r="D20" s="93"/>
      <c r="E20" s="992"/>
    </row>
    <row r="21" spans="1:5" x14ac:dyDescent="0.2">
      <c r="A21" s="986" t="s">
        <v>950</v>
      </c>
      <c r="B21" s="1125">
        <v>0.41</v>
      </c>
      <c r="C21" s="323"/>
      <c r="D21" s="312"/>
      <c r="E21" s="992"/>
    </row>
    <row r="22" spans="1:5" x14ac:dyDescent="0.2">
      <c r="A22" s="986" t="s">
        <v>951</v>
      </c>
      <c r="B22" s="1126">
        <v>56</v>
      </c>
      <c r="C22" s="323" t="s">
        <v>948</v>
      </c>
      <c r="D22" s="312" t="s">
        <v>947</v>
      </c>
      <c r="E22" s="558" t="s">
        <v>968</v>
      </c>
    </row>
    <row r="23" spans="1:5" x14ac:dyDescent="0.2">
      <c r="A23" s="986"/>
      <c r="B23" s="1126"/>
      <c r="C23" s="323"/>
      <c r="D23" s="312"/>
      <c r="E23" s="722"/>
    </row>
    <row r="24" spans="1:5" s="188" customFormat="1" x14ac:dyDescent="0.2">
      <c r="A24" s="697" t="s">
        <v>969</v>
      </c>
      <c r="B24" s="1125">
        <v>0.21</v>
      </c>
      <c r="C24" s="93"/>
      <c r="D24" s="595"/>
      <c r="E24" s="310"/>
    </row>
    <row r="25" spans="1:5" s="90" customFormat="1" x14ac:dyDescent="0.2">
      <c r="A25" s="985"/>
      <c r="B25" s="987"/>
      <c r="C25" s="93"/>
      <c r="D25" s="215"/>
      <c r="E25" s="310"/>
    </row>
    <row r="26" spans="1:5" x14ac:dyDescent="0.2">
      <c r="A26" s="178"/>
      <c r="B26" s="984"/>
      <c r="C26" s="226"/>
      <c r="D26" s="1767"/>
      <c r="E26" s="308"/>
    </row>
    <row r="27" spans="1:5" x14ac:dyDescent="0.2">
      <c r="A27" s="1127" t="s">
        <v>59</v>
      </c>
      <c r="B27" s="206"/>
      <c r="C27" s="204"/>
      <c r="D27" s="1767"/>
      <c r="E27" s="308"/>
    </row>
    <row r="28" spans="1:5" s="90" customFormat="1" x14ac:dyDescent="0.2">
      <c r="A28" s="205"/>
      <c r="B28" s="206"/>
      <c r="C28" s="204"/>
      <c r="D28" s="1767"/>
      <c r="E28" s="308"/>
    </row>
    <row r="29" spans="1:5" s="90" customFormat="1" x14ac:dyDescent="0.2">
      <c r="A29" s="540" t="s">
        <v>965</v>
      </c>
      <c r="B29" s="206"/>
      <c r="C29" s="204"/>
      <c r="D29" s="204"/>
      <c r="E29" s="308"/>
    </row>
    <row r="30" spans="1:5" s="90" customFormat="1" x14ac:dyDescent="0.2">
      <c r="A30" s="647" t="s">
        <v>952</v>
      </c>
      <c r="B30" s="207">
        <f>SUM(B16:B18)</f>
        <v>193.49279999999999</v>
      </c>
      <c r="C30" s="204"/>
      <c r="D30" s="312"/>
      <c r="E30" s="308"/>
    </row>
    <row r="31" spans="1:5" s="90" customFormat="1" x14ac:dyDescent="0.2">
      <c r="A31" s="540" t="s">
        <v>966</v>
      </c>
      <c r="B31" s="207"/>
      <c r="C31" s="204"/>
      <c r="D31" s="204"/>
      <c r="E31" s="308"/>
    </row>
    <row r="32" spans="1:5" s="90" customFormat="1" x14ac:dyDescent="0.2">
      <c r="A32" s="647" t="s">
        <v>970</v>
      </c>
      <c r="B32" s="207">
        <f>B22</f>
        <v>56</v>
      </c>
      <c r="C32" s="204"/>
      <c r="D32" s="204"/>
      <c r="E32" s="308"/>
    </row>
    <row r="33" spans="1:5" s="90" customFormat="1" x14ac:dyDescent="0.2">
      <c r="A33" s="647" t="s">
        <v>972</v>
      </c>
      <c r="B33" s="207">
        <f>B32*(1+B24)</f>
        <v>67.759999999999991</v>
      </c>
      <c r="C33" s="204"/>
      <c r="D33" s="204"/>
      <c r="E33" s="308"/>
    </row>
    <row r="34" spans="1:5" s="90" customFormat="1" x14ac:dyDescent="0.2">
      <c r="A34" s="647" t="s">
        <v>971</v>
      </c>
      <c r="B34" s="207">
        <f>B33/2.47</f>
        <v>27.433198380566797</v>
      </c>
      <c r="C34" s="204"/>
      <c r="D34" s="204"/>
      <c r="E34" s="308"/>
    </row>
    <row r="35" spans="1:5" s="90" customFormat="1" x14ac:dyDescent="0.2">
      <c r="A35" s="540" t="s">
        <v>967</v>
      </c>
      <c r="B35" s="207"/>
      <c r="C35" s="204"/>
      <c r="D35" s="204"/>
      <c r="E35" s="308"/>
    </row>
    <row r="36" spans="1:5" s="90" customFormat="1" x14ac:dyDescent="0.2">
      <c r="A36" s="647" t="s">
        <v>953</v>
      </c>
      <c r="B36" s="207">
        <f>B34*B30</f>
        <v>5308.1263676113349</v>
      </c>
      <c r="C36" s="204"/>
      <c r="D36" s="204"/>
      <c r="E36" s="308"/>
    </row>
    <row r="37" spans="1:5" s="90" customFormat="1" x14ac:dyDescent="0.2">
      <c r="A37" s="647" t="s">
        <v>954</v>
      </c>
      <c r="B37" s="207">
        <f>B36*CO2.C</f>
        <v>19449.459546526061</v>
      </c>
      <c r="C37" s="204"/>
      <c r="D37" s="204"/>
      <c r="E37" s="308"/>
    </row>
    <row r="38" spans="1:5" s="90" customFormat="1" x14ac:dyDescent="0.2">
      <c r="A38" s="647"/>
      <c r="B38" s="207"/>
      <c r="C38" s="204"/>
      <c r="D38" s="204"/>
      <c r="E38" s="308"/>
    </row>
    <row r="39" spans="1:5" ht="13.5" x14ac:dyDescent="0.25">
      <c r="A39" s="1145" t="s">
        <v>15</v>
      </c>
      <c r="B39" s="1151">
        <f>B37</f>
        <v>19449.459546526061</v>
      </c>
      <c r="C39" s="1152" t="s">
        <v>128</v>
      </c>
      <c r="D39" s="1153"/>
      <c r="E39" s="1154"/>
    </row>
    <row r="40" spans="1:5" x14ac:dyDescent="0.2">
      <c r="B40" s="989"/>
      <c r="C40" s="557"/>
      <c r="D40" s="323"/>
      <c r="E40" s="993"/>
    </row>
    <row r="41" spans="1:5" x14ac:dyDescent="0.2">
      <c r="B41" s="989"/>
      <c r="C41" s="557"/>
      <c r="D41" s="323"/>
      <c r="E41" s="993"/>
    </row>
    <row r="42" spans="1:5" x14ac:dyDescent="0.2">
      <c r="A42" s="172"/>
      <c r="B42" s="987"/>
      <c r="C42" s="91"/>
      <c r="D42" s="258"/>
      <c r="E42" s="994"/>
    </row>
    <row r="43" spans="1:5" x14ac:dyDescent="0.2">
      <c r="A43" s="172"/>
      <c r="B43" s="200"/>
      <c r="C43" s="90"/>
      <c r="D43" s="192"/>
      <c r="E43" s="305"/>
    </row>
    <row r="44" spans="1:5" ht="12" customHeight="1" x14ac:dyDescent="0.2">
      <c r="A44" s="245"/>
      <c r="B44" s="200"/>
      <c r="C44" s="185"/>
      <c r="D44" s="240"/>
      <c r="E44" s="305"/>
    </row>
    <row r="45" spans="1:5" s="90" customFormat="1" x14ac:dyDescent="0.2">
      <c r="A45" s="205"/>
      <c r="B45" s="691"/>
      <c r="C45" s="240"/>
      <c r="D45" s="204"/>
      <c r="E45" s="308"/>
    </row>
    <row r="46" spans="1:5" s="90" customFormat="1" x14ac:dyDescent="0.2">
      <c r="A46" s="205"/>
      <c r="B46" s="691"/>
      <c r="C46" s="240"/>
      <c r="D46" s="204"/>
      <c r="E46" s="308"/>
    </row>
    <row r="47" spans="1:5" x14ac:dyDescent="0.2">
      <c r="A47" s="205"/>
      <c r="B47" s="206"/>
      <c r="C47" s="204"/>
      <c r="D47" s="204"/>
      <c r="E47" s="308"/>
    </row>
    <row r="48" spans="1:5" x14ac:dyDescent="0.2">
      <c r="A48" s="205"/>
      <c r="B48" s="200"/>
      <c r="C48" s="185"/>
      <c r="D48" s="236"/>
      <c r="E48" s="311"/>
    </row>
    <row r="49" spans="1:5" x14ac:dyDescent="0.2">
      <c r="A49" s="172"/>
      <c r="B49" s="200"/>
      <c r="C49" s="185"/>
      <c r="D49" s="236"/>
      <c r="E49" s="311"/>
    </row>
    <row r="50" spans="1:5" x14ac:dyDescent="0.2">
      <c r="A50" s="172"/>
      <c r="B50" s="200"/>
      <c r="C50" s="185"/>
      <c r="D50" s="236"/>
      <c r="E50" s="311"/>
    </row>
    <row r="51" spans="1:5" x14ac:dyDescent="0.2">
      <c r="A51" s="172"/>
      <c r="B51" s="200"/>
      <c r="C51" s="185"/>
      <c r="D51" s="236"/>
      <c r="E51" s="311"/>
    </row>
    <row r="52" spans="1:5" x14ac:dyDescent="0.2">
      <c r="A52" s="172"/>
      <c r="B52" s="200"/>
      <c r="C52" s="66"/>
      <c r="D52" s="236"/>
      <c r="E52" s="311"/>
    </row>
    <row r="53" spans="1:5" x14ac:dyDescent="0.2">
      <c r="A53" s="172"/>
      <c r="B53" s="200"/>
      <c r="C53" s="66"/>
      <c r="D53" s="236"/>
      <c r="E53" s="311"/>
    </row>
    <row r="54" spans="1:5" x14ac:dyDescent="0.2">
      <c r="A54" s="245"/>
      <c r="B54" s="200"/>
      <c r="C54" s="66"/>
      <c r="D54" s="236"/>
      <c r="E54" s="311"/>
    </row>
    <row r="55" spans="1:5" x14ac:dyDescent="0.2">
      <c r="A55" s="205"/>
      <c r="B55" s="200"/>
      <c r="C55" s="66"/>
      <c r="D55" s="240"/>
      <c r="E55" s="305"/>
    </row>
    <row r="56" spans="1:5" x14ac:dyDescent="0.2">
      <c r="A56" s="187"/>
      <c r="B56" s="990"/>
      <c r="C56" s="196"/>
      <c r="D56" s="192"/>
      <c r="E56" s="305"/>
    </row>
    <row r="57" spans="1:5" x14ac:dyDescent="0.2">
      <c r="A57" s="186"/>
      <c r="B57" s="691"/>
      <c r="C57" s="66"/>
      <c r="D57" s="210"/>
      <c r="E57" s="316"/>
    </row>
    <row r="58" spans="1:5" x14ac:dyDescent="0.2">
      <c r="A58" s="186"/>
      <c r="B58" s="991"/>
      <c r="C58" s="185"/>
      <c r="D58" s="240"/>
      <c r="E58" s="305"/>
    </row>
    <row r="59" spans="1:5" x14ac:dyDescent="0.2">
      <c r="A59" s="115"/>
      <c r="B59" s="851"/>
      <c r="C59" s="203"/>
      <c r="D59" s="66"/>
      <c r="E59" s="304"/>
    </row>
    <row r="60" spans="1:5" x14ac:dyDescent="0.2">
      <c r="A60" s="205"/>
      <c r="B60" s="206"/>
      <c r="C60" s="204"/>
      <c r="D60" s="204"/>
      <c r="E60" s="308"/>
    </row>
    <row r="61" spans="1:5" s="90" customFormat="1" x14ac:dyDescent="0.2">
      <c r="A61" s="172"/>
      <c r="B61" s="206"/>
      <c r="C61" s="204"/>
      <c r="D61" s="204"/>
      <c r="E61" s="308"/>
    </row>
    <row r="62" spans="1:5" x14ac:dyDescent="0.2">
      <c r="A62" s="187"/>
      <c r="B62" s="200"/>
      <c r="C62" s="66"/>
      <c r="D62" s="192"/>
      <c r="E62" s="305"/>
    </row>
    <row r="63" spans="1:5" x14ac:dyDescent="0.2">
      <c r="A63" s="239"/>
      <c r="B63" s="200"/>
      <c r="C63" s="196"/>
      <c r="D63" s="192"/>
      <c r="E63" s="305"/>
    </row>
    <row r="64" spans="1:5" x14ac:dyDescent="0.2">
      <c r="A64" s="239"/>
      <c r="B64" s="200"/>
      <c r="C64" s="196"/>
      <c r="D64" s="192"/>
      <c r="E64" s="305"/>
    </row>
    <row r="65" spans="1:5" x14ac:dyDescent="0.2">
      <c r="A65" s="239"/>
      <c r="B65" s="200"/>
      <c r="C65" s="196"/>
      <c r="D65" s="192"/>
      <c r="E65" s="305"/>
    </row>
    <row r="66" spans="1:5" x14ac:dyDescent="0.2">
      <c r="A66" s="239"/>
      <c r="B66" s="200"/>
      <c r="C66" s="185"/>
      <c r="D66" s="192"/>
      <c r="E66" s="305"/>
    </row>
    <row r="67" spans="1:5" x14ac:dyDescent="0.2">
      <c r="A67" s="538"/>
      <c r="B67" s="200"/>
      <c r="C67" s="185"/>
      <c r="D67" s="192"/>
      <c r="E67" s="305"/>
    </row>
    <row r="68" spans="1:5" x14ac:dyDescent="0.2">
      <c r="A68" s="538"/>
      <c r="B68" s="200"/>
      <c r="C68" s="196"/>
      <c r="D68" s="506"/>
      <c r="E68" s="306"/>
    </row>
    <row r="69" spans="1:5" x14ac:dyDescent="0.2">
      <c r="A69" s="239"/>
      <c r="B69" s="690"/>
      <c r="C69" s="243"/>
      <c r="D69" s="192"/>
      <c r="E69" s="305"/>
    </row>
    <row r="70" spans="1:5" x14ac:dyDescent="0.2">
      <c r="A70" s="242"/>
      <c r="B70" s="200"/>
      <c r="C70" s="196"/>
      <c r="D70" s="66"/>
      <c r="E70" s="304"/>
    </row>
    <row r="71" spans="1:5" x14ac:dyDescent="0.2">
      <c r="A71" s="186"/>
      <c r="B71" s="200"/>
      <c r="C71" s="192"/>
      <c r="D71" s="66"/>
      <c r="E71" s="304"/>
    </row>
    <row r="72" spans="1:5" x14ac:dyDescent="0.2">
      <c r="A72" s="186"/>
      <c r="B72" s="200"/>
      <c r="C72" s="192"/>
      <c r="D72" s="66"/>
      <c r="E72" s="304"/>
    </row>
    <row r="73" spans="1:5" x14ac:dyDescent="0.2">
      <c r="A73" s="571"/>
      <c r="B73" s="200"/>
      <c r="C73" s="192"/>
      <c r="D73" s="66"/>
      <c r="E73" s="304"/>
    </row>
    <row r="74" spans="1:5" x14ac:dyDescent="0.2">
      <c r="A74" s="186"/>
      <c r="B74" s="200"/>
      <c r="C74" s="192"/>
      <c r="D74" s="66"/>
      <c r="E74" s="304"/>
    </row>
    <row r="75" spans="1:5" x14ac:dyDescent="0.2">
      <c r="A75" s="120"/>
      <c r="B75" s="200"/>
      <c r="C75" s="192"/>
      <c r="D75" s="5"/>
    </row>
    <row r="76" spans="1:5" x14ac:dyDescent="0.2">
      <c r="A76" s="120"/>
      <c r="C76" s="5"/>
      <c r="D76" s="5"/>
    </row>
    <row r="77" spans="1:5" x14ac:dyDescent="0.2">
      <c r="A77" s="115"/>
      <c r="C77" s="5"/>
      <c r="D77" s="5"/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528"/>
  <sheetViews>
    <sheetView workbookViewId="0">
      <pane ySplit="3" topLeftCell="A98" activePane="bottomLeft" state="frozen"/>
      <selection activeCell="F46" sqref="F46"/>
      <selection pane="bottomLeft" activeCell="C125" sqref="C125"/>
    </sheetView>
  </sheetViews>
  <sheetFormatPr defaultColWidth="8.85546875" defaultRowHeight="12" x14ac:dyDescent="0.2"/>
  <cols>
    <col min="1" max="1" width="43.5703125" style="114" customWidth="1"/>
    <col min="2" max="2" width="12.7109375" style="129" customWidth="1"/>
    <col min="3" max="3" width="17.5703125" customWidth="1"/>
    <col min="4" max="4" width="11.7109375" style="1" bestFit="1" customWidth="1"/>
    <col min="5" max="5" width="10.7109375" customWidth="1"/>
    <col min="6" max="6" width="10.7109375" style="135" customWidth="1"/>
    <col min="7" max="7" width="16.5703125" style="58" customWidth="1"/>
    <col min="8" max="8" width="147.140625" style="1" bestFit="1" customWidth="1"/>
  </cols>
  <sheetData>
    <row r="1" spans="1:12" s="15" customFormat="1" ht="27.75" customHeight="1" x14ac:dyDescent="0.2">
      <c r="A1" s="65" t="s">
        <v>402</v>
      </c>
      <c r="B1" s="125"/>
      <c r="C1" s="68"/>
      <c r="D1" s="1609"/>
      <c r="E1" s="68"/>
      <c r="F1" s="68"/>
      <c r="G1" s="121"/>
    </row>
    <row r="2" spans="1:12" s="8" customFormat="1" x14ac:dyDescent="0.2">
      <c r="A2" s="112"/>
      <c r="B2" s="130" t="s">
        <v>308</v>
      </c>
      <c r="C2" s="2"/>
      <c r="D2" s="3"/>
      <c r="E2" s="2" t="s">
        <v>490</v>
      </c>
      <c r="F2" s="6"/>
      <c r="G2" s="122"/>
      <c r="H2" s="7"/>
    </row>
    <row r="3" spans="1:12" s="8" customFormat="1" x14ac:dyDescent="0.2">
      <c r="A3" s="112" t="s">
        <v>489</v>
      </c>
      <c r="B3" s="131" t="s">
        <v>284</v>
      </c>
      <c r="C3" s="2" t="s">
        <v>487</v>
      </c>
      <c r="D3" s="3" t="s">
        <v>486</v>
      </c>
      <c r="E3" s="2" t="s">
        <v>487</v>
      </c>
      <c r="F3" s="6" t="s">
        <v>486</v>
      </c>
      <c r="G3" s="578" t="s">
        <v>488</v>
      </c>
      <c r="H3" s="4" t="s">
        <v>485</v>
      </c>
    </row>
    <row r="4" spans="1:12" s="557" customFormat="1" ht="12" customHeight="1" x14ac:dyDescent="0.2">
      <c r="A4" s="113" t="s">
        <v>415</v>
      </c>
      <c r="B4" s="126"/>
      <c r="C4" s="9"/>
      <c r="D4" s="10"/>
      <c r="E4" s="9"/>
      <c r="F4" s="11"/>
      <c r="G4" s="123"/>
      <c r="H4" s="10"/>
      <c r="J4" s="57"/>
      <c r="K4" s="67"/>
      <c r="L4" s="57"/>
    </row>
    <row r="5" spans="1:12" s="76" customFormat="1" x14ac:dyDescent="0.2">
      <c r="A5" s="1610" t="s">
        <v>235</v>
      </c>
      <c r="B5" s="179"/>
      <c r="C5" s="1267"/>
      <c r="D5" s="181"/>
      <c r="E5" s="180"/>
      <c r="F5" s="183"/>
      <c r="G5" s="155"/>
      <c r="H5" s="156"/>
    </row>
    <row r="6" spans="1:12" s="76" customFormat="1" x14ac:dyDescent="0.2">
      <c r="A6" s="163" t="s">
        <v>249</v>
      </c>
      <c r="B6" s="179" t="s">
        <v>166</v>
      </c>
      <c r="C6" s="1267">
        <f>E6*BtuTOJ/bblTOL</f>
        <v>34.830611975333802</v>
      </c>
      <c r="D6" s="181" t="s">
        <v>401</v>
      </c>
      <c r="E6" s="1268">
        <v>5.2530000000000001</v>
      </c>
      <c r="F6" s="183" t="s">
        <v>243</v>
      </c>
      <c r="G6" s="155" t="s">
        <v>1115</v>
      </c>
      <c r="H6" s="581" t="s">
        <v>1114</v>
      </c>
    </row>
    <row r="7" spans="1:12" s="76" customFormat="1" x14ac:dyDescent="0.2">
      <c r="A7" s="163" t="s">
        <v>250</v>
      </c>
      <c r="B7" s="179"/>
      <c r="C7" s="1268">
        <f>E7</f>
        <v>1</v>
      </c>
      <c r="D7" s="181"/>
      <c r="E7" s="1267">
        <v>1</v>
      </c>
      <c r="F7" s="183"/>
      <c r="G7" s="155" t="s">
        <v>1115</v>
      </c>
      <c r="H7" s="581" t="s">
        <v>1116</v>
      </c>
    </row>
    <row r="8" spans="1:12" s="76" customFormat="1" x14ac:dyDescent="0.2">
      <c r="A8" s="163" t="s">
        <v>225</v>
      </c>
      <c r="B8" s="179"/>
      <c r="C8" s="182"/>
      <c r="D8" s="181"/>
      <c r="E8" s="1611"/>
      <c r="F8" s="183"/>
      <c r="G8" s="155"/>
      <c r="H8" s="156"/>
    </row>
    <row r="9" spans="1:12" s="76" customFormat="1" x14ac:dyDescent="0.2">
      <c r="A9" s="163" t="s">
        <v>1162</v>
      </c>
      <c r="B9" s="179"/>
      <c r="C9" s="182">
        <v>18.459894532698485</v>
      </c>
      <c r="D9" s="181" t="s">
        <v>242</v>
      </c>
      <c r="E9" s="1611">
        <v>19.46</v>
      </c>
      <c r="F9" s="183" t="s">
        <v>1183</v>
      </c>
      <c r="G9" s="89" t="s">
        <v>1217</v>
      </c>
      <c r="H9" s="156"/>
    </row>
    <row r="10" spans="1:12" s="76" customFormat="1" x14ac:dyDescent="0.2">
      <c r="A10" s="163" t="s">
        <v>1184</v>
      </c>
      <c r="B10" s="179"/>
      <c r="C10" s="182">
        <v>18.459894532698485</v>
      </c>
      <c r="D10" s="181" t="s">
        <v>242</v>
      </c>
      <c r="E10" s="1611">
        <v>19.46</v>
      </c>
      <c r="F10" s="183" t="s">
        <v>1183</v>
      </c>
      <c r="G10" s="89" t="s">
        <v>1217</v>
      </c>
      <c r="H10" s="156"/>
    </row>
    <row r="11" spans="1:12" s="76" customFormat="1" x14ac:dyDescent="0.2">
      <c r="A11" s="163" t="s">
        <v>1185</v>
      </c>
      <c r="B11" s="179"/>
      <c r="C11" s="182">
        <v>18.459894532698485</v>
      </c>
      <c r="D11" s="181" t="s">
        <v>242</v>
      </c>
      <c r="E11" s="1611">
        <v>19.46</v>
      </c>
      <c r="F11" s="183" t="s">
        <v>1183</v>
      </c>
      <c r="G11" s="89" t="s">
        <v>1217</v>
      </c>
      <c r="H11" s="156"/>
    </row>
    <row r="12" spans="1:12" s="76" customFormat="1" x14ac:dyDescent="0.2">
      <c r="A12" s="163" t="s">
        <v>1186</v>
      </c>
      <c r="B12" s="179"/>
      <c r="C12" s="182">
        <v>18.459894532698485</v>
      </c>
      <c r="D12" s="181" t="s">
        <v>242</v>
      </c>
      <c r="E12" s="1611">
        <v>19.46</v>
      </c>
      <c r="F12" s="183" t="s">
        <v>1183</v>
      </c>
      <c r="G12" s="89" t="s">
        <v>1217</v>
      </c>
      <c r="H12" s="156"/>
    </row>
    <row r="13" spans="1:12" s="76" customFormat="1" x14ac:dyDescent="0.2">
      <c r="A13" s="163" t="s">
        <v>1072</v>
      </c>
      <c r="B13" s="179"/>
      <c r="C13" s="182">
        <v>18.459894532698485</v>
      </c>
      <c r="D13" s="181" t="s">
        <v>242</v>
      </c>
      <c r="E13" s="1611">
        <v>19.46</v>
      </c>
      <c r="F13" s="183" t="s">
        <v>1183</v>
      </c>
      <c r="G13" s="89" t="s">
        <v>1217</v>
      </c>
      <c r="H13" s="156"/>
    </row>
    <row r="14" spans="1:12" s="76" customFormat="1" x14ac:dyDescent="0.2">
      <c r="A14" s="163" t="s">
        <v>1071</v>
      </c>
      <c r="B14" s="179"/>
      <c r="C14" s="182">
        <v>18.459894532698485</v>
      </c>
      <c r="D14" s="181" t="s">
        <v>242</v>
      </c>
      <c r="E14" s="1611">
        <v>19.46</v>
      </c>
      <c r="F14" s="183" t="s">
        <v>1183</v>
      </c>
      <c r="G14" s="89" t="s">
        <v>1394</v>
      </c>
      <c r="H14" s="156"/>
    </row>
    <row r="15" spans="1:12" s="76" customFormat="1" x14ac:dyDescent="0.2">
      <c r="A15" s="115" t="s">
        <v>1057</v>
      </c>
      <c r="B15" s="179"/>
      <c r="C15" s="94">
        <f>E15/quadTOEJ</f>
        <v>18.459894532698485</v>
      </c>
      <c r="D15" s="87" t="s">
        <v>242</v>
      </c>
      <c r="E15" s="1267">
        <v>19.46</v>
      </c>
      <c r="F15" s="183" t="s">
        <v>241</v>
      </c>
      <c r="G15" s="89" t="s">
        <v>1617</v>
      </c>
      <c r="H15" s="581"/>
    </row>
    <row r="16" spans="1:12" s="76" customFormat="1" x14ac:dyDescent="0.2">
      <c r="A16" s="642" t="s">
        <v>127</v>
      </c>
      <c r="B16" s="179"/>
      <c r="C16" s="94">
        <f t="shared" ref="C16:C25" si="0">E16/quadTOEJ</f>
        <v>18.459894532698485</v>
      </c>
      <c r="D16" s="87" t="s">
        <v>242</v>
      </c>
      <c r="E16" s="1267">
        <v>19.46</v>
      </c>
      <c r="F16" s="183" t="s">
        <v>241</v>
      </c>
      <c r="G16" s="89" t="s">
        <v>1618</v>
      </c>
      <c r="H16" s="581"/>
    </row>
    <row r="17" spans="1:8" s="76" customFormat="1" x14ac:dyDescent="0.2">
      <c r="A17" s="115" t="s">
        <v>798</v>
      </c>
      <c r="B17" s="179"/>
      <c r="C17" s="94">
        <f t="shared" si="0"/>
        <v>18.554755244582854</v>
      </c>
      <c r="D17" s="87" t="s">
        <v>242</v>
      </c>
      <c r="E17" s="1267">
        <v>19.559999999999999</v>
      </c>
      <c r="F17" s="183"/>
      <c r="G17" s="89" t="s">
        <v>1619</v>
      </c>
      <c r="H17" s="581"/>
    </row>
    <row r="18" spans="1:8" s="76" customFormat="1" x14ac:dyDescent="0.2">
      <c r="A18" s="642" t="s">
        <v>797</v>
      </c>
      <c r="B18" s="179"/>
      <c r="C18" s="94">
        <f t="shared" si="0"/>
        <v>18.450408461510047</v>
      </c>
      <c r="D18" s="87" t="s">
        <v>242</v>
      </c>
      <c r="E18" s="1267">
        <v>19.45</v>
      </c>
      <c r="F18" s="183"/>
      <c r="G18" s="89" t="s">
        <v>1620</v>
      </c>
      <c r="H18" s="581"/>
    </row>
    <row r="19" spans="1:8" s="90" customFormat="1" x14ac:dyDescent="0.2">
      <c r="A19" s="115" t="s">
        <v>481</v>
      </c>
      <c r="B19" s="127"/>
      <c r="C19" s="94">
        <f t="shared" si="0"/>
        <v>18.365033820814116</v>
      </c>
      <c r="D19" s="87" t="s">
        <v>242</v>
      </c>
      <c r="E19" s="1267">
        <v>19.36</v>
      </c>
      <c r="F19" s="183" t="s">
        <v>241</v>
      </c>
      <c r="G19" s="89" t="s">
        <v>1621</v>
      </c>
      <c r="H19" s="581"/>
    </row>
    <row r="20" spans="1:8" s="90" customFormat="1" x14ac:dyDescent="0.2">
      <c r="A20" s="642" t="s">
        <v>796</v>
      </c>
      <c r="B20" s="127"/>
      <c r="C20" s="94">
        <f t="shared" si="0"/>
        <v>18.384005963190987</v>
      </c>
      <c r="D20" s="87" t="s">
        <v>242</v>
      </c>
      <c r="E20" s="1267">
        <v>19.38</v>
      </c>
      <c r="F20" s="183"/>
      <c r="G20" s="89" t="s">
        <v>1622</v>
      </c>
      <c r="H20" s="581"/>
    </row>
    <row r="21" spans="1:8" s="90" customFormat="1" x14ac:dyDescent="0.2">
      <c r="A21" s="115" t="s">
        <v>730</v>
      </c>
      <c r="B21" s="127"/>
      <c r="C21" s="94">
        <f t="shared" si="0"/>
        <v>18.365033820814116</v>
      </c>
      <c r="D21" s="87" t="s">
        <v>242</v>
      </c>
      <c r="E21" s="1267">
        <v>19.36</v>
      </c>
      <c r="F21" s="183" t="s">
        <v>241</v>
      </c>
      <c r="G21" s="89" t="s">
        <v>1623</v>
      </c>
      <c r="H21" s="581"/>
    </row>
    <row r="22" spans="1:8" s="90" customFormat="1" x14ac:dyDescent="0.2">
      <c r="A22" s="642" t="s">
        <v>795</v>
      </c>
      <c r="B22" s="127"/>
      <c r="C22" s="94">
        <f t="shared" si="0"/>
        <v>18.384005963190987</v>
      </c>
      <c r="D22" s="87" t="s">
        <v>242</v>
      </c>
      <c r="E22" s="1267">
        <v>19.38</v>
      </c>
      <c r="F22" s="183"/>
      <c r="G22" s="89" t="s">
        <v>1624</v>
      </c>
      <c r="H22" s="581"/>
    </row>
    <row r="23" spans="1:8" s="90" customFormat="1" x14ac:dyDescent="0.2">
      <c r="A23" s="115" t="s">
        <v>794</v>
      </c>
      <c r="B23" s="127"/>
      <c r="C23" s="94">
        <f t="shared" si="0"/>
        <v>18.346061678437241</v>
      </c>
      <c r="D23" s="87" t="s">
        <v>242</v>
      </c>
      <c r="E23" s="1267">
        <v>19.34</v>
      </c>
      <c r="F23" s="183"/>
      <c r="G23" s="89" t="s">
        <v>1625</v>
      </c>
      <c r="H23" s="581"/>
    </row>
    <row r="24" spans="1:8" s="76" customFormat="1" x14ac:dyDescent="0.2">
      <c r="A24" s="642" t="s">
        <v>480</v>
      </c>
      <c r="B24" s="179"/>
      <c r="C24" s="94">
        <f t="shared" si="0"/>
        <v>18.3365756072488</v>
      </c>
      <c r="D24" s="87" t="s">
        <v>242</v>
      </c>
      <c r="E24" s="1267">
        <v>19.329999999999998</v>
      </c>
      <c r="F24" s="183" t="s">
        <v>241</v>
      </c>
      <c r="G24" s="89" t="s">
        <v>1626</v>
      </c>
      <c r="H24" s="581"/>
    </row>
    <row r="25" spans="1:8" s="76" customFormat="1" x14ac:dyDescent="0.2">
      <c r="A25" s="642">
        <v>1990</v>
      </c>
      <c r="B25" s="179"/>
      <c r="C25" s="94">
        <f t="shared" si="0"/>
        <v>18.421950247944739</v>
      </c>
      <c r="D25" s="87" t="s">
        <v>242</v>
      </c>
      <c r="E25" s="1267">
        <v>19.420000000000002</v>
      </c>
      <c r="F25" s="183" t="s">
        <v>241</v>
      </c>
      <c r="G25" s="89" t="s">
        <v>1627</v>
      </c>
      <c r="H25" s="581"/>
    </row>
    <row r="26" spans="1:8" s="76" customFormat="1" x14ac:dyDescent="0.2">
      <c r="A26" s="163" t="s">
        <v>225</v>
      </c>
      <c r="B26" s="179"/>
      <c r="C26" s="182"/>
      <c r="D26" s="181"/>
      <c r="E26" s="1611"/>
      <c r="F26" s="183"/>
      <c r="G26" s="155"/>
      <c r="H26" s="156"/>
    </row>
    <row r="27" spans="1:8" s="76" customFormat="1" x14ac:dyDescent="0.2">
      <c r="A27" s="1612" t="s">
        <v>1162</v>
      </c>
      <c r="B27" s="179"/>
      <c r="C27" s="103">
        <f>C9*$C$6</f>
        <v>642.96942357400678</v>
      </c>
      <c r="D27" s="87" t="s">
        <v>248</v>
      </c>
      <c r="E27" s="1611"/>
      <c r="F27" s="183"/>
      <c r="G27" s="155"/>
      <c r="H27" s="156"/>
    </row>
    <row r="28" spans="1:8" s="76" customFormat="1" x14ac:dyDescent="0.2">
      <c r="A28" s="1612" t="s">
        <v>1184</v>
      </c>
      <c r="B28" s="179"/>
      <c r="C28" s="103">
        <f t="shared" ref="C28:C43" si="1">C10*$C$6</f>
        <v>642.96942357400678</v>
      </c>
      <c r="D28" s="87" t="s">
        <v>248</v>
      </c>
      <c r="E28" s="1611"/>
      <c r="F28" s="183"/>
      <c r="G28" s="155"/>
      <c r="H28" s="156"/>
    </row>
    <row r="29" spans="1:8" s="76" customFormat="1" x14ac:dyDescent="0.2">
      <c r="A29" s="1612" t="s">
        <v>1185</v>
      </c>
      <c r="B29" s="179"/>
      <c r="C29" s="103">
        <f t="shared" si="1"/>
        <v>642.96942357400678</v>
      </c>
      <c r="D29" s="87" t="s">
        <v>248</v>
      </c>
      <c r="E29" s="1611"/>
      <c r="F29" s="183"/>
      <c r="G29" s="155"/>
      <c r="H29" s="156"/>
    </row>
    <row r="30" spans="1:8" s="76" customFormat="1" x14ac:dyDescent="0.2">
      <c r="A30" s="1612" t="s">
        <v>1186</v>
      </c>
      <c r="B30" s="179"/>
      <c r="C30" s="103">
        <f>C12*$C$6</f>
        <v>642.96942357400678</v>
      </c>
      <c r="D30" s="87" t="s">
        <v>248</v>
      </c>
      <c r="E30" s="1611"/>
      <c r="F30" s="183"/>
      <c r="G30" s="155"/>
      <c r="H30" s="156"/>
    </row>
    <row r="31" spans="1:8" s="76" customFormat="1" x14ac:dyDescent="0.2">
      <c r="A31" s="1612" t="s">
        <v>1072</v>
      </c>
      <c r="B31" s="179"/>
      <c r="C31" s="103">
        <f t="shared" si="1"/>
        <v>642.96942357400678</v>
      </c>
      <c r="D31" s="87" t="s">
        <v>248</v>
      </c>
      <c r="E31" s="1611"/>
      <c r="F31" s="183"/>
      <c r="G31" s="155"/>
      <c r="H31" s="156"/>
    </row>
    <row r="32" spans="1:8" s="76" customFormat="1" x14ac:dyDescent="0.2">
      <c r="A32" s="171" t="s">
        <v>1071</v>
      </c>
      <c r="B32" s="179"/>
      <c r="C32" s="103">
        <f t="shared" si="1"/>
        <v>642.96942357400678</v>
      </c>
      <c r="D32" s="87" t="s">
        <v>248</v>
      </c>
      <c r="E32" s="1611"/>
      <c r="F32" s="183"/>
      <c r="G32" s="155"/>
      <c r="H32" s="156"/>
    </row>
    <row r="33" spans="1:8" s="76" customFormat="1" x14ac:dyDescent="0.2">
      <c r="A33" s="115" t="s">
        <v>1057</v>
      </c>
      <c r="B33" s="179"/>
      <c r="C33" s="103">
        <f t="shared" si="1"/>
        <v>642.96942357400678</v>
      </c>
      <c r="D33" s="87" t="s">
        <v>248</v>
      </c>
      <c r="E33" s="1611"/>
      <c r="F33" s="183"/>
      <c r="G33" s="155"/>
      <c r="H33" s="156"/>
    </row>
    <row r="34" spans="1:8" s="76" customFormat="1" x14ac:dyDescent="0.2">
      <c r="A34" s="642" t="s">
        <v>127</v>
      </c>
      <c r="B34" s="179"/>
      <c r="C34" s="103">
        <f t="shared" si="1"/>
        <v>642.96942357400678</v>
      </c>
      <c r="D34" s="87" t="s">
        <v>248</v>
      </c>
      <c r="E34" s="1611"/>
      <c r="F34" s="183"/>
      <c r="G34" s="155"/>
      <c r="H34" s="156"/>
    </row>
    <row r="35" spans="1:8" s="76" customFormat="1" x14ac:dyDescent="0.2">
      <c r="A35" s="115" t="s">
        <v>798</v>
      </c>
      <c r="B35" s="179"/>
      <c r="C35" s="103">
        <f t="shared" si="1"/>
        <v>646.27348022135527</v>
      </c>
      <c r="D35" s="87" t="s">
        <v>248</v>
      </c>
      <c r="E35" s="1611"/>
      <c r="F35" s="183"/>
      <c r="G35" s="155"/>
      <c r="H35" s="156"/>
    </row>
    <row r="36" spans="1:8" s="76" customFormat="1" x14ac:dyDescent="0.2">
      <c r="A36" s="642" t="s">
        <v>797</v>
      </c>
      <c r="B36" s="179"/>
      <c r="C36" s="103">
        <f t="shared" si="1"/>
        <v>642.63901790927196</v>
      </c>
      <c r="D36" s="87" t="s">
        <v>248</v>
      </c>
      <c r="E36" s="1611"/>
      <c r="F36" s="183"/>
      <c r="G36" s="155"/>
      <c r="H36" s="156"/>
    </row>
    <row r="37" spans="1:8" s="76" customFormat="1" x14ac:dyDescent="0.2">
      <c r="A37" s="115" t="s">
        <v>481</v>
      </c>
      <c r="B37" s="127"/>
      <c r="C37" s="103">
        <f t="shared" si="1"/>
        <v>639.66536692665841</v>
      </c>
      <c r="D37" s="87" t="s">
        <v>248</v>
      </c>
      <c r="E37" s="1267"/>
      <c r="F37" s="183"/>
      <c r="G37" s="155"/>
      <c r="H37" s="156"/>
    </row>
    <row r="38" spans="1:8" s="90" customFormat="1" x14ac:dyDescent="0.2">
      <c r="A38" s="642" t="s">
        <v>796</v>
      </c>
      <c r="B38" s="127"/>
      <c r="C38" s="103">
        <f t="shared" si="1"/>
        <v>640.32617825612806</v>
      </c>
      <c r="D38" s="87" t="s">
        <v>248</v>
      </c>
      <c r="E38" s="1267"/>
      <c r="F38" s="183"/>
      <c r="G38" s="155"/>
      <c r="H38" s="156"/>
    </row>
    <row r="39" spans="1:8" s="90" customFormat="1" x14ac:dyDescent="0.2">
      <c r="A39" s="115" t="s">
        <v>730</v>
      </c>
      <c r="B39" s="127"/>
      <c r="C39" s="103">
        <f t="shared" si="1"/>
        <v>639.66536692665841</v>
      </c>
      <c r="D39" s="87" t="s">
        <v>248</v>
      </c>
      <c r="E39" s="1267"/>
      <c r="F39" s="183"/>
      <c r="G39" s="155"/>
      <c r="H39" s="156"/>
    </row>
    <row r="40" spans="1:8" s="90" customFormat="1" x14ac:dyDescent="0.2">
      <c r="A40" s="642" t="s">
        <v>795</v>
      </c>
      <c r="B40" s="127"/>
      <c r="C40" s="103">
        <f t="shared" si="1"/>
        <v>640.32617825612806</v>
      </c>
      <c r="D40" s="87" t="s">
        <v>248</v>
      </c>
      <c r="E40" s="1267"/>
      <c r="F40" s="183"/>
      <c r="G40" s="155"/>
      <c r="H40" s="156"/>
    </row>
    <row r="41" spans="1:8" s="90" customFormat="1" x14ac:dyDescent="0.2">
      <c r="A41" s="115" t="s">
        <v>794</v>
      </c>
      <c r="B41" s="127"/>
      <c r="C41" s="103">
        <f t="shared" si="1"/>
        <v>639.00455559718876</v>
      </c>
      <c r="D41" s="87" t="s">
        <v>248</v>
      </c>
      <c r="E41" s="1267"/>
      <c r="F41" s="183"/>
      <c r="G41" s="155"/>
      <c r="H41" s="156"/>
    </row>
    <row r="42" spans="1:8" s="90" customFormat="1" x14ac:dyDescent="0.2">
      <c r="A42" s="642" t="s">
        <v>480</v>
      </c>
      <c r="B42" s="127"/>
      <c r="C42" s="103">
        <f t="shared" si="1"/>
        <v>638.6741499324537</v>
      </c>
      <c r="D42" s="87" t="s">
        <v>248</v>
      </c>
      <c r="E42" s="1267"/>
      <c r="F42" s="183"/>
      <c r="G42" s="155"/>
      <c r="H42" s="156"/>
    </row>
    <row r="43" spans="1:8" s="76" customFormat="1" x14ac:dyDescent="0.2">
      <c r="A43" s="642">
        <v>1990</v>
      </c>
      <c r="B43" s="127"/>
      <c r="C43" s="103">
        <f t="shared" si="1"/>
        <v>641.64780091506759</v>
      </c>
      <c r="D43" s="87" t="s">
        <v>248</v>
      </c>
      <c r="E43" s="1267"/>
      <c r="F43" s="183"/>
      <c r="G43" s="155"/>
      <c r="H43" s="156"/>
    </row>
    <row r="44" spans="1:8" s="76" customFormat="1" x14ac:dyDescent="0.2">
      <c r="A44" s="163" t="s">
        <v>259</v>
      </c>
      <c r="B44" s="127"/>
      <c r="C44" s="103"/>
      <c r="D44" s="87"/>
      <c r="E44" s="1267"/>
      <c r="F44" s="183"/>
      <c r="G44" s="155"/>
      <c r="H44" s="156"/>
    </row>
    <row r="45" spans="1:8" s="76" customFormat="1" ht="13.5" x14ac:dyDescent="0.2">
      <c r="A45" s="1612" t="s">
        <v>1162</v>
      </c>
      <c r="B45" s="127" t="s">
        <v>1188</v>
      </c>
      <c r="C45" s="103">
        <v>2355.8986594140329</v>
      </c>
      <c r="D45" s="87" t="s">
        <v>437</v>
      </c>
      <c r="E45" s="1267"/>
      <c r="F45" s="183"/>
      <c r="G45" s="155"/>
      <c r="H45" s="156"/>
    </row>
    <row r="46" spans="1:8" s="76" customFormat="1" ht="13.5" x14ac:dyDescent="0.2">
      <c r="A46" s="1612" t="s">
        <v>1184</v>
      </c>
      <c r="B46" s="127" t="s">
        <v>1189</v>
      </c>
      <c r="C46" s="103">
        <v>2355.8986594140329</v>
      </c>
      <c r="D46" s="87" t="s">
        <v>437</v>
      </c>
      <c r="E46" s="1267"/>
      <c r="F46" s="183"/>
      <c r="G46" s="155"/>
      <c r="H46" s="156"/>
    </row>
    <row r="47" spans="1:8" s="76" customFormat="1" ht="13.5" x14ac:dyDescent="0.2">
      <c r="A47" s="1612" t="s">
        <v>1185</v>
      </c>
      <c r="B47" s="127" t="s">
        <v>1190</v>
      </c>
      <c r="C47" s="103">
        <v>2355.8986594140329</v>
      </c>
      <c r="D47" s="87" t="s">
        <v>437</v>
      </c>
      <c r="E47" s="1267"/>
      <c r="F47" s="183"/>
      <c r="G47" s="155"/>
      <c r="H47" s="156"/>
    </row>
    <row r="48" spans="1:8" s="76" customFormat="1" ht="13.5" x14ac:dyDescent="0.2">
      <c r="A48" s="1612" t="s">
        <v>1186</v>
      </c>
      <c r="B48" s="127" t="s">
        <v>1191</v>
      </c>
      <c r="C48" s="103">
        <v>2355.8986594140329</v>
      </c>
      <c r="D48" s="87" t="s">
        <v>437</v>
      </c>
      <c r="E48" s="1267"/>
      <c r="F48" s="183"/>
      <c r="G48" s="155"/>
      <c r="H48" s="156"/>
    </row>
    <row r="49" spans="1:8" s="76" customFormat="1" ht="13.5" x14ac:dyDescent="0.2">
      <c r="A49" s="1612" t="s">
        <v>1072</v>
      </c>
      <c r="B49" s="127" t="s">
        <v>1192</v>
      </c>
      <c r="C49" s="103">
        <v>2355.8986594140329</v>
      </c>
      <c r="D49" s="87" t="s">
        <v>437</v>
      </c>
      <c r="E49" s="1267"/>
      <c r="F49" s="183"/>
      <c r="G49" s="155"/>
      <c r="H49" s="156"/>
    </row>
    <row r="50" spans="1:8" s="76" customFormat="1" ht="13.5" x14ac:dyDescent="0.2">
      <c r="A50" s="1612" t="s">
        <v>1071</v>
      </c>
      <c r="B50" s="127" t="s">
        <v>1193</v>
      </c>
      <c r="C50" s="103">
        <v>2355.8986594140329</v>
      </c>
      <c r="D50" s="87" t="s">
        <v>437</v>
      </c>
      <c r="E50" s="1267"/>
      <c r="F50" s="183"/>
      <c r="G50" s="155"/>
      <c r="H50" s="156"/>
    </row>
    <row r="51" spans="1:8" s="76" customFormat="1" ht="13.5" x14ac:dyDescent="0.2">
      <c r="A51" s="115" t="s">
        <v>1057</v>
      </c>
      <c r="B51" s="127" t="s">
        <v>1117</v>
      </c>
      <c r="C51" s="103">
        <f t="shared" ref="C51:C60" si="2">C33*CO2.C*$C$7</f>
        <v>2355.8986594140329</v>
      </c>
      <c r="D51" s="87" t="s">
        <v>437</v>
      </c>
      <c r="E51" s="1267"/>
      <c r="F51" s="183"/>
      <c r="G51" s="155"/>
      <c r="H51" s="156"/>
    </row>
    <row r="52" spans="1:8" s="76" customFormat="1" ht="13.5" x14ac:dyDescent="0.2">
      <c r="A52" s="642" t="s">
        <v>127</v>
      </c>
      <c r="B52" s="127" t="s">
        <v>1112</v>
      </c>
      <c r="C52" s="103">
        <f t="shared" si="2"/>
        <v>2355.8986594140329</v>
      </c>
      <c r="D52" s="87" t="s">
        <v>437</v>
      </c>
      <c r="E52" s="1267"/>
      <c r="F52" s="183"/>
      <c r="G52" s="155"/>
      <c r="H52" s="156"/>
    </row>
    <row r="53" spans="1:8" s="76" customFormat="1" ht="13.5" x14ac:dyDescent="0.2">
      <c r="A53" s="115" t="s">
        <v>798</v>
      </c>
      <c r="B53" s="127" t="s">
        <v>1132</v>
      </c>
      <c r="C53" s="103">
        <f t="shared" si="2"/>
        <v>2368.0050245703233</v>
      </c>
      <c r="D53" s="87" t="s">
        <v>437</v>
      </c>
      <c r="E53" s="1267"/>
      <c r="F53" s="183"/>
      <c r="G53" s="155"/>
      <c r="H53" s="156"/>
    </row>
    <row r="54" spans="1:8" s="76" customFormat="1" ht="13.5" x14ac:dyDescent="0.2">
      <c r="A54" s="642" t="s">
        <v>797</v>
      </c>
      <c r="B54" s="127" t="s">
        <v>1133</v>
      </c>
      <c r="C54" s="103">
        <f t="shared" si="2"/>
        <v>2354.6880228984041</v>
      </c>
      <c r="D54" s="87" t="s">
        <v>437</v>
      </c>
      <c r="E54" s="1267"/>
      <c r="F54" s="183"/>
      <c r="G54" s="155"/>
      <c r="H54" s="156"/>
    </row>
    <row r="55" spans="1:8" s="76" customFormat="1" ht="13.5" x14ac:dyDescent="0.2">
      <c r="A55" s="115" t="s">
        <v>481</v>
      </c>
      <c r="B55" s="127" t="s">
        <v>260</v>
      </c>
      <c r="C55" s="103">
        <f t="shared" si="2"/>
        <v>2343.7922942577429</v>
      </c>
      <c r="D55" s="87" t="s">
        <v>437</v>
      </c>
      <c r="E55" s="1267"/>
      <c r="F55" s="183"/>
      <c r="G55" s="155"/>
      <c r="H55" s="156"/>
    </row>
    <row r="56" spans="1:8" s="76" customFormat="1" ht="13.5" x14ac:dyDescent="0.2">
      <c r="A56" s="642" t="s">
        <v>796</v>
      </c>
      <c r="B56" s="127" t="s">
        <v>1134</v>
      </c>
      <c r="C56" s="103">
        <f t="shared" si="2"/>
        <v>2346.2135672890008</v>
      </c>
      <c r="D56" s="87" t="s">
        <v>437</v>
      </c>
      <c r="E56" s="1267"/>
      <c r="F56" s="183"/>
      <c r="G56" s="155"/>
      <c r="H56" s="156"/>
    </row>
    <row r="57" spans="1:8" s="76" customFormat="1" ht="13.5" x14ac:dyDescent="0.2">
      <c r="A57" s="115" t="s">
        <v>730</v>
      </c>
      <c r="B57" s="127" t="s">
        <v>1113</v>
      </c>
      <c r="C57" s="103">
        <f t="shared" si="2"/>
        <v>2343.7922942577429</v>
      </c>
      <c r="D57" s="87" t="s">
        <v>437</v>
      </c>
      <c r="E57" s="1267"/>
      <c r="F57" s="183"/>
      <c r="G57" s="155"/>
      <c r="H57" s="156"/>
    </row>
    <row r="58" spans="1:8" s="76" customFormat="1" ht="13.5" x14ac:dyDescent="0.2">
      <c r="A58" s="642" t="s">
        <v>795</v>
      </c>
      <c r="B58" s="127" t="s">
        <v>1135</v>
      </c>
      <c r="C58" s="103">
        <f t="shared" si="2"/>
        <v>2346.2135672890008</v>
      </c>
      <c r="D58" s="87" t="s">
        <v>437</v>
      </c>
      <c r="E58" s="1267"/>
      <c r="F58" s="183"/>
      <c r="G58" s="155"/>
      <c r="H58" s="156"/>
    </row>
    <row r="59" spans="1:8" s="76" customFormat="1" ht="13.5" x14ac:dyDescent="0.2">
      <c r="A59" s="115" t="s">
        <v>794</v>
      </c>
      <c r="B59" s="127" t="s">
        <v>1136</v>
      </c>
      <c r="C59" s="103">
        <f t="shared" si="2"/>
        <v>2341.371021226485</v>
      </c>
      <c r="D59" s="87" t="s">
        <v>437</v>
      </c>
      <c r="E59" s="1267"/>
      <c r="F59" s="183"/>
      <c r="G59" s="155"/>
      <c r="H59" s="156"/>
    </row>
    <row r="60" spans="1:8" s="76" customFormat="1" ht="13.5" x14ac:dyDescent="0.2">
      <c r="A60" s="642" t="s">
        <v>480</v>
      </c>
      <c r="B60" s="127" t="s">
        <v>261</v>
      </c>
      <c r="C60" s="103">
        <f t="shared" si="2"/>
        <v>2340.1603847108554</v>
      </c>
      <c r="D60" s="87" t="s">
        <v>437</v>
      </c>
      <c r="E60" s="1267"/>
      <c r="F60" s="183"/>
      <c r="G60" s="155"/>
      <c r="H60" s="156"/>
    </row>
    <row r="61" spans="1:8" s="76" customFormat="1" ht="13.5" x14ac:dyDescent="0.2">
      <c r="A61" s="642">
        <v>1990</v>
      </c>
      <c r="B61" s="127" t="s">
        <v>262</v>
      </c>
      <c r="C61" s="103">
        <f>C43*CO2.C*$C$7</f>
        <v>2351.0561133515175</v>
      </c>
      <c r="D61" s="87" t="s">
        <v>437</v>
      </c>
      <c r="E61" s="1267"/>
      <c r="F61" s="183"/>
      <c r="G61" s="155"/>
      <c r="H61" s="156"/>
    </row>
    <row r="62" spans="1:8" s="76" customFormat="1" x14ac:dyDescent="0.2">
      <c r="A62" s="642"/>
      <c r="B62" s="127"/>
      <c r="C62" s="103"/>
      <c r="D62" s="87"/>
      <c r="E62" s="1267"/>
      <c r="F62" s="183"/>
      <c r="G62" s="155"/>
      <c r="H62" s="156"/>
    </row>
    <row r="63" spans="1:8" s="76" customFormat="1" ht="13.5" x14ac:dyDescent="0.2">
      <c r="A63" s="642" t="s">
        <v>1162</v>
      </c>
      <c r="B63" s="127" t="s">
        <v>1194</v>
      </c>
      <c r="C63" s="103">
        <v>8918.018785345881</v>
      </c>
      <c r="D63" s="87" t="s">
        <v>1195</v>
      </c>
      <c r="E63" s="1267"/>
      <c r="F63" s="183"/>
      <c r="G63" s="155"/>
      <c r="H63" s="156"/>
    </row>
    <row r="64" spans="1:8" s="76" customFormat="1" ht="13.5" x14ac:dyDescent="0.2">
      <c r="A64" s="642" t="s">
        <v>1184</v>
      </c>
      <c r="B64" s="127" t="s">
        <v>1196</v>
      </c>
      <c r="C64" s="103">
        <v>8918.018785345881</v>
      </c>
      <c r="D64" s="87" t="s">
        <v>1195</v>
      </c>
      <c r="E64" s="1267"/>
      <c r="F64" s="183"/>
      <c r="G64" s="155"/>
      <c r="H64" s="156"/>
    </row>
    <row r="65" spans="1:8" s="76" customFormat="1" ht="13.5" x14ac:dyDescent="0.2">
      <c r="A65" s="642" t="s">
        <v>1185</v>
      </c>
      <c r="B65" s="127" t="s">
        <v>1197</v>
      </c>
      <c r="C65" s="103">
        <v>8918.018785345881</v>
      </c>
      <c r="D65" s="87" t="s">
        <v>1195</v>
      </c>
      <c r="E65" s="1267"/>
      <c r="F65" s="183"/>
      <c r="G65" s="155"/>
      <c r="H65" s="156"/>
    </row>
    <row r="66" spans="1:8" s="76" customFormat="1" ht="13.5" x14ac:dyDescent="0.2">
      <c r="A66" s="642" t="s">
        <v>1186</v>
      </c>
      <c r="B66" s="127" t="s">
        <v>1198</v>
      </c>
      <c r="C66" s="103">
        <v>8918.018785345881</v>
      </c>
      <c r="D66" s="87" t="s">
        <v>1195</v>
      </c>
      <c r="E66" s="1267"/>
      <c r="F66" s="183"/>
      <c r="G66" s="155"/>
      <c r="H66" s="156"/>
    </row>
    <row r="67" spans="1:8" s="76" customFormat="1" ht="13.5" x14ac:dyDescent="0.2">
      <c r="A67" s="642" t="s">
        <v>1072</v>
      </c>
      <c r="B67" s="127" t="s">
        <v>1199</v>
      </c>
      <c r="C67" s="103">
        <v>8918.018785345881</v>
      </c>
      <c r="D67" s="87" t="s">
        <v>1195</v>
      </c>
      <c r="E67" s="1267"/>
      <c r="F67" s="183"/>
      <c r="G67" s="155"/>
      <c r="H67" s="156"/>
    </row>
    <row r="68" spans="1:8" s="76" customFormat="1" ht="13.5" x14ac:dyDescent="0.2">
      <c r="A68" s="642" t="s">
        <v>1071</v>
      </c>
      <c r="B68" s="127" t="s">
        <v>1200</v>
      </c>
      <c r="C68" s="103">
        <v>8918.018785345881</v>
      </c>
      <c r="D68" s="87" t="s">
        <v>1195</v>
      </c>
      <c r="E68" s="1267"/>
      <c r="F68" s="183"/>
      <c r="G68" s="155"/>
      <c r="H68" s="156"/>
    </row>
    <row r="69" spans="1:8" s="76" customFormat="1" ht="13.5" x14ac:dyDescent="0.2">
      <c r="A69" s="642" t="s">
        <v>1057</v>
      </c>
      <c r="B69" s="127" t="s">
        <v>1201</v>
      </c>
      <c r="C69" s="103">
        <v>8918.018785345881</v>
      </c>
      <c r="D69" s="87" t="s">
        <v>1195</v>
      </c>
      <c r="E69" s="1267"/>
      <c r="F69" s="183"/>
      <c r="G69" s="155"/>
      <c r="H69" s="156"/>
    </row>
    <row r="70" spans="1:8" s="76" customFormat="1" ht="13.5" x14ac:dyDescent="0.2">
      <c r="A70" s="642" t="s">
        <v>127</v>
      </c>
      <c r="B70" s="127" t="s">
        <v>1202</v>
      </c>
      <c r="C70" s="103">
        <v>8918.018785345881</v>
      </c>
      <c r="D70" s="87" t="s">
        <v>1195</v>
      </c>
      <c r="E70" s="1267"/>
      <c r="F70" s="183"/>
      <c r="G70" s="155"/>
      <c r="H70" s="156"/>
    </row>
    <row r="71" spans="1:8" s="76" customFormat="1" ht="13.5" x14ac:dyDescent="0.2">
      <c r="A71" s="642" t="s">
        <v>798</v>
      </c>
      <c r="B71" s="127" t="s">
        <v>1203</v>
      </c>
      <c r="C71" s="103">
        <v>8963.8462200085014</v>
      </c>
      <c r="D71" s="87" t="s">
        <v>1195</v>
      </c>
      <c r="E71" s="1267"/>
      <c r="F71" s="183"/>
      <c r="G71" s="155"/>
      <c r="H71" s="156"/>
    </row>
    <row r="72" spans="1:8" s="76" customFormat="1" ht="13.5" x14ac:dyDescent="0.2">
      <c r="A72" s="642" t="s">
        <v>797</v>
      </c>
      <c r="B72" s="127" t="s">
        <v>1204</v>
      </c>
      <c r="C72" s="103">
        <v>8913.4360418796186</v>
      </c>
      <c r="D72" s="87" t="s">
        <v>1195</v>
      </c>
      <c r="E72" s="1267"/>
      <c r="F72" s="183"/>
      <c r="G72" s="155"/>
      <c r="H72" s="156"/>
    </row>
    <row r="73" spans="1:8" s="76" customFormat="1" ht="13.5" x14ac:dyDescent="0.2">
      <c r="A73" s="642" t="s">
        <v>481</v>
      </c>
      <c r="B73" s="127" t="s">
        <v>1205</v>
      </c>
      <c r="C73" s="103">
        <v>8872.1913506832607</v>
      </c>
      <c r="D73" s="87" t="s">
        <v>1195</v>
      </c>
      <c r="E73" s="1267"/>
      <c r="F73" s="183"/>
      <c r="G73" s="155"/>
      <c r="H73" s="156"/>
    </row>
    <row r="74" spans="1:8" s="76" customFormat="1" ht="13.5" x14ac:dyDescent="0.2">
      <c r="A74" s="642" t="s">
        <v>796</v>
      </c>
      <c r="B74" s="127" t="s">
        <v>1206</v>
      </c>
      <c r="C74" s="103">
        <v>8881.3568376157837</v>
      </c>
      <c r="D74" s="87" t="s">
        <v>1195</v>
      </c>
      <c r="E74" s="1267"/>
      <c r="F74" s="183"/>
      <c r="G74" s="155"/>
      <c r="H74" s="156"/>
    </row>
    <row r="75" spans="1:8" s="76" customFormat="1" ht="13.5" x14ac:dyDescent="0.2">
      <c r="A75" s="642" t="s">
        <v>730</v>
      </c>
      <c r="B75" s="127" t="s">
        <v>1207</v>
      </c>
      <c r="C75" s="103">
        <v>8872.1913506832607</v>
      </c>
      <c r="D75" s="87" t="s">
        <v>1195</v>
      </c>
      <c r="E75" s="1267"/>
      <c r="F75" s="183"/>
      <c r="G75" s="155"/>
      <c r="H75" s="156"/>
    </row>
    <row r="76" spans="1:8" s="76" customFormat="1" ht="13.5" x14ac:dyDescent="0.2">
      <c r="A76" s="642" t="s">
        <v>795</v>
      </c>
      <c r="B76" s="127" t="s">
        <v>1208</v>
      </c>
      <c r="C76" s="103">
        <v>8881.3568376157837</v>
      </c>
      <c r="D76" s="87" t="s">
        <v>1195</v>
      </c>
      <c r="E76" s="1267"/>
      <c r="F76" s="183"/>
      <c r="G76" s="155"/>
      <c r="H76" s="156"/>
    </row>
    <row r="77" spans="1:8" s="76" customFormat="1" ht="13.5" x14ac:dyDescent="0.2">
      <c r="A77" s="642" t="s">
        <v>794</v>
      </c>
      <c r="B77" s="127" t="s">
        <v>1209</v>
      </c>
      <c r="C77" s="103">
        <v>8863.0258637507359</v>
      </c>
      <c r="D77" s="87" t="s">
        <v>1195</v>
      </c>
      <c r="E77" s="1267"/>
      <c r="F77" s="183"/>
      <c r="G77" s="155"/>
      <c r="H77" s="156"/>
    </row>
    <row r="78" spans="1:8" s="76" customFormat="1" ht="13.5" x14ac:dyDescent="0.2">
      <c r="A78" s="642" t="s">
        <v>480</v>
      </c>
      <c r="B78" s="127" t="s">
        <v>1210</v>
      </c>
      <c r="C78" s="103">
        <v>8858.4431202844717</v>
      </c>
      <c r="D78" s="87" t="s">
        <v>1195</v>
      </c>
      <c r="E78" s="1267"/>
      <c r="F78" s="183"/>
      <c r="G78" s="155"/>
      <c r="H78" s="156"/>
    </row>
    <row r="79" spans="1:8" s="76" customFormat="1" ht="13.5" x14ac:dyDescent="0.2">
      <c r="A79" s="642" t="s">
        <v>1187</v>
      </c>
      <c r="B79" s="127" t="s">
        <v>1211</v>
      </c>
      <c r="C79" s="103">
        <v>8872.1913506832607</v>
      </c>
      <c r="D79" s="87" t="s">
        <v>1195</v>
      </c>
      <c r="E79" s="1267"/>
      <c r="F79" s="183"/>
      <c r="G79" s="155"/>
      <c r="H79" s="156"/>
    </row>
    <row r="80" spans="1:8" s="76" customFormat="1" ht="13.5" x14ac:dyDescent="0.2">
      <c r="A80" s="642">
        <v>1990</v>
      </c>
      <c r="B80" s="127" t="s">
        <v>1212</v>
      </c>
      <c r="C80" s="103">
        <v>8899.6878114808351</v>
      </c>
      <c r="D80" s="87" t="s">
        <v>1195</v>
      </c>
      <c r="E80" s="1267"/>
      <c r="F80" s="183"/>
      <c r="G80" s="155"/>
      <c r="H80" s="156"/>
    </row>
    <row r="81" spans="1:8" s="76" customFormat="1" x14ac:dyDescent="0.2">
      <c r="A81" s="642"/>
      <c r="B81" s="127"/>
      <c r="C81" s="103"/>
      <c r="D81" s="87"/>
      <c r="E81" s="1267"/>
      <c r="F81" s="183"/>
      <c r="G81" s="155"/>
      <c r="H81" s="156"/>
    </row>
    <row r="82" spans="1:8" s="76" customFormat="1" x14ac:dyDescent="0.2">
      <c r="A82" s="118" t="s">
        <v>1118</v>
      </c>
      <c r="B82" s="127"/>
      <c r="C82" s="94"/>
      <c r="D82" s="87"/>
      <c r="E82" s="90"/>
      <c r="F82" s="132"/>
      <c r="G82" s="89"/>
      <c r="H82" s="87"/>
    </row>
    <row r="83" spans="1:8" s="76" customFormat="1" x14ac:dyDescent="0.2">
      <c r="A83" s="163" t="s">
        <v>416</v>
      </c>
      <c r="B83" s="179"/>
      <c r="C83" s="1267">
        <f>141.5/(E83+131.5)</f>
        <v>0.84578601315002988</v>
      </c>
      <c r="D83" s="181" t="s">
        <v>240</v>
      </c>
      <c r="E83" s="180">
        <v>35.799999999999997</v>
      </c>
      <c r="F83" s="183" t="s">
        <v>403</v>
      </c>
      <c r="G83" s="89" t="s">
        <v>1217</v>
      </c>
      <c r="H83" s="581" t="s">
        <v>1114</v>
      </c>
    </row>
    <row r="84" spans="1:8" s="76" customFormat="1" x14ac:dyDescent="0.2">
      <c r="A84" s="163" t="s">
        <v>249</v>
      </c>
      <c r="B84" s="179" t="s">
        <v>236</v>
      </c>
      <c r="C84" s="1267">
        <f>E84*BtuTOJ/bblTOL</f>
        <v>38.517233002991439</v>
      </c>
      <c r="D84" s="181" t="s">
        <v>401</v>
      </c>
      <c r="E84" s="1268">
        <v>5.8090000000000002</v>
      </c>
      <c r="F84" s="183" t="s">
        <v>243</v>
      </c>
      <c r="G84" s="89" t="s">
        <v>1217</v>
      </c>
      <c r="H84" s="581" t="s">
        <v>1114</v>
      </c>
    </row>
    <row r="85" spans="1:8" s="90" customFormat="1" x14ac:dyDescent="0.2">
      <c r="A85" s="111" t="s">
        <v>225</v>
      </c>
      <c r="B85" s="179"/>
      <c r="C85" s="94">
        <f>E85/quadTOEJ</f>
        <v>19.133405587077515</v>
      </c>
      <c r="D85" s="87" t="s">
        <v>242</v>
      </c>
      <c r="E85" s="1267">
        <v>20.170000000000002</v>
      </c>
      <c r="F85" s="183" t="s">
        <v>241</v>
      </c>
      <c r="G85" s="89" t="s">
        <v>1217</v>
      </c>
      <c r="H85" s="581" t="s">
        <v>1121</v>
      </c>
    </row>
    <row r="86" spans="1:8" s="76" customFormat="1" x14ac:dyDescent="0.2">
      <c r="A86" s="111" t="s">
        <v>250</v>
      </c>
      <c r="B86" s="127"/>
      <c r="C86" s="94"/>
      <c r="D86" s="87"/>
      <c r="E86" s="1267">
        <v>1</v>
      </c>
      <c r="F86" s="183"/>
      <c r="G86" s="89" t="s">
        <v>1217</v>
      </c>
      <c r="H86" s="581" t="s">
        <v>1116</v>
      </c>
    </row>
    <row r="87" spans="1:8" s="76" customFormat="1" ht="13.5" x14ac:dyDescent="0.2">
      <c r="A87" s="111" t="s">
        <v>263</v>
      </c>
      <c r="B87" s="127" t="s">
        <v>1214</v>
      </c>
      <c r="C87" s="103">
        <f>C85*HHVdistillate*CO2.C*E86</f>
        <v>2700.310113536194</v>
      </c>
      <c r="D87" s="87" t="s">
        <v>437</v>
      </c>
      <c r="E87" s="90"/>
      <c r="F87" s="132"/>
      <c r="G87" s="89"/>
      <c r="H87" s="87"/>
    </row>
    <row r="88" spans="1:8" s="90" customFormat="1" ht="13.5" x14ac:dyDescent="0.2">
      <c r="A88" s="111" t="s">
        <v>1227</v>
      </c>
      <c r="B88" s="127" t="s">
        <v>1215</v>
      </c>
      <c r="C88" s="103">
        <v>10221.753903779909</v>
      </c>
      <c r="D88" s="87" t="s">
        <v>1195</v>
      </c>
      <c r="F88" s="132"/>
      <c r="G88" s="89"/>
      <c r="H88" s="87"/>
    </row>
    <row r="89" spans="1:8" s="90" customFormat="1" ht="13.5" x14ac:dyDescent="0.2">
      <c r="A89" s="111" t="s">
        <v>1216</v>
      </c>
      <c r="B89" s="127" t="s">
        <v>1475</v>
      </c>
      <c r="C89" s="103"/>
      <c r="D89" s="127"/>
      <c r="E89" s="90">
        <f>0.0015*1000</f>
        <v>1.5</v>
      </c>
      <c r="F89" s="132" t="s">
        <v>1628</v>
      </c>
      <c r="G89" s="89" t="s">
        <v>1217</v>
      </c>
      <c r="H89" s="581" t="s">
        <v>1114</v>
      </c>
    </row>
    <row r="90" spans="1:8" s="90" customFormat="1" ht="13.5" x14ac:dyDescent="0.2">
      <c r="A90" s="111" t="s">
        <v>1219</v>
      </c>
      <c r="B90" s="127" t="s">
        <v>1474</v>
      </c>
      <c r="C90" s="103"/>
      <c r="D90" s="127"/>
      <c r="E90" s="90">
        <f>0.0001*1000</f>
        <v>0.1</v>
      </c>
      <c r="F90" s="132" t="s">
        <v>1628</v>
      </c>
      <c r="G90" s="89" t="s">
        <v>1217</v>
      </c>
      <c r="H90" s="581" t="s">
        <v>1114</v>
      </c>
    </row>
    <row r="91" spans="1:8" s="90" customFormat="1" ht="13.5" x14ac:dyDescent="0.2">
      <c r="A91" s="111" t="s">
        <v>1220</v>
      </c>
      <c r="B91" s="127" t="s">
        <v>1478</v>
      </c>
      <c r="C91" s="103"/>
      <c r="D91" s="127"/>
      <c r="E91" s="90">
        <f>0.0015*1000</f>
        <v>1.5</v>
      </c>
      <c r="F91" s="132" t="s">
        <v>1628</v>
      </c>
      <c r="G91" s="89" t="s">
        <v>1217</v>
      </c>
      <c r="H91" s="581" t="s">
        <v>1114</v>
      </c>
    </row>
    <row r="92" spans="1:8" s="90" customFormat="1" ht="13.5" x14ac:dyDescent="0.2">
      <c r="A92" s="111" t="s">
        <v>1221</v>
      </c>
      <c r="B92" s="127" t="s">
        <v>1479</v>
      </c>
      <c r="C92" s="103"/>
      <c r="D92" s="127"/>
      <c r="E92" s="90">
        <f>0.0001*1000</f>
        <v>0.1</v>
      </c>
      <c r="F92" s="132" t="s">
        <v>1628</v>
      </c>
      <c r="G92" s="89" t="s">
        <v>1217</v>
      </c>
      <c r="H92" s="581" t="s">
        <v>1114</v>
      </c>
    </row>
    <row r="93" spans="1:8" s="90" customFormat="1" ht="13.5" x14ac:dyDescent="0.2">
      <c r="A93" s="111" t="s">
        <v>1222</v>
      </c>
      <c r="B93" s="127" t="s">
        <v>1629</v>
      </c>
      <c r="C93" s="103"/>
      <c r="D93" s="127"/>
      <c r="E93" s="90">
        <f>0.0004*1000</f>
        <v>0.4</v>
      </c>
      <c r="F93" s="132" t="s">
        <v>1628</v>
      </c>
      <c r="G93" s="89" t="s">
        <v>1217</v>
      </c>
      <c r="H93" s="581" t="s">
        <v>1114</v>
      </c>
    </row>
    <row r="94" spans="1:8" s="90" customFormat="1" ht="15.75" customHeight="1" x14ac:dyDescent="0.2">
      <c r="A94" s="111" t="s">
        <v>1223</v>
      </c>
      <c r="B94" s="127" t="s">
        <v>1630</v>
      </c>
      <c r="C94" s="103"/>
      <c r="D94" s="127"/>
      <c r="E94" s="90">
        <f>0.0001*1000</f>
        <v>0.1</v>
      </c>
      <c r="F94" s="132" t="s">
        <v>1628</v>
      </c>
      <c r="G94" s="89" t="s">
        <v>1217</v>
      </c>
      <c r="H94" s="581" t="s">
        <v>1114</v>
      </c>
    </row>
    <row r="95" spans="1:8" s="90" customFormat="1" ht="15.75" customHeight="1" x14ac:dyDescent="0.2">
      <c r="A95" s="111"/>
      <c r="B95" s="127"/>
      <c r="C95" s="103"/>
      <c r="D95" s="87"/>
      <c r="F95" s="132"/>
      <c r="G95" s="89"/>
      <c r="H95" s="581"/>
    </row>
    <row r="96" spans="1:8" s="90" customFormat="1" ht="15.75" customHeight="1" x14ac:dyDescent="0.2">
      <c r="A96" s="118" t="s">
        <v>1119</v>
      </c>
      <c r="B96" s="127"/>
      <c r="C96" s="103"/>
      <c r="D96" s="87"/>
      <c r="F96" s="132"/>
      <c r="G96" s="89"/>
      <c r="H96" s="581"/>
    </row>
    <row r="97" spans="1:8" s="90" customFormat="1" ht="15.75" customHeight="1" x14ac:dyDescent="0.2">
      <c r="A97" s="163" t="s">
        <v>416</v>
      </c>
      <c r="B97" s="179"/>
      <c r="C97" s="1267">
        <f>141.5/(E97+131.5)</f>
        <v>0.9625850340136054</v>
      </c>
      <c r="D97" s="181" t="s">
        <v>240</v>
      </c>
      <c r="E97" s="180">
        <v>15.5</v>
      </c>
      <c r="F97" s="183" t="s">
        <v>403</v>
      </c>
      <c r="G97" s="89" t="s">
        <v>1217</v>
      </c>
      <c r="H97" s="581" t="s">
        <v>1116</v>
      </c>
    </row>
    <row r="98" spans="1:8" s="90" customFormat="1" x14ac:dyDescent="0.2">
      <c r="A98" s="163" t="s">
        <v>249</v>
      </c>
      <c r="B98" s="179" t="s">
        <v>181</v>
      </c>
      <c r="C98" s="1267">
        <f>E98*BtuTOJ/bblTOL</f>
        <v>41.885584589412453</v>
      </c>
      <c r="D98" s="181" t="s">
        <v>401</v>
      </c>
      <c r="E98" s="1268">
        <v>6.3170000000000002</v>
      </c>
      <c r="F98" s="183" t="s">
        <v>243</v>
      </c>
      <c r="G98" s="89" t="s">
        <v>1217</v>
      </c>
      <c r="H98" s="581" t="s">
        <v>1120</v>
      </c>
    </row>
    <row r="99" spans="1:8" s="90" customFormat="1" x14ac:dyDescent="0.2">
      <c r="A99" s="111" t="s">
        <v>225</v>
      </c>
      <c r="B99" s="179"/>
      <c r="C99" s="94">
        <f>E99/quadTOEJ</f>
        <v>19.427473793919063</v>
      </c>
      <c r="D99" s="87" t="s">
        <v>242</v>
      </c>
      <c r="E99" s="1267">
        <v>20.48</v>
      </c>
      <c r="F99" s="183" t="s">
        <v>241</v>
      </c>
      <c r="G99" s="89" t="s">
        <v>1217</v>
      </c>
      <c r="H99" s="87"/>
    </row>
    <row r="100" spans="1:8" s="76" customFormat="1" ht="13.5" x14ac:dyDescent="0.2">
      <c r="A100" s="111" t="s">
        <v>250</v>
      </c>
      <c r="B100" s="127"/>
      <c r="C100" s="94"/>
      <c r="D100" s="87"/>
      <c r="E100" s="1267">
        <v>1</v>
      </c>
      <c r="F100" s="183"/>
      <c r="G100" s="89" t="s">
        <v>1217</v>
      </c>
      <c r="H100" s="87" t="s">
        <v>312</v>
      </c>
    </row>
    <row r="101" spans="1:8" s="76" customFormat="1" ht="13.5" x14ac:dyDescent="0.2">
      <c r="A101" s="111" t="s">
        <v>263</v>
      </c>
      <c r="B101" s="127" t="s">
        <v>182</v>
      </c>
      <c r="C101" s="103">
        <f>C99*HHVresidual*CO2.C*E100</f>
        <v>2981.5850181191208</v>
      </c>
      <c r="D101" s="87" t="s">
        <v>437</v>
      </c>
      <c r="E101" s="90"/>
      <c r="F101" s="132"/>
      <c r="G101" s="89"/>
      <c r="H101" s="156" t="s">
        <v>201</v>
      </c>
    </row>
    <row r="102" spans="1:8" s="90" customFormat="1" ht="13.5" x14ac:dyDescent="0.2">
      <c r="A102" s="111"/>
      <c r="B102" s="127" t="s">
        <v>1224</v>
      </c>
      <c r="C102" s="103">
        <f>efresidual/LTOgal</f>
        <v>11286.49192758812</v>
      </c>
      <c r="D102" s="87" t="s">
        <v>1195</v>
      </c>
      <c r="F102" s="132"/>
      <c r="G102" s="89"/>
      <c r="H102" s="156"/>
    </row>
    <row r="103" spans="1:8" s="90" customFormat="1" x14ac:dyDescent="0.2">
      <c r="A103" s="111" t="s">
        <v>1631</v>
      </c>
      <c r="B103" s="87" t="s">
        <v>1632</v>
      </c>
      <c r="C103" s="103"/>
      <c r="D103" s="87"/>
      <c r="E103" s="90">
        <f>0.0017*1000</f>
        <v>1.7</v>
      </c>
      <c r="F103" s="132" t="s">
        <v>1628</v>
      </c>
      <c r="G103" s="89" t="s">
        <v>1217</v>
      </c>
      <c r="H103" s="156" t="s">
        <v>1218</v>
      </c>
    </row>
    <row r="104" spans="1:8" s="90" customFormat="1" x14ac:dyDescent="0.2">
      <c r="A104" s="111" t="s">
        <v>1633</v>
      </c>
      <c r="B104" s="87" t="s">
        <v>1634</v>
      </c>
      <c r="C104" s="103"/>
      <c r="D104" s="87"/>
      <c r="E104" s="90">
        <f>0.0001*1000</f>
        <v>0.1</v>
      </c>
      <c r="F104" s="132" t="s">
        <v>1628</v>
      </c>
      <c r="G104" s="89" t="s">
        <v>1217</v>
      </c>
      <c r="H104" s="156" t="s">
        <v>1218</v>
      </c>
    </row>
    <row r="105" spans="1:8" s="90" customFormat="1" x14ac:dyDescent="0.2">
      <c r="A105" s="111" t="s">
        <v>1635</v>
      </c>
      <c r="B105" s="87" t="s">
        <v>1636</v>
      </c>
      <c r="C105" s="103"/>
      <c r="D105" s="87"/>
      <c r="E105" s="90">
        <f>0.0017*1000</f>
        <v>1.7</v>
      </c>
      <c r="F105" s="132" t="s">
        <v>1628</v>
      </c>
      <c r="G105" s="89" t="s">
        <v>1217</v>
      </c>
      <c r="H105" s="156" t="s">
        <v>1218</v>
      </c>
    </row>
    <row r="106" spans="1:8" s="90" customFormat="1" x14ac:dyDescent="0.2">
      <c r="A106" s="111" t="s">
        <v>1637</v>
      </c>
      <c r="B106" s="87" t="s">
        <v>1638</v>
      </c>
      <c r="C106" s="103"/>
      <c r="D106" s="87"/>
      <c r="E106" s="90">
        <f>0.0001*1000</f>
        <v>0.1</v>
      </c>
      <c r="F106" s="132" t="s">
        <v>1628</v>
      </c>
      <c r="G106" s="89" t="s">
        <v>1217</v>
      </c>
      <c r="H106" s="156" t="s">
        <v>1218</v>
      </c>
    </row>
    <row r="107" spans="1:8" s="90" customFormat="1" x14ac:dyDescent="0.2">
      <c r="A107" s="111" t="s">
        <v>1639</v>
      </c>
      <c r="B107" s="87" t="s">
        <v>1640</v>
      </c>
      <c r="C107" s="103"/>
      <c r="D107" s="87"/>
      <c r="E107" s="90">
        <f>0.0005*1000</f>
        <v>0.5</v>
      </c>
      <c r="F107" s="132" t="s">
        <v>1628</v>
      </c>
      <c r="G107" s="89" t="s">
        <v>1217</v>
      </c>
      <c r="H107" s="156" t="s">
        <v>1218</v>
      </c>
    </row>
    <row r="108" spans="1:8" s="90" customFormat="1" x14ac:dyDescent="0.2">
      <c r="A108" s="111" t="s">
        <v>1641</v>
      </c>
      <c r="B108" s="87" t="s">
        <v>1642</v>
      </c>
      <c r="C108" s="103"/>
      <c r="D108" s="87"/>
      <c r="E108" s="90">
        <f>0.0001*1000</f>
        <v>0.1</v>
      </c>
      <c r="F108" s="132" t="s">
        <v>1628</v>
      </c>
      <c r="G108" s="89" t="s">
        <v>1217</v>
      </c>
      <c r="H108" s="156" t="s">
        <v>1218</v>
      </c>
    </row>
    <row r="109" spans="1:8" s="90" customFormat="1" x14ac:dyDescent="0.2">
      <c r="A109" s="111"/>
      <c r="B109" s="127"/>
      <c r="C109" s="103"/>
      <c r="D109" s="87"/>
      <c r="F109" s="132"/>
      <c r="G109" s="89"/>
      <c r="H109" s="156"/>
    </row>
    <row r="110" spans="1:8" s="90" customFormat="1" x14ac:dyDescent="0.2">
      <c r="A110" s="118" t="s">
        <v>224</v>
      </c>
      <c r="B110" s="127"/>
      <c r="C110" s="103"/>
      <c r="D110" s="87"/>
      <c r="F110" s="132"/>
      <c r="G110" s="89"/>
      <c r="H110" s="581" t="s">
        <v>1116</v>
      </c>
    </row>
    <row r="111" spans="1:8" s="90" customFormat="1" ht="13.5" x14ac:dyDescent="0.2">
      <c r="A111" s="163" t="s">
        <v>249</v>
      </c>
      <c r="B111" s="179" t="s">
        <v>342</v>
      </c>
      <c r="C111" s="1613">
        <f>E111*BtuTOMJ/ft3TOL</f>
        <v>3.8233140174037596E-2</v>
      </c>
      <c r="D111" s="181" t="s">
        <v>401</v>
      </c>
      <c r="E111" s="182">
        <v>1027</v>
      </c>
      <c r="F111" s="183" t="s">
        <v>251</v>
      </c>
      <c r="G111" s="89" t="s">
        <v>1217</v>
      </c>
      <c r="H111" s="581" t="s">
        <v>1124</v>
      </c>
    </row>
    <row r="112" spans="1:8" s="90" customFormat="1" x14ac:dyDescent="0.2">
      <c r="A112" s="111"/>
      <c r="B112" s="1614" t="s">
        <v>436</v>
      </c>
      <c r="C112" s="94">
        <v>53060</v>
      </c>
      <c r="D112" s="87" t="s">
        <v>1643</v>
      </c>
      <c r="E112" s="90">
        <v>53.06</v>
      </c>
      <c r="F112" s="132" t="s">
        <v>1644</v>
      </c>
      <c r="G112" s="89"/>
      <c r="H112" s="581"/>
    </row>
    <row r="113" spans="1:8" s="90" customFormat="1" x14ac:dyDescent="0.2">
      <c r="A113" s="111"/>
      <c r="B113" s="1614" t="s">
        <v>1645</v>
      </c>
      <c r="C113" s="94">
        <f>E113*7.48052*1000</f>
        <v>407.68834000000004</v>
      </c>
      <c r="D113" s="87" t="s">
        <v>1646</v>
      </c>
      <c r="E113" s="90">
        <v>5.45E-2</v>
      </c>
      <c r="F113" s="132" t="s">
        <v>1647</v>
      </c>
      <c r="G113" s="89" t="s">
        <v>1648</v>
      </c>
      <c r="H113" s="581"/>
    </row>
    <row r="114" spans="1:8" s="76" customFormat="1" ht="13.5" x14ac:dyDescent="0.2">
      <c r="A114" s="111" t="s">
        <v>1216</v>
      </c>
      <c r="B114" s="1615" t="s">
        <v>1476</v>
      </c>
      <c r="C114" s="94"/>
      <c r="D114" s="1615"/>
      <c r="E114" s="90">
        <v>0.1</v>
      </c>
      <c r="F114" s="132" t="s">
        <v>1649</v>
      </c>
      <c r="G114" s="89" t="s">
        <v>1648</v>
      </c>
      <c r="H114" s="581"/>
    </row>
    <row r="115" spans="1:8" s="76" customFormat="1" ht="13.5" x14ac:dyDescent="0.2">
      <c r="A115" s="111" t="s">
        <v>1219</v>
      </c>
      <c r="B115" s="1615" t="s">
        <v>1477</v>
      </c>
      <c r="C115" s="94"/>
      <c r="D115" s="1615"/>
      <c r="E115" s="90">
        <v>1</v>
      </c>
      <c r="F115" s="132" t="s">
        <v>1650</v>
      </c>
      <c r="G115" s="89" t="s">
        <v>1648</v>
      </c>
      <c r="H115" s="581"/>
    </row>
    <row r="116" spans="1:8" s="76" customFormat="1" x14ac:dyDescent="0.2">
      <c r="A116" s="111"/>
      <c r="B116" s="1615" t="s">
        <v>436</v>
      </c>
      <c r="C116" s="94">
        <v>53060</v>
      </c>
      <c r="D116" s="87" t="s">
        <v>1643</v>
      </c>
      <c r="E116" s="90"/>
      <c r="F116" s="132"/>
      <c r="G116" s="89"/>
      <c r="H116" s="581"/>
    </row>
    <row r="117" spans="1:8" s="90" customFormat="1" x14ac:dyDescent="0.2">
      <c r="A117" s="118" t="s">
        <v>202</v>
      </c>
      <c r="B117" s="127"/>
      <c r="C117" s="103"/>
      <c r="D117" s="87"/>
      <c r="F117" s="132"/>
      <c r="G117" s="89"/>
      <c r="H117" s="581" t="s">
        <v>1116</v>
      </c>
    </row>
    <row r="118" spans="1:8" s="90" customFormat="1" x14ac:dyDescent="0.2">
      <c r="A118" s="118" t="s">
        <v>416</v>
      </c>
      <c r="B118" s="127"/>
      <c r="C118" s="103"/>
      <c r="D118" s="87"/>
      <c r="E118" s="90">
        <v>12.76</v>
      </c>
      <c r="F118" s="132" t="s">
        <v>403</v>
      </c>
      <c r="G118" s="89" t="s">
        <v>1225</v>
      </c>
      <c r="H118" s="581" t="s">
        <v>1651</v>
      </c>
    </row>
    <row r="119" spans="1:8" s="90" customFormat="1" x14ac:dyDescent="0.2">
      <c r="A119" s="163" t="s">
        <v>249</v>
      </c>
      <c r="B119" s="179" t="s">
        <v>208</v>
      </c>
      <c r="C119" s="1267">
        <f>E119*BtuTOJ/bblTOL</f>
        <v>25.435032845494089</v>
      </c>
      <c r="D119" s="181" t="s">
        <v>401</v>
      </c>
      <c r="E119" s="1268">
        <v>3.8359999999999999</v>
      </c>
      <c r="F119" s="183" t="s">
        <v>243</v>
      </c>
      <c r="G119" s="89" t="s">
        <v>1217</v>
      </c>
      <c r="H119" s="581" t="s">
        <v>1123</v>
      </c>
    </row>
    <row r="120" spans="1:8" s="90" customFormat="1" x14ac:dyDescent="0.2">
      <c r="A120" s="163" t="s">
        <v>250</v>
      </c>
      <c r="B120" s="179"/>
      <c r="C120" s="1268">
        <f>E120</f>
        <v>1</v>
      </c>
      <c r="D120" s="181"/>
      <c r="E120" s="1268">
        <v>1</v>
      </c>
      <c r="F120" s="183"/>
      <c r="G120" s="155" t="s">
        <v>1115</v>
      </c>
      <c r="H120" s="87"/>
    </row>
    <row r="121" spans="1:8" s="90" customFormat="1" x14ac:dyDescent="0.2">
      <c r="A121" s="163" t="s">
        <v>225</v>
      </c>
      <c r="B121" s="179"/>
      <c r="C121" s="94">
        <f>E121/quadTOEJ</f>
        <v>15.965057810139541</v>
      </c>
      <c r="D121" s="87" t="s">
        <v>242</v>
      </c>
      <c r="E121" s="1267">
        <v>16.829999999999998</v>
      </c>
      <c r="F121" s="183" t="s">
        <v>241</v>
      </c>
      <c r="G121" s="155" t="s">
        <v>1115</v>
      </c>
      <c r="H121" s="87"/>
    </row>
    <row r="122" spans="1:8" s="90" customFormat="1" ht="13.5" x14ac:dyDescent="0.2">
      <c r="A122" s="111" t="s">
        <v>263</v>
      </c>
      <c r="B122" s="127" t="s">
        <v>313</v>
      </c>
      <c r="C122" s="103">
        <f>C121*CO2.C*C120*HHVLPG</f>
        <v>1487.8840314606191</v>
      </c>
      <c r="D122" s="87" t="s">
        <v>437</v>
      </c>
      <c r="F122" s="132"/>
      <c r="G122" s="89"/>
      <c r="H122" s="581" t="s">
        <v>1114</v>
      </c>
    </row>
    <row r="123" spans="1:8" s="90" customFormat="1" ht="13.5" x14ac:dyDescent="0.2">
      <c r="A123" s="111" t="s">
        <v>263</v>
      </c>
      <c r="B123" s="127" t="s">
        <v>1226</v>
      </c>
      <c r="C123" s="103">
        <f>efLPG/LTOgal</f>
        <v>5632.2362126910275</v>
      </c>
      <c r="D123" s="87" t="s">
        <v>1195</v>
      </c>
      <c r="F123" s="132"/>
      <c r="G123" s="89"/>
      <c r="H123" s="581"/>
    </row>
    <row r="124" spans="1:8" s="90" customFormat="1" ht="13.5" x14ac:dyDescent="0.2">
      <c r="A124" s="111" t="s">
        <v>1216</v>
      </c>
      <c r="B124" s="127"/>
      <c r="C124" s="103"/>
      <c r="D124" s="87"/>
      <c r="E124" s="1711">
        <f>0.001*1000</f>
        <v>1</v>
      </c>
      <c r="F124" s="132" t="s">
        <v>1628</v>
      </c>
      <c r="G124" s="89" t="s">
        <v>1217</v>
      </c>
      <c r="H124" s="87" t="s">
        <v>1218</v>
      </c>
    </row>
    <row r="125" spans="1:8" s="960" customFormat="1" ht="13.5" x14ac:dyDescent="0.2">
      <c r="A125" s="111" t="s">
        <v>1219</v>
      </c>
      <c r="B125" s="127"/>
      <c r="C125" s="103"/>
      <c r="D125" s="87"/>
      <c r="E125" s="1711">
        <f t="shared" ref="E125:E129" si="3">0.001*1000</f>
        <v>1</v>
      </c>
      <c r="F125" s="132" t="s">
        <v>1628</v>
      </c>
      <c r="G125" s="89" t="s">
        <v>1217</v>
      </c>
      <c r="H125" s="87" t="s">
        <v>1218</v>
      </c>
    </row>
    <row r="126" spans="1:8" s="76" customFormat="1" ht="13.5" x14ac:dyDescent="0.2">
      <c r="A126" s="111" t="s">
        <v>1220</v>
      </c>
      <c r="B126" s="127"/>
      <c r="C126" s="103"/>
      <c r="D126" s="87"/>
      <c r="E126" s="1711">
        <f t="shared" si="3"/>
        <v>1</v>
      </c>
      <c r="F126" s="132" t="s">
        <v>1628</v>
      </c>
      <c r="G126" s="89" t="s">
        <v>1217</v>
      </c>
      <c r="H126" s="87" t="s">
        <v>1218</v>
      </c>
    </row>
    <row r="127" spans="1:8" s="76" customFormat="1" ht="13.5" x14ac:dyDescent="0.2">
      <c r="A127" s="111" t="s">
        <v>1221</v>
      </c>
      <c r="B127" s="127"/>
      <c r="C127" s="103"/>
      <c r="D127" s="87"/>
      <c r="E127" s="1711">
        <f t="shared" si="3"/>
        <v>1</v>
      </c>
      <c r="F127" s="132" t="s">
        <v>1628</v>
      </c>
      <c r="G127" s="89" t="s">
        <v>1217</v>
      </c>
      <c r="H127" s="87" t="s">
        <v>1218</v>
      </c>
    </row>
    <row r="128" spans="1:8" s="76" customFormat="1" ht="13.5" x14ac:dyDescent="0.2">
      <c r="A128" s="111" t="s">
        <v>1222</v>
      </c>
      <c r="B128" s="127"/>
      <c r="C128" s="103"/>
      <c r="D128" s="87"/>
      <c r="E128" s="1711">
        <f t="shared" si="3"/>
        <v>1</v>
      </c>
      <c r="F128" s="132" t="s">
        <v>1628</v>
      </c>
      <c r="G128" s="89" t="s">
        <v>1217</v>
      </c>
      <c r="H128" s="87" t="s">
        <v>1218</v>
      </c>
    </row>
    <row r="129" spans="1:8" s="90" customFormat="1" ht="13.5" x14ac:dyDescent="0.2">
      <c r="A129" s="111" t="s">
        <v>1223</v>
      </c>
      <c r="B129" s="127"/>
      <c r="C129" s="103"/>
      <c r="D129" s="87"/>
      <c r="E129" s="1711">
        <f t="shared" si="3"/>
        <v>1</v>
      </c>
      <c r="F129" s="132" t="s">
        <v>1628</v>
      </c>
      <c r="G129" s="89" t="s">
        <v>1217</v>
      </c>
      <c r="H129" s="87" t="s">
        <v>1218</v>
      </c>
    </row>
    <row r="130" spans="1:8" s="90" customFormat="1" x14ac:dyDescent="0.2">
      <c r="A130" s="111"/>
      <c r="B130" s="127"/>
      <c r="C130" s="103"/>
      <c r="D130" s="87"/>
      <c r="F130" s="132"/>
      <c r="G130" s="89"/>
      <c r="H130" s="581"/>
    </row>
    <row r="131" spans="1:8" s="90" customFormat="1" x14ac:dyDescent="0.2">
      <c r="A131" s="118" t="s">
        <v>339</v>
      </c>
      <c r="B131" s="127"/>
      <c r="C131" s="103"/>
      <c r="D131" s="87"/>
      <c r="F131" s="132"/>
      <c r="G131" s="89"/>
      <c r="H131" s="581" t="s">
        <v>1116</v>
      </c>
    </row>
    <row r="132" spans="1:8" s="90" customFormat="1" x14ac:dyDescent="0.2">
      <c r="A132" s="118" t="s">
        <v>416</v>
      </c>
      <c r="B132" s="127"/>
      <c r="C132" s="103"/>
      <c r="D132" s="87"/>
      <c r="E132" s="90">
        <v>42</v>
      </c>
      <c r="F132" s="132" t="s">
        <v>403</v>
      </c>
      <c r="G132" s="1266" t="s">
        <v>1182</v>
      </c>
      <c r="H132" s="587" t="s">
        <v>1213</v>
      </c>
    </row>
    <row r="133" spans="1:8" s="90" customFormat="1" x14ac:dyDescent="0.2">
      <c r="A133" s="163" t="s">
        <v>249</v>
      </c>
      <c r="B133" s="179" t="s">
        <v>209</v>
      </c>
      <c r="C133" s="1267">
        <f>E133*BtuTOJ/bblTOL</f>
        <v>37.595577746077026</v>
      </c>
      <c r="D133" s="181" t="s">
        <v>401</v>
      </c>
      <c r="E133" s="1268">
        <v>5.67</v>
      </c>
      <c r="F133" s="183" t="s">
        <v>243</v>
      </c>
      <c r="G133" s="1266" t="s">
        <v>1182</v>
      </c>
      <c r="H133" s="581" t="s">
        <v>1121</v>
      </c>
    </row>
    <row r="134" spans="1:8" s="90" customFormat="1" x14ac:dyDescent="0.2">
      <c r="A134" s="163" t="s">
        <v>250</v>
      </c>
      <c r="B134" s="179"/>
      <c r="C134" s="1268">
        <f>E134</f>
        <v>1</v>
      </c>
      <c r="D134" s="181"/>
      <c r="E134" s="1267">
        <v>1</v>
      </c>
      <c r="F134" s="183"/>
      <c r="G134" s="1266" t="s">
        <v>1182</v>
      </c>
      <c r="H134" s="87"/>
    </row>
    <row r="135" spans="1:8" s="90" customFormat="1" x14ac:dyDescent="0.2">
      <c r="A135" s="163" t="s">
        <v>225</v>
      </c>
      <c r="B135" s="179"/>
      <c r="C135" s="94">
        <f>E135/quadTOEJ</f>
        <v>18.687560241220972</v>
      </c>
      <c r="D135" s="87" t="s">
        <v>242</v>
      </c>
      <c r="E135" s="1267">
        <v>19.7</v>
      </c>
      <c r="F135" s="183" t="s">
        <v>241</v>
      </c>
      <c r="G135" s="1266" t="s">
        <v>1182</v>
      </c>
      <c r="H135" s="87"/>
    </row>
    <row r="136" spans="1:8" s="90" customFormat="1" ht="13.5" x14ac:dyDescent="0.2">
      <c r="A136" s="111" t="s">
        <v>263</v>
      </c>
      <c r="B136" s="127" t="s">
        <v>206</v>
      </c>
      <c r="C136" s="103">
        <f>C135*CO2.C*C134*HHVjetfuel</f>
        <v>2574.2792339471457</v>
      </c>
      <c r="D136" s="87" t="s">
        <v>437</v>
      </c>
      <c r="F136" s="132"/>
      <c r="G136" s="89"/>
      <c r="H136" s="156" t="s">
        <v>143</v>
      </c>
    </row>
    <row r="137" spans="1:8" s="90" customFormat="1" ht="13.5" x14ac:dyDescent="0.2">
      <c r="A137" s="111" t="s">
        <v>263</v>
      </c>
      <c r="B137" s="127" t="s">
        <v>1228</v>
      </c>
      <c r="C137" s="103">
        <f>efjetfuel/LTOgal</f>
        <v>9744.6766121835262</v>
      </c>
      <c r="D137" s="87" t="s">
        <v>1195</v>
      </c>
      <c r="F137" s="132"/>
      <c r="G137" s="89"/>
      <c r="H137" s="156"/>
    </row>
    <row r="138" spans="1:8" s="90" customFormat="1" x14ac:dyDescent="0.2">
      <c r="A138" s="118" t="s">
        <v>168</v>
      </c>
      <c r="B138" s="127"/>
      <c r="C138" s="94"/>
      <c r="D138" s="87"/>
      <c r="F138" s="132"/>
      <c r="G138" s="89"/>
      <c r="H138" s="581" t="s">
        <v>1116</v>
      </c>
    </row>
    <row r="139" spans="1:8" s="90" customFormat="1" x14ac:dyDescent="0.2">
      <c r="A139" s="118" t="s">
        <v>416</v>
      </c>
      <c r="B139" s="127"/>
      <c r="C139" s="94"/>
      <c r="D139" s="87"/>
      <c r="E139" s="90">
        <v>69</v>
      </c>
      <c r="F139" s="132" t="s">
        <v>403</v>
      </c>
      <c r="G139" s="1266" t="s">
        <v>1182</v>
      </c>
      <c r="H139" s="587" t="s">
        <v>1213</v>
      </c>
    </row>
    <row r="140" spans="1:8" s="76" customFormat="1" x14ac:dyDescent="0.2">
      <c r="A140" s="163" t="s">
        <v>171</v>
      </c>
      <c r="B140" s="179" t="s">
        <v>169</v>
      </c>
      <c r="C140" s="1267">
        <f>E140*BtuTOJ/bblTOL</f>
        <v>33.471336236719019</v>
      </c>
      <c r="D140" s="181" t="s">
        <v>401</v>
      </c>
      <c r="E140" s="1268">
        <v>5.048</v>
      </c>
      <c r="F140" s="183" t="s">
        <v>243</v>
      </c>
      <c r="G140" s="1266" t="s">
        <v>1182</v>
      </c>
      <c r="H140" s="581" t="s">
        <v>1122</v>
      </c>
    </row>
    <row r="141" spans="1:8" s="76" customFormat="1" x14ac:dyDescent="0.2">
      <c r="A141" s="163" t="s">
        <v>250</v>
      </c>
      <c r="B141" s="179"/>
      <c r="C141" s="1268">
        <f>E141</f>
        <v>1</v>
      </c>
      <c r="D141" s="181"/>
      <c r="E141" s="1267">
        <v>1</v>
      </c>
      <c r="F141" s="183"/>
      <c r="G141" s="1266" t="s">
        <v>1182</v>
      </c>
      <c r="H141" s="87"/>
    </row>
    <row r="142" spans="1:8" s="76" customFormat="1" x14ac:dyDescent="0.2">
      <c r="A142" s="163" t="s">
        <v>225</v>
      </c>
      <c r="B142" s="179"/>
      <c r="C142" s="94">
        <f>E142/quadTOEJ</f>
        <v>17.89073026139226</v>
      </c>
      <c r="D142" s="87" t="s">
        <v>242</v>
      </c>
      <c r="E142" s="1267">
        <v>18.86</v>
      </c>
      <c r="F142" s="183" t="s">
        <v>241</v>
      </c>
      <c r="G142" s="1266" t="s">
        <v>1182</v>
      </c>
      <c r="H142" s="87"/>
    </row>
    <row r="143" spans="1:8" s="90" customFormat="1" ht="13.5" x14ac:dyDescent="0.2">
      <c r="A143" s="111" t="s">
        <v>263</v>
      </c>
      <c r="B143" s="127" t="s">
        <v>170</v>
      </c>
      <c r="C143" s="103">
        <f>C142*CO2.C*C141*HHVavgas</f>
        <v>2194.1555006412191</v>
      </c>
      <c r="D143" s="87" t="s">
        <v>437</v>
      </c>
      <c r="F143" s="132"/>
      <c r="G143" s="89"/>
      <c r="H143" s="87"/>
    </row>
    <row r="144" spans="1:8" s="90" customFormat="1" ht="13.5" x14ac:dyDescent="0.2">
      <c r="A144" s="111"/>
      <c r="B144" s="127" t="s">
        <v>1229</v>
      </c>
      <c r="C144" s="103">
        <f>efavgas/LTOgal</f>
        <v>8305.7562321272708</v>
      </c>
      <c r="D144" s="87" t="s">
        <v>1195</v>
      </c>
      <c r="F144" s="132"/>
      <c r="G144" s="89"/>
      <c r="H144" s="87"/>
    </row>
    <row r="145" spans="1:8" s="90" customFormat="1" x14ac:dyDescent="0.2">
      <c r="A145" s="118" t="s">
        <v>173</v>
      </c>
      <c r="B145" s="127"/>
      <c r="C145" s="94"/>
      <c r="D145" s="87"/>
      <c r="F145" s="132"/>
      <c r="G145" s="89"/>
      <c r="H145" s="87"/>
    </row>
    <row r="146" spans="1:8" s="90" customFormat="1" x14ac:dyDescent="0.2">
      <c r="A146" s="163" t="s">
        <v>171</v>
      </c>
      <c r="B146" s="179" t="s">
        <v>174</v>
      </c>
      <c r="C146" s="180">
        <f>E146*BtuTOMJ/lbTOkg</f>
        <v>32.53641975308642</v>
      </c>
      <c r="D146" s="181" t="s">
        <v>418</v>
      </c>
      <c r="E146" s="182">
        <v>14000</v>
      </c>
      <c r="F146" s="183" t="s">
        <v>417</v>
      </c>
      <c r="G146" s="155"/>
      <c r="H146" s="87"/>
    </row>
    <row r="147" spans="1:8" s="90" customFormat="1" x14ac:dyDescent="0.2">
      <c r="A147" s="163" t="s">
        <v>250</v>
      </c>
      <c r="B147" s="179"/>
      <c r="C147" s="1268">
        <f>E147</f>
        <v>1</v>
      </c>
      <c r="D147" s="181"/>
      <c r="E147" s="1267">
        <v>1</v>
      </c>
      <c r="F147" s="183"/>
      <c r="G147" s="1266" t="s">
        <v>1182</v>
      </c>
      <c r="H147" s="87"/>
    </row>
    <row r="148" spans="1:8" s="76" customFormat="1" x14ac:dyDescent="0.2">
      <c r="A148" s="163" t="s">
        <v>225</v>
      </c>
      <c r="B148" s="179"/>
      <c r="C148" s="94">
        <f>E148/quadTOEJ</f>
        <v>24.493035808544445</v>
      </c>
      <c r="D148" s="87" t="s">
        <v>242</v>
      </c>
      <c r="E148" s="1267">
        <v>25.82</v>
      </c>
      <c r="F148" s="183" t="s">
        <v>241</v>
      </c>
      <c r="G148" s="1266" t="s">
        <v>1182</v>
      </c>
      <c r="H148" s="87"/>
    </row>
    <row r="149" spans="1:8" s="76" customFormat="1" ht="13.5" x14ac:dyDescent="0.2">
      <c r="A149" s="111" t="s">
        <v>263</v>
      </c>
      <c r="B149" s="127" t="s">
        <v>175</v>
      </c>
      <c r="C149" s="103">
        <f>C148*CO2.C*C147*HHVcoal</f>
        <v>2919.9718471004103</v>
      </c>
      <c r="D149" s="87" t="s">
        <v>176</v>
      </c>
      <c r="E149" s="90"/>
      <c r="F149" s="132"/>
      <c r="G149" s="89"/>
      <c r="H149" s="87"/>
    </row>
    <row r="150" spans="1:8" s="76" customFormat="1" x14ac:dyDescent="0.2">
      <c r="A150" s="118" t="s">
        <v>135</v>
      </c>
      <c r="B150" s="127"/>
      <c r="C150" s="103"/>
      <c r="D150" s="87"/>
      <c r="E150" s="90"/>
      <c r="F150" s="132"/>
      <c r="G150" s="89"/>
      <c r="H150" s="87"/>
    </row>
    <row r="151" spans="1:8" s="90" customFormat="1" ht="13.5" x14ac:dyDescent="0.2">
      <c r="A151" s="111" t="s">
        <v>263</v>
      </c>
      <c r="B151" s="127" t="s">
        <v>1652</v>
      </c>
      <c r="C151" s="103">
        <f>E151*lbTOg/tonTOkg</f>
        <v>3080.0679027315418</v>
      </c>
      <c r="D151" s="87" t="s">
        <v>176</v>
      </c>
      <c r="E151" s="90">
        <v>6160</v>
      </c>
      <c r="F151" s="132" t="s">
        <v>136</v>
      </c>
      <c r="G151" s="89" t="s">
        <v>137</v>
      </c>
      <c r="H151" s="87"/>
    </row>
    <row r="152" spans="1:8" s="90" customFormat="1" ht="13.5" x14ac:dyDescent="0.2">
      <c r="A152" s="111"/>
      <c r="B152" s="127" t="s">
        <v>134</v>
      </c>
      <c r="C152" s="94">
        <v>2546.3634559844795</v>
      </c>
      <c r="D152" s="87" t="s">
        <v>176</v>
      </c>
      <c r="F152" s="132"/>
      <c r="G152" s="89"/>
      <c r="H152" s="87" t="s">
        <v>1230</v>
      </c>
    </row>
    <row r="153" spans="1:8" s="90" customFormat="1" x14ac:dyDescent="0.2">
      <c r="A153" s="111"/>
      <c r="B153" s="127"/>
      <c r="C153" s="103"/>
      <c r="D153" s="87"/>
      <c r="F153" s="132"/>
      <c r="G153" s="89"/>
      <c r="H153" s="87"/>
    </row>
    <row r="154" spans="1:8" s="90" customFormat="1" x14ac:dyDescent="0.2">
      <c r="A154" s="118"/>
      <c r="B154" s="127"/>
      <c r="C154" s="94"/>
      <c r="D154" s="87"/>
      <c r="F154" s="132"/>
      <c r="G154" s="89"/>
      <c r="H154" s="87"/>
    </row>
    <row r="155" spans="1:8" s="76" customFormat="1" x14ac:dyDescent="0.2">
      <c r="A155" s="163"/>
      <c r="B155" s="179"/>
      <c r="C155" s="180"/>
      <c r="D155" s="181"/>
      <c r="E155" s="182"/>
      <c r="F155" s="183"/>
      <c r="G155" s="155"/>
      <c r="H155" s="156"/>
    </row>
    <row r="156" spans="1:8" s="76" customFormat="1" x14ac:dyDescent="0.2">
      <c r="A156" s="163"/>
      <c r="B156" s="179"/>
      <c r="C156" s="1268"/>
      <c r="D156" s="181"/>
      <c r="E156" s="1267"/>
      <c r="F156" s="183"/>
      <c r="G156" s="1266"/>
      <c r="H156" s="587"/>
    </row>
    <row r="157" spans="1:8" s="76" customFormat="1" x14ac:dyDescent="0.2">
      <c r="A157" s="163"/>
      <c r="B157" s="179"/>
      <c r="C157" s="94"/>
      <c r="D157" s="87"/>
      <c r="E157" s="1267"/>
      <c r="F157" s="183"/>
      <c r="G157" s="155"/>
      <c r="H157" s="587"/>
    </row>
    <row r="158" spans="1:8" s="90" customFormat="1" x14ac:dyDescent="0.2">
      <c r="A158" s="111"/>
      <c r="B158" s="127"/>
      <c r="C158" s="103"/>
      <c r="D158" s="87"/>
      <c r="F158" s="132"/>
      <c r="G158" s="89"/>
      <c r="H158" s="87"/>
    </row>
    <row r="159" spans="1:8" s="90" customFormat="1" x14ac:dyDescent="0.2">
      <c r="A159" s="111"/>
      <c r="B159" s="127"/>
      <c r="C159" s="103"/>
      <c r="D159" s="87"/>
      <c r="F159" s="132"/>
      <c r="G159" s="89"/>
      <c r="H159" s="87"/>
    </row>
    <row r="160" spans="1:8" s="90" customFormat="1" x14ac:dyDescent="0.2">
      <c r="A160" s="118"/>
      <c r="B160" s="127"/>
      <c r="C160" s="103"/>
      <c r="D160" s="87"/>
      <c r="F160" s="132"/>
      <c r="G160" s="89"/>
      <c r="H160" s="87"/>
    </row>
    <row r="161" spans="1:8" s="90" customFormat="1" x14ac:dyDescent="0.2">
      <c r="A161" s="111"/>
      <c r="B161" s="127"/>
      <c r="C161" s="103"/>
      <c r="D161" s="87"/>
      <c r="F161" s="132"/>
      <c r="G161" s="89"/>
      <c r="H161" s="87"/>
    </row>
    <row r="162" spans="1:8" s="90" customFormat="1" x14ac:dyDescent="0.2">
      <c r="A162" s="111"/>
      <c r="B162" s="127"/>
      <c r="C162" s="94"/>
      <c r="D162" s="87"/>
      <c r="F162" s="132"/>
      <c r="G162" s="89"/>
      <c r="H162" s="87"/>
    </row>
    <row r="163" spans="1:8" s="90" customFormat="1" x14ac:dyDescent="0.2">
      <c r="A163" s="115"/>
      <c r="B163" s="127"/>
      <c r="C163" s="97"/>
      <c r="D163" s="87"/>
      <c r="E163" s="97"/>
      <c r="F163" s="133"/>
      <c r="G163" s="89"/>
      <c r="H163" s="87"/>
    </row>
    <row r="164" spans="1:8" s="90" customFormat="1" x14ac:dyDescent="0.2">
      <c r="A164" s="115"/>
      <c r="B164" s="127"/>
      <c r="C164" s="97"/>
      <c r="D164" s="136"/>
      <c r="E164" s="97"/>
      <c r="F164" s="133"/>
      <c r="G164" s="89"/>
      <c r="H164" s="87"/>
    </row>
    <row r="165" spans="1:8" s="90" customFormat="1" x14ac:dyDescent="0.2">
      <c r="A165" s="115"/>
      <c r="B165" s="127"/>
      <c r="C165" s="97"/>
      <c r="D165" s="136"/>
      <c r="E165" s="97"/>
      <c r="F165" s="133"/>
      <c r="G165" s="89"/>
      <c r="H165" s="87"/>
    </row>
    <row r="166" spans="1:8" s="90" customFormat="1" x14ac:dyDescent="0.2">
      <c r="A166" s="115"/>
      <c r="B166" s="127"/>
      <c r="C166" s="97"/>
      <c r="D166" s="136"/>
      <c r="E166" s="97"/>
      <c r="F166" s="133"/>
      <c r="G166" s="89"/>
      <c r="H166" s="87"/>
    </row>
    <row r="167" spans="1:8" s="90" customFormat="1" x14ac:dyDescent="0.2">
      <c r="A167" s="115"/>
      <c r="B167" s="127"/>
      <c r="C167" s="97"/>
      <c r="D167" s="136"/>
      <c r="E167" s="97"/>
      <c r="F167" s="133"/>
      <c r="G167" s="89"/>
      <c r="H167" s="87"/>
    </row>
    <row r="168" spans="1:8" s="90" customFormat="1" x14ac:dyDescent="0.2">
      <c r="A168" s="115"/>
      <c r="B168" s="127"/>
      <c r="D168" s="87"/>
      <c r="E168" s="103"/>
      <c r="F168" s="132"/>
      <c r="G168" s="89"/>
      <c r="H168" s="87"/>
    </row>
    <row r="169" spans="1:8" s="90" customFormat="1" x14ac:dyDescent="0.2">
      <c r="A169" s="115"/>
      <c r="B169" s="127"/>
      <c r="D169" s="87"/>
      <c r="E169" s="103"/>
      <c r="F169" s="132"/>
      <c r="G169" s="89"/>
      <c r="H169" s="87"/>
    </row>
    <row r="170" spans="1:8" s="90" customFormat="1" x14ac:dyDescent="0.2">
      <c r="A170" s="115"/>
      <c r="B170" s="127"/>
      <c r="D170" s="87"/>
      <c r="E170" s="103"/>
      <c r="F170" s="132"/>
      <c r="G170" s="89"/>
      <c r="H170" s="87"/>
    </row>
    <row r="171" spans="1:8" s="90" customFormat="1" x14ac:dyDescent="0.2">
      <c r="A171" s="115"/>
      <c r="B171" s="127"/>
      <c r="D171" s="87"/>
      <c r="E171" s="103"/>
      <c r="F171" s="132"/>
      <c r="G171" s="89"/>
      <c r="H171" s="87"/>
    </row>
    <row r="172" spans="1:8" s="90" customFormat="1" x14ac:dyDescent="0.2">
      <c r="A172" s="115"/>
      <c r="B172" s="127"/>
      <c r="D172" s="87"/>
      <c r="E172" s="103"/>
      <c r="F172" s="132"/>
      <c r="G172" s="89"/>
      <c r="H172" s="87"/>
    </row>
    <row r="173" spans="1:8" s="90" customFormat="1" x14ac:dyDescent="0.2">
      <c r="A173" s="119"/>
      <c r="B173" s="128"/>
      <c r="C173" s="103"/>
      <c r="D173" s="87"/>
      <c r="E173" s="88"/>
      <c r="F173" s="132"/>
      <c r="G173" s="89"/>
      <c r="H173" s="87"/>
    </row>
    <row r="174" spans="1:8" s="90" customFormat="1" x14ac:dyDescent="0.2">
      <c r="A174" s="118"/>
      <c r="B174" s="127"/>
      <c r="C174" s="103"/>
      <c r="D174" s="87"/>
      <c r="E174" s="88"/>
      <c r="F174" s="132"/>
      <c r="G174" s="89"/>
      <c r="H174" s="87"/>
    </row>
    <row r="175" spans="1:8" s="90" customFormat="1" x14ac:dyDescent="0.2">
      <c r="A175" s="111"/>
      <c r="B175" s="127"/>
      <c r="C175" s="103"/>
      <c r="D175" s="87"/>
      <c r="E175" s="88"/>
      <c r="F175" s="132"/>
      <c r="G175" s="89"/>
      <c r="H175" s="87"/>
    </row>
    <row r="176" spans="1:8" s="90" customFormat="1" x14ac:dyDescent="0.2">
      <c r="A176" s="115"/>
      <c r="B176" s="127"/>
      <c r="C176" s="103"/>
      <c r="D176" s="87"/>
      <c r="E176" s="103"/>
      <c r="F176" s="132"/>
      <c r="G176" s="89"/>
      <c r="H176" s="87"/>
    </row>
    <row r="177" spans="1:8" s="90" customFormat="1" x14ac:dyDescent="0.2">
      <c r="A177" s="115"/>
      <c r="B177" s="127"/>
      <c r="C177" s="103"/>
      <c r="D177" s="87"/>
      <c r="E177" s="103"/>
      <c r="F177" s="132"/>
      <c r="G177" s="89"/>
      <c r="H177" s="87"/>
    </row>
    <row r="178" spans="1:8" s="90" customFormat="1" x14ac:dyDescent="0.2">
      <c r="A178" s="115"/>
      <c r="B178" s="127"/>
      <c r="C178" s="103"/>
      <c r="D178" s="87"/>
      <c r="E178" s="103"/>
      <c r="F178" s="132"/>
      <c r="G178" s="89"/>
      <c r="H178" s="87"/>
    </row>
    <row r="179" spans="1:8" s="90" customFormat="1" x14ac:dyDescent="0.2">
      <c r="A179" s="115"/>
      <c r="B179" s="127"/>
      <c r="C179" s="103"/>
      <c r="D179" s="87"/>
      <c r="E179" s="103"/>
      <c r="F179" s="132"/>
      <c r="G179" s="89"/>
      <c r="H179" s="87"/>
    </row>
    <row r="180" spans="1:8" s="90" customFormat="1" x14ac:dyDescent="0.2">
      <c r="A180" s="115"/>
      <c r="B180" s="127"/>
      <c r="C180" s="103"/>
      <c r="D180" s="87"/>
      <c r="E180" s="103"/>
      <c r="F180" s="132"/>
      <c r="G180" s="89"/>
      <c r="H180" s="87"/>
    </row>
    <row r="181" spans="1:8" s="90" customFormat="1" x14ac:dyDescent="0.2">
      <c r="A181" s="115"/>
      <c r="B181" s="127"/>
      <c r="C181" s="103"/>
      <c r="D181" s="87"/>
      <c r="E181" s="103"/>
      <c r="F181" s="132"/>
      <c r="G181" s="89"/>
      <c r="H181" s="87"/>
    </row>
    <row r="182" spans="1:8" s="90" customFormat="1" x14ac:dyDescent="0.2">
      <c r="A182" s="115"/>
      <c r="B182" s="127"/>
      <c r="C182" s="103"/>
      <c r="D182" s="87"/>
      <c r="E182" s="103"/>
      <c r="F182" s="132"/>
      <c r="G182" s="89"/>
      <c r="H182" s="87"/>
    </row>
    <row r="183" spans="1:8" s="90" customFormat="1" x14ac:dyDescent="0.2">
      <c r="A183" s="115"/>
      <c r="B183" s="127"/>
      <c r="C183" s="103"/>
      <c r="D183" s="87"/>
      <c r="E183" s="103"/>
      <c r="F183" s="132"/>
      <c r="G183" s="89"/>
      <c r="H183" s="87"/>
    </row>
    <row r="184" spans="1:8" s="90" customFormat="1" x14ac:dyDescent="0.2">
      <c r="A184" s="115"/>
      <c r="B184" s="127"/>
      <c r="C184" s="103"/>
      <c r="D184" s="87"/>
      <c r="E184" s="103"/>
      <c r="F184" s="132"/>
      <c r="G184" s="89"/>
      <c r="H184" s="87"/>
    </row>
    <row r="185" spans="1:8" s="90" customFormat="1" x14ac:dyDescent="0.2">
      <c r="A185" s="115"/>
      <c r="B185" s="127"/>
      <c r="C185" s="103"/>
      <c r="D185" s="87"/>
      <c r="E185" s="103"/>
      <c r="F185" s="132"/>
      <c r="G185" s="89"/>
      <c r="H185" s="87"/>
    </row>
    <row r="186" spans="1:8" s="90" customFormat="1" x14ac:dyDescent="0.2">
      <c r="A186" s="115"/>
      <c r="B186" s="127"/>
      <c r="C186" s="103"/>
      <c r="D186" s="87"/>
      <c r="E186" s="103"/>
      <c r="F186" s="132"/>
      <c r="G186" s="89"/>
      <c r="H186" s="87"/>
    </row>
    <row r="187" spans="1:8" s="90" customFormat="1" x14ac:dyDescent="0.2">
      <c r="A187" s="119"/>
      <c r="B187" s="128"/>
      <c r="C187" s="103"/>
      <c r="D187" s="87"/>
      <c r="E187" s="103"/>
      <c r="F187" s="132"/>
      <c r="G187" s="89"/>
      <c r="H187" s="87"/>
    </row>
    <row r="188" spans="1:8" s="90" customFormat="1" x14ac:dyDescent="0.2">
      <c r="A188" s="116"/>
      <c r="B188" s="127"/>
      <c r="D188" s="87"/>
      <c r="F188" s="132"/>
      <c r="G188" s="89"/>
      <c r="H188" s="87"/>
    </row>
    <row r="189" spans="1:8" s="90" customFormat="1" x14ac:dyDescent="0.2">
      <c r="A189" s="111"/>
      <c r="B189" s="127"/>
      <c r="D189" s="87"/>
      <c r="F189" s="132"/>
      <c r="G189" s="89"/>
      <c r="H189" s="87"/>
    </row>
    <row r="190" spans="1:8" s="90" customFormat="1" x14ac:dyDescent="0.2">
      <c r="A190" s="111"/>
      <c r="B190" s="127"/>
      <c r="D190" s="87"/>
      <c r="E190" s="94"/>
      <c r="F190" s="132"/>
      <c r="G190" s="89"/>
      <c r="H190" s="87"/>
    </row>
    <row r="191" spans="1:8" s="90" customFormat="1" x14ac:dyDescent="0.2">
      <c r="A191" s="111"/>
      <c r="B191" s="127"/>
      <c r="D191" s="87"/>
      <c r="F191" s="132"/>
      <c r="G191" s="89"/>
      <c r="H191" s="87"/>
    </row>
    <row r="192" spans="1:8" s="90" customFormat="1" x14ac:dyDescent="0.2">
      <c r="A192" s="111"/>
      <c r="B192" s="127"/>
      <c r="C192" s="94"/>
      <c r="D192" s="87"/>
      <c r="F192" s="132"/>
      <c r="G192" s="89"/>
      <c r="H192" s="87"/>
    </row>
    <row r="193" spans="1:12" s="90" customFormat="1" x14ac:dyDescent="0.2">
      <c r="A193" s="111"/>
      <c r="B193" s="127"/>
      <c r="C193" s="88"/>
      <c r="D193" s="87"/>
      <c r="F193" s="132"/>
      <c r="G193" s="89"/>
      <c r="H193" s="87"/>
    </row>
    <row r="194" spans="1:12" s="90" customFormat="1" x14ac:dyDescent="0.2">
      <c r="A194" s="118"/>
      <c r="B194" s="127"/>
      <c r="D194" s="87"/>
      <c r="F194" s="132"/>
      <c r="G194" s="89"/>
      <c r="H194" s="87"/>
    </row>
    <row r="195" spans="1:12" s="90" customFormat="1" x14ac:dyDescent="0.2">
      <c r="A195" s="111"/>
      <c r="B195" s="127"/>
      <c r="D195" s="87"/>
      <c r="E195" s="96"/>
      <c r="F195" s="132"/>
      <c r="G195" s="89"/>
      <c r="H195" s="87"/>
    </row>
    <row r="196" spans="1:12" s="90" customFormat="1" x14ac:dyDescent="0.2">
      <c r="A196" s="111"/>
      <c r="B196" s="127"/>
      <c r="D196" s="87"/>
      <c r="F196" s="132"/>
      <c r="G196" s="89"/>
      <c r="H196" s="87"/>
    </row>
    <row r="197" spans="1:12" s="90" customFormat="1" x14ac:dyDescent="0.2">
      <c r="A197" s="115"/>
      <c r="B197" s="127"/>
      <c r="D197" s="87"/>
      <c r="F197" s="132"/>
      <c r="G197" s="89"/>
      <c r="H197" s="87"/>
    </row>
    <row r="198" spans="1:12" s="90" customFormat="1" x14ac:dyDescent="0.2">
      <c r="A198" s="115"/>
      <c r="B198" s="127"/>
      <c r="D198" s="87"/>
      <c r="F198" s="132"/>
      <c r="G198" s="89"/>
      <c r="H198" s="87"/>
    </row>
    <row r="199" spans="1:12" s="90" customFormat="1" x14ac:dyDescent="0.2">
      <c r="A199" s="115"/>
      <c r="B199" s="127"/>
      <c r="D199" s="87"/>
      <c r="F199" s="132"/>
      <c r="G199" s="89"/>
      <c r="H199" s="87"/>
    </row>
    <row r="200" spans="1:12" s="90" customFormat="1" x14ac:dyDescent="0.2">
      <c r="A200" s="115"/>
      <c r="B200" s="127"/>
      <c r="D200" s="87"/>
      <c r="F200" s="132"/>
      <c r="G200" s="89"/>
      <c r="H200" s="87"/>
    </row>
    <row r="201" spans="1:12" s="90" customFormat="1" x14ac:dyDescent="0.2">
      <c r="A201" s="115"/>
      <c r="B201" s="127"/>
      <c r="D201" s="87"/>
      <c r="F201" s="132"/>
      <c r="G201" s="89"/>
      <c r="H201" s="87"/>
    </row>
    <row r="202" spans="1:12" s="90" customFormat="1" x14ac:dyDescent="0.2">
      <c r="A202" s="115"/>
      <c r="B202" s="127"/>
      <c r="D202" s="87"/>
      <c r="F202" s="132"/>
      <c r="G202" s="89"/>
      <c r="H202" s="87"/>
    </row>
    <row r="203" spans="1:12" s="90" customFormat="1" x14ac:dyDescent="0.2">
      <c r="A203" s="115"/>
      <c r="B203" s="127"/>
      <c r="D203" s="87"/>
      <c r="F203" s="132"/>
      <c r="G203" s="89"/>
      <c r="H203" s="87"/>
    </row>
    <row r="204" spans="1:12" s="90" customFormat="1" x14ac:dyDescent="0.2">
      <c r="A204" s="115"/>
      <c r="B204" s="127"/>
      <c r="D204" s="87"/>
      <c r="F204" s="132"/>
      <c r="G204" s="89"/>
      <c r="H204" s="87"/>
    </row>
    <row r="205" spans="1:12" s="90" customFormat="1" x14ac:dyDescent="0.2">
      <c r="A205" s="115"/>
      <c r="B205" s="127"/>
      <c r="C205" s="97"/>
      <c r="D205" s="87"/>
      <c r="F205" s="132"/>
      <c r="G205" s="89"/>
      <c r="H205" s="87"/>
    </row>
    <row r="206" spans="1:12" s="90" customFormat="1" x14ac:dyDescent="0.2">
      <c r="A206" s="120"/>
      <c r="B206" s="127"/>
      <c r="D206" s="87"/>
      <c r="F206" s="132"/>
      <c r="G206" s="89"/>
      <c r="H206" s="87"/>
    </row>
    <row r="207" spans="1:12" s="90" customFormat="1" x14ac:dyDescent="0.2">
      <c r="A207" s="116"/>
      <c r="B207" s="127"/>
      <c r="C207" s="103"/>
      <c r="D207" s="87"/>
      <c r="F207" s="132"/>
      <c r="G207" s="89"/>
      <c r="H207" s="87"/>
    </row>
    <row r="208" spans="1:12" s="91" customFormat="1" x14ac:dyDescent="0.2">
      <c r="A208" s="117"/>
      <c r="B208" s="128"/>
      <c r="D208" s="92"/>
      <c r="F208" s="93"/>
      <c r="G208" s="89"/>
      <c r="H208" s="92"/>
      <c r="J208" s="88"/>
      <c r="K208" s="102"/>
      <c r="L208" s="88"/>
    </row>
    <row r="209" spans="1:12" s="90" customFormat="1" x14ac:dyDescent="0.2">
      <c r="A209" s="116"/>
      <c r="B209" s="127"/>
      <c r="D209" s="87"/>
      <c r="F209" s="132"/>
      <c r="G209" s="89"/>
      <c r="H209" s="87"/>
    </row>
    <row r="210" spans="1:12" s="90" customFormat="1" x14ac:dyDescent="0.2">
      <c r="A210" s="116"/>
      <c r="B210" s="127"/>
      <c r="D210" s="87"/>
      <c r="F210" s="132"/>
      <c r="G210" s="89"/>
      <c r="H210" s="87"/>
    </row>
    <row r="211" spans="1:12" s="90" customFormat="1" x14ac:dyDescent="0.2">
      <c r="A211" s="116"/>
      <c r="B211" s="127"/>
      <c r="D211" s="87"/>
      <c r="F211" s="132"/>
      <c r="G211" s="89"/>
      <c r="H211" s="87"/>
    </row>
    <row r="212" spans="1:12" s="90" customFormat="1" x14ac:dyDescent="0.2">
      <c r="A212" s="116"/>
      <c r="B212" s="127"/>
      <c r="D212" s="87"/>
      <c r="F212" s="132"/>
      <c r="G212" s="89"/>
      <c r="H212" s="87"/>
    </row>
    <row r="213" spans="1:12" s="90" customFormat="1" x14ac:dyDescent="0.2">
      <c r="A213" s="116"/>
      <c r="B213" s="127"/>
      <c r="D213" s="87"/>
      <c r="E213" s="99"/>
      <c r="F213" s="132"/>
      <c r="G213" s="95"/>
      <c r="H213" s="87"/>
    </row>
    <row r="214" spans="1:12" s="90" customFormat="1" x14ac:dyDescent="0.2">
      <c r="A214" s="116"/>
      <c r="B214" s="127"/>
      <c r="D214" s="87"/>
      <c r="E214" s="94"/>
      <c r="F214" s="132"/>
      <c r="G214" s="89"/>
      <c r="H214" s="87"/>
    </row>
    <row r="215" spans="1:12" s="90" customFormat="1" x14ac:dyDescent="0.2">
      <c r="A215" s="116"/>
      <c r="B215" s="127"/>
      <c r="D215" s="87"/>
      <c r="F215" s="132"/>
      <c r="G215" s="89"/>
      <c r="H215" s="87"/>
    </row>
    <row r="216" spans="1:12" s="90" customFormat="1" x14ac:dyDescent="0.2">
      <c r="A216" s="116"/>
      <c r="B216" s="127"/>
      <c r="D216" s="87"/>
      <c r="F216" s="132"/>
      <c r="G216" s="89"/>
      <c r="H216" s="87"/>
    </row>
    <row r="217" spans="1:12" s="90" customFormat="1" x14ac:dyDescent="0.2">
      <c r="A217" s="116"/>
      <c r="B217" s="127"/>
      <c r="D217" s="87"/>
      <c r="F217" s="132"/>
      <c r="G217" s="89"/>
      <c r="H217" s="87"/>
    </row>
    <row r="218" spans="1:12" s="90" customFormat="1" x14ac:dyDescent="0.2">
      <c r="A218" s="116"/>
      <c r="B218" s="127"/>
      <c r="D218" s="87"/>
      <c r="F218" s="132"/>
      <c r="G218" s="89"/>
      <c r="H218" s="87"/>
    </row>
    <row r="219" spans="1:12" s="90" customFormat="1" x14ac:dyDescent="0.2">
      <c r="A219" s="116"/>
      <c r="B219" s="127"/>
      <c r="D219" s="87"/>
      <c r="F219" s="132"/>
      <c r="G219" s="89"/>
      <c r="H219" s="87"/>
    </row>
    <row r="220" spans="1:12" s="90" customFormat="1" x14ac:dyDescent="0.2">
      <c r="A220" s="116"/>
      <c r="B220" s="127"/>
      <c r="D220" s="87"/>
      <c r="F220" s="132"/>
      <c r="G220" s="89"/>
      <c r="H220" s="87"/>
    </row>
    <row r="221" spans="1:12" s="90" customFormat="1" x14ac:dyDescent="0.2">
      <c r="A221" s="116"/>
      <c r="B221" s="127"/>
      <c r="D221" s="87"/>
      <c r="F221" s="132"/>
      <c r="G221" s="89"/>
      <c r="H221" s="87"/>
    </row>
    <row r="222" spans="1:12" s="90" customFormat="1" x14ac:dyDescent="0.2">
      <c r="A222" s="116"/>
      <c r="B222" s="127"/>
      <c r="D222" s="87"/>
      <c r="F222" s="132"/>
      <c r="G222" s="89"/>
      <c r="H222" s="87"/>
    </row>
    <row r="223" spans="1:12" s="91" customFormat="1" x14ac:dyDescent="0.2">
      <c r="A223" s="117"/>
      <c r="B223" s="128"/>
      <c r="D223" s="92"/>
      <c r="F223" s="93"/>
      <c r="G223" s="89"/>
      <c r="H223" s="92"/>
      <c r="J223" s="88"/>
      <c r="K223" s="102"/>
      <c r="L223" s="88"/>
    </row>
    <row r="224" spans="1:12" s="90" customFormat="1" x14ac:dyDescent="0.2">
      <c r="A224" s="116"/>
      <c r="B224" s="127"/>
      <c r="D224" s="87"/>
      <c r="F224" s="132"/>
      <c r="G224" s="89"/>
      <c r="H224" s="87"/>
    </row>
    <row r="225" spans="1:8" s="90" customFormat="1" x14ac:dyDescent="0.2">
      <c r="A225" s="111"/>
      <c r="B225" s="127"/>
      <c r="D225" s="87"/>
      <c r="F225" s="132"/>
      <c r="G225" s="89"/>
      <c r="H225" s="87"/>
    </row>
    <row r="226" spans="1:8" s="90" customFormat="1" x14ac:dyDescent="0.2">
      <c r="A226" s="111"/>
      <c r="B226" s="127"/>
      <c r="D226" s="87"/>
      <c r="E226" s="103"/>
      <c r="F226" s="132"/>
      <c r="G226" s="89"/>
      <c r="H226" s="87"/>
    </row>
    <row r="227" spans="1:8" s="90" customFormat="1" x14ac:dyDescent="0.2">
      <c r="A227" s="111"/>
      <c r="B227" s="127"/>
      <c r="D227" s="87"/>
      <c r="E227" s="103"/>
      <c r="F227" s="132"/>
      <c r="G227" s="89"/>
      <c r="H227" s="87"/>
    </row>
    <row r="228" spans="1:8" s="90" customFormat="1" x14ac:dyDescent="0.2">
      <c r="A228" s="111"/>
      <c r="B228" s="127"/>
      <c r="D228" s="87"/>
      <c r="F228" s="132"/>
      <c r="G228" s="89"/>
      <c r="H228" s="87"/>
    </row>
    <row r="229" spans="1:8" s="90" customFormat="1" x14ac:dyDescent="0.2">
      <c r="A229" s="111"/>
      <c r="B229" s="127"/>
      <c r="D229" s="87"/>
      <c r="F229" s="132"/>
      <c r="G229" s="89"/>
      <c r="H229" s="87"/>
    </row>
    <row r="230" spans="1:8" s="90" customFormat="1" x14ac:dyDescent="0.2">
      <c r="A230" s="111"/>
      <c r="B230" s="127"/>
      <c r="D230" s="87"/>
      <c r="F230" s="132"/>
      <c r="G230" s="89"/>
      <c r="H230" s="87"/>
    </row>
    <row r="231" spans="1:8" s="90" customFormat="1" x14ac:dyDescent="0.2">
      <c r="A231" s="111"/>
      <c r="B231" s="127"/>
      <c r="D231" s="87"/>
      <c r="F231" s="132"/>
      <c r="G231" s="89"/>
      <c r="H231" s="87"/>
    </row>
    <row r="232" spans="1:8" s="90" customFormat="1" x14ac:dyDescent="0.2">
      <c r="A232" s="111"/>
      <c r="B232" s="127"/>
      <c r="D232" s="87"/>
      <c r="F232" s="132"/>
      <c r="G232" s="95"/>
      <c r="H232" s="87"/>
    </row>
    <row r="233" spans="1:8" s="90" customFormat="1" x14ac:dyDescent="0.2">
      <c r="A233" s="116"/>
      <c r="B233" s="127"/>
      <c r="D233" s="87"/>
      <c r="F233" s="132"/>
      <c r="G233" s="89"/>
      <c r="H233" s="87"/>
    </row>
    <row r="234" spans="1:8" s="90" customFormat="1" x14ac:dyDescent="0.2">
      <c r="A234" s="111"/>
      <c r="B234" s="127"/>
      <c r="D234" s="87"/>
      <c r="F234" s="132"/>
      <c r="G234" s="89"/>
      <c r="H234" s="87"/>
    </row>
    <row r="235" spans="1:8" s="90" customFormat="1" x14ac:dyDescent="0.2">
      <c r="A235" s="115"/>
      <c r="B235" s="127"/>
      <c r="D235" s="87"/>
      <c r="F235" s="132"/>
      <c r="G235" s="89"/>
      <c r="H235" s="87"/>
    </row>
    <row r="236" spans="1:8" s="90" customFormat="1" x14ac:dyDescent="0.2">
      <c r="A236" s="111"/>
      <c r="B236" s="127"/>
      <c r="C236" s="94"/>
      <c r="D236" s="87"/>
      <c r="F236" s="132"/>
      <c r="G236" s="89"/>
      <c r="H236" s="87"/>
    </row>
    <row r="237" spans="1:8" s="90" customFormat="1" x14ac:dyDescent="0.2">
      <c r="A237" s="111"/>
      <c r="B237" s="127"/>
      <c r="C237" s="94"/>
      <c r="D237" s="87"/>
      <c r="F237" s="132"/>
      <c r="G237" s="89"/>
      <c r="H237" s="87"/>
    </row>
    <row r="238" spans="1:8" s="90" customFormat="1" x14ac:dyDescent="0.2">
      <c r="A238" s="111"/>
      <c r="B238" s="127"/>
      <c r="C238" s="94"/>
      <c r="D238" s="87"/>
      <c r="F238" s="132"/>
      <c r="G238" s="89"/>
      <c r="H238" s="87"/>
    </row>
    <row r="239" spans="1:8" s="90" customFormat="1" x14ac:dyDescent="0.2">
      <c r="A239" s="111"/>
      <c r="B239" s="127"/>
      <c r="C239" s="94"/>
      <c r="D239" s="87"/>
      <c r="F239" s="132"/>
      <c r="G239" s="89"/>
      <c r="H239" s="87"/>
    </row>
    <row r="240" spans="1:8" s="90" customFormat="1" x14ac:dyDescent="0.2">
      <c r="A240" s="111"/>
      <c r="B240" s="127"/>
      <c r="D240" s="87"/>
      <c r="F240" s="132"/>
      <c r="G240" s="89"/>
      <c r="H240" s="87"/>
    </row>
    <row r="241" spans="1:8" s="90" customFormat="1" x14ac:dyDescent="0.2">
      <c r="A241" s="115"/>
      <c r="B241" s="127"/>
      <c r="C241" s="94"/>
      <c r="D241" s="87"/>
      <c r="E241" s="1269"/>
      <c r="F241" s="132"/>
      <c r="G241" s="89"/>
      <c r="H241" s="87"/>
    </row>
    <row r="242" spans="1:8" s="90" customFormat="1" x14ac:dyDescent="0.2">
      <c r="A242" s="115"/>
      <c r="B242" s="127"/>
      <c r="C242" s="94"/>
      <c r="D242" s="87"/>
      <c r="E242" s="1269"/>
      <c r="F242" s="132"/>
      <c r="G242" s="89"/>
      <c r="H242" s="87"/>
    </row>
    <row r="243" spans="1:8" s="90" customFormat="1" x14ac:dyDescent="0.2">
      <c r="A243" s="115"/>
      <c r="B243" s="127"/>
      <c r="C243" s="94"/>
      <c r="D243" s="87"/>
      <c r="E243" s="1269"/>
      <c r="F243" s="132"/>
      <c r="G243" s="89"/>
      <c r="H243" s="87"/>
    </row>
    <row r="244" spans="1:8" s="90" customFormat="1" x14ac:dyDescent="0.2">
      <c r="A244" s="115"/>
      <c r="B244" s="127"/>
      <c r="C244" s="94"/>
      <c r="D244" s="87"/>
      <c r="E244" s="103"/>
      <c r="F244" s="132"/>
      <c r="G244" s="89"/>
      <c r="H244" s="87"/>
    </row>
    <row r="245" spans="1:8" s="90" customFormat="1" x14ac:dyDescent="0.2">
      <c r="A245" s="115"/>
      <c r="B245" s="127"/>
      <c r="C245" s="94"/>
      <c r="D245" s="87"/>
      <c r="E245" s="96"/>
      <c r="F245" s="132"/>
      <c r="G245" s="89"/>
      <c r="H245" s="87"/>
    </row>
    <row r="246" spans="1:8" s="90" customFormat="1" x14ac:dyDescent="0.2">
      <c r="A246" s="115"/>
      <c r="B246" s="127"/>
      <c r="C246" s="94"/>
      <c r="D246" s="87"/>
      <c r="E246" s="96"/>
      <c r="F246" s="132"/>
      <c r="G246" s="89"/>
      <c r="H246" s="87"/>
    </row>
    <row r="247" spans="1:8" s="90" customFormat="1" x14ac:dyDescent="0.2">
      <c r="A247" s="115"/>
      <c r="B247" s="127"/>
      <c r="C247" s="94"/>
      <c r="D247" s="87"/>
      <c r="E247" s="96"/>
      <c r="F247" s="132"/>
      <c r="G247" s="89"/>
      <c r="H247" s="87"/>
    </row>
    <row r="248" spans="1:8" s="90" customFormat="1" x14ac:dyDescent="0.2">
      <c r="A248" s="115"/>
      <c r="B248" s="127"/>
      <c r="D248" s="87"/>
      <c r="E248" s="96"/>
      <c r="F248" s="132"/>
      <c r="G248" s="89"/>
      <c r="H248" s="87"/>
    </row>
    <row r="249" spans="1:8" s="90" customFormat="1" x14ac:dyDescent="0.2">
      <c r="A249" s="115"/>
      <c r="B249" s="127"/>
      <c r="C249" s="94"/>
      <c r="D249" s="87"/>
      <c r="E249" s="96"/>
      <c r="F249" s="132"/>
      <c r="G249" s="89"/>
      <c r="H249" s="87"/>
    </row>
    <row r="250" spans="1:8" s="90" customFormat="1" x14ac:dyDescent="0.2">
      <c r="A250" s="115"/>
      <c r="B250" s="127"/>
      <c r="D250" s="87"/>
      <c r="E250" s="100"/>
      <c r="F250" s="132"/>
      <c r="G250" s="89"/>
      <c r="H250" s="87"/>
    </row>
    <row r="251" spans="1:8" s="90" customFormat="1" x14ac:dyDescent="0.2">
      <c r="A251" s="115"/>
      <c r="B251" s="127"/>
      <c r="C251" s="94"/>
      <c r="D251" s="87"/>
      <c r="F251" s="132"/>
      <c r="G251" s="89"/>
      <c r="H251" s="87"/>
    </row>
    <row r="252" spans="1:8" s="90" customFormat="1" x14ac:dyDescent="0.2">
      <c r="A252" s="115"/>
      <c r="B252" s="127"/>
      <c r="C252" s="94"/>
      <c r="D252" s="87"/>
      <c r="F252" s="132"/>
      <c r="G252" s="89"/>
      <c r="H252" s="87"/>
    </row>
    <row r="253" spans="1:8" s="90" customFormat="1" x14ac:dyDescent="0.2">
      <c r="A253" s="115"/>
      <c r="B253" s="127"/>
      <c r="C253" s="94"/>
      <c r="D253" s="87"/>
      <c r="F253" s="132"/>
      <c r="G253" s="89"/>
      <c r="H253" s="87"/>
    </row>
    <row r="254" spans="1:8" s="90" customFormat="1" x14ac:dyDescent="0.2">
      <c r="A254" s="115"/>
      <c r="B254" s="127"/>
      <c r="C254" s="103"/>
      <c r="D254" s="87"/>
      <c r="E254" s="96"/>
      <c r="F254" s="132"/>
      <c r="G254" s="89"/>
      <c r="H254" s="87"/>
    </row>
    <row r="255" spans="1:8" s="90" customFormat="1" x14ac:dyDescent="0.2">
      <c r="A255" s="120"/>
      <c r="B255" s="127"/>
      <c r="C255" s="94"/>
      <c r="D255" s="87"/>
      <c r="E255" s="96"/>
      <c r="F255" s="132"/>
      <c r="G255" s="89"/>
      <c r="H255" s="87"/>
    </row>
    <row r="256" spans="1:8" s="90" customFormat="1" x14ac:dyDescent="0.2">
      <c r="A256" s="111"/>
      <c r="B256" s="127"/>
      <c r="C256" s="94"/>
      <c r="D256" s="87"/>
      <c r="F256" s="132"/>
      <c r="G256" s="89"/>
      <c r="H256" s="87"/>
    </row>
    <row r="257" spans="1:8" s="90" customFormat="1" x14ac:dyDescent="0.2">
      <c r="A257" s="120"/>
      <c r="B257" s="127"/>
      <c r="C257" s="103"/>
      <c r="D257" s="87"/>
      <c r="F257" s="132"/>
      <c r="G257" s="89"/>
      <c r="H257" s="87"/>
    </row>
    <row r="258" spans="1:8" s="90" customFormat="1" x14ac:dyDescent="0.2">
      <c r="A258" s="116"/>
      <c r="B258" s="127"/>
      <c r="D258" s="87"/>
      <c r="F258" s="132"/>
      <c r="G258" s="89"/>
      <c r="H258" s="87"/>
    </row>
    <row r="259" spans="1:8" s="90" customFormat="1" x14ac:dyDescent="0.2">
      <c r="A259" s="111"/>
      <c r="B259" s="127"/>
      <c r="C259" s="94"/>
      <c r="D259" s="87"/>
      <c r="F259" s="132"/>
      <c r="G259" s="89"/>
      <c r="H259" s="87"/>
    </row>
    <row r="260" spans="1:8" s="90" customFormat="1" x14ac:dyDescent="0.2">
      <c r="A260" s="111"/>
      <c r="B260" s="127"/>
      <c r="C260" s="94"/>
      <c r="D260" s="87"/>
      <c r="F260" s="132"/>
      <c r="G260" s="89"/>
      <c r="H260" s="87"/>
    </row>
    <row r="261" spans="1:8" s="90" customFormat="1" x14ac:dyDescent="0.2">
      <c r="A261" s="111"/>
      <c r="B261" s="127"/>
      <c r="C261" s="94"/>
      <c r="D261" s="87"/>
      <c r="F261" s="132"/>
      <c r="G261" s="89"/>
      <c r="H261" s="87"/>
    </row>
    <row r="262" spans="1:8" s="90" customFormat="1" x14ac:dyDescent="0.2">
      <c r="A262" s="111"/>
      <c r="B262" s="127"/>
      <c r="C262" s="94"/>
      <c r="D262" s="87"/>
      <c r="F262" s="132"/>
      <c r="G262" s="89"/>
      <c r="H262" s="87"/>
    </row>
    <row r="263" spans="1:8" s="90" customFormat="1" x14ac:dyDescent="0.2">
      <c r="A263" s="111"/>
      <c r="B263" s="127"/>
      <c r="C263" s="103"/>
      <c r="D263" s="87"/>
      <c r="F263" s="132"/>
      <c r="G263" s="89"/>
      <c r="H263" s="87"/>
    </row>
    <row r="264" spans="1:8" s="90" customFormat="1" x14ac:dyDescent="0.2">
      <c r="A264" s="115"/>
      <c r="B264" s="127"/>
      <c r="C264" s="97"/>
      <c r="D264" s="87"/>
      <c r="F264" s="132"/>
      <c r="G264" s="89"/>
      <c r="H264" s="87"/>
    </row>
    <row r="265" spans="1:8" s="90" customFormat="1" x14ac:dyDescent="0.2">
      <c r="A265" s="115"/>
      <c r="B265" s="127"/>
      <c r="C265" s="97"/>
      <c r="D265" s="87"/>
      <c r="F265" s="132"/>
      <c r="G265" s="89"/>
      <c r="H265" s="87"/>
    </row>
    <row r="266" spans="1:8" s="90" customFormat="1" x14ac:dyDescent="0.2">
      <c r="A266" s="120"/>
      <c r="B266" s="127"/>
      <c r="C266" s="94"/>
      <c r="D266" s="87"/>
      <c r="E266" s="94"/>
      <c r="F266" s="132"/>
      <c r="G266" s="89"/>
      <c r="H266" s="87"/>
    </row>
    <row r="267" spans="1:8" s="90" customFormat="1" x14ac:dyDescent="0.2">
      <c r="A267" s="120"/>
      <c r="B267" s="127"/>
      <c r="C267" s="94"/>
      <c r="D267" s="87"/>
      <c r="E267" s="94"/>
      <c r="F267" s="132"/>
      <c r="G267" s="89"/>
      <c r="H267" s="87"/>
    </row>
    <row r="268" spans="1:8" s="90" customFormat="1" x14ac:dyDescent="0.2">
      <c r="A268" s="120"/>
      <c r="B268" s="127"/>
      <c r="C268" s="94"/>
      <c r="D268" s="87"/>
      <c r="F268" s="132"/>
      <c r="G268" s="89"/>
      <c r="H268" s="87"/>
    </row>
    <row r="269" spans="1:8" s="105" customFormat="1" x14ac:dyDescent="0.2">
      <c r="A269" s="120"/>
      <c r="B269" s="127"/>
      <c r="C269" s="78"/>
      <c r="D269" s="104"/>
      <c r="F269" s="134"/>
      <c r="G269" s="106"/>
      <c r="H269" s="98"/>
    </row>
    <row r="270" spans="1:8" s="105" customFormat="1" x14ac:dyDescent="0.2">
      <c r="A270" s="120"/>
      <c r="B270" s="127"/>
      <c r="C270" s="78"/>
      <c r="D270" s="104"/>
      <c r="F270" s="134"/>
      <c r="G270" s="106"/>
      <c r="H270" s="98"/>
    </row>
    <row r="271" spans="1:8" s="105" customFormat="1" x14ac:dyDescent="0.2">
      <c r="A271" s="120"/>
      <c r="B271" s="127"/>
      <c r="C271" s="78"/>
      <c r="D271" s="104"/>
      <c r="F271" s="134"/>
      <c r="G271" s="106"/>
      <c r="H271" s="98"/>
    </row>
    <row r="272" spans="1:8" s="105" customFormat="1" x14ac:dyDescent="0.2">
      <c r="A272" s="120"/>
      <c r="B272" s="127"/>
      <c r="C272" s="78"/>
      <c r="D272" s="104"/>
      <c r="F272" s="134"/>
      <c r="G272" s="106"/>
      <c r="H272" s="98"/>
    </row>
    <row r="273" spans="1:12" s="105" customFormat="1" x14ac:dyDescent="0.2">
      <c r="A273" s="115"/>
      <c r="B273" s="127"/>
      <c r="C273" s="78"/>
      <c r="D273" s="104"/>
      <c r="E273" s="107"/>
      <c r="F273" s="132"/>
      <c r="G273" s="106"/>
      <c r="H273" s="101"/>
    </row>
    <row r="274" spans="1:12" s="105" customFormat="1" x14ac:dyDescent="0.2">
      <c r="A274" s="115"/>
      <c r="B274" s="127"/>
      <c r="C274" s="78"/>
      <c r="D274" s="104"/>
      <c r="E274" s="107"/>
      <c r="F274" s="132"/>
      <c r="G274" s="106"/>
      <c r="H274" s="101"/>
    </row>
    <row r="275" spans="1:12" s="105" customFormat="1" x14ac:dyDescent="0.2">
      <c r="A275" s="115"/>
      <c r="B275" s="127"/>
      <c r="C275" s="78"/>
      <c r="D275" s="104"/>
      <c r="E275" s="107"/>
      <c r="F275" s="132"/>
      <c r="G275" s="106"/>
      <c r="H275" s="101"/>
    </row>
    <row r="276" spans="1:12" s="105" customFormat="1" x14ac:dyDescent="0.2">
      <c r="A276" s="115"/>
      <c r="B276" s="127"/>
      <c r="C276" s="79"/>
      <c r="D276" s="104"/>
      <c r="E276" s="79"/>
      <c r="F276" s="132"/>
      <c r="G276" s="89"/>
      <c r="H276" s="101"/>
    </row>
    <row r="277" spans="1:12" s="105" customFormat="1" x14ac:dyDescent="0.2">
      <c r="A277" s="115"/>
      <c r="B277" s="127"/>
      <c r="C277" s="84"/>
      <c r="D277" s="104"/>
      <c r="E277" s="79"/>
      <c r="F277" s="132"/>
      <c r="G277" s="89"/>
      <c r="H277" s="101"/>
    </row>
    <row r="278" spans="1:12" s="90" customFormat="1" x14ac:dyDescent="0.2">
      <c r="A278" s="115"/>
      <c r="B278" s="127"/>
      <c r="C278" s="103"/>
      <c r="D278" s="87"/>
      <c r="E278" s="96"/>
      <c r="F278" s="132"/>
      <c r="G278" s="89"/>
      <c r="H278" s="87"/>
    </row>
    <row r="279" spans="1:12" s="90" customFormat="1" x14ac:dyDescent="0.2">
      <c r="A279" s="120"/>
      <c r="B279" s="127"/>
      <c r="C279" s="94"/>
      <c r="D279" s="87"/>
      <c r="E279" s="96"/>
      <c r="F279" s="132"/>
      <c r="G279" s="89"/>
      <c r="H279" s="87"/>
    </row>
    <row r="280" spans="1:12" s="105" customFormat="1" x14ac:dyDescent="0.2">
      <c r="A280" s="111"/>
      <c r="B280" s="127"/>
      <c r="C280" s="78"/>
      <c r="D280" s="87"/>
      <c r="E280" s="107"/>
      <c r="F280" s="132"/>
      <c r="G280" s="106"/>
      <c r="H280" s="101"/>
    </row>
    <row r="281" spans="1:12" s="105" customFormat="1" x14ac:dyDescent="0.2">
      <c r="A281" s="120"/>
      <c r="B281" s="127"/>
      <c r="C281" s="79"/>
      <c r="D281" s="87"/>
      <c r="E281" s="107"/>
      <c r="F281" s="132"/>
      <c r="G281" s="106"/>
      <c r="H281" s="101"/>
    </row>
    <row r="282" spans="1:12" s="90" customFormat="1" x14ac:dyDescent="0.2">
      <c r="A282" s="111"/>
      <c r="B282" s="127"/>
      <c r="C282" s="94"/>
      <c r="D282" s="87"/>
      <c r="F282" s="132"/>
      <c r="G282" s="89"/>
      <c r="H282" s="87"/>
    </row>
    <row r="283" spans="1:12" s="91" customFormat="1" x14ac:dyDescent="0.2">
      <c r="A283" s="117"/>
      <c r="B283" s="128"/>
      <c r="D283" s="92"/>
      <c r="F283" s="93"/>
      <c r="G283" s="89"/>
      <c r="H283" s="92"/>
      <c r="J283" s="88"/>
      <c r="K283" s="102"/>
      <c r="L283" s="88"/>
    </row>
    <row r="284" spans="1:12" s="90" customFormat="1" x14ac:dyDescent="0.2">
      <c r="A284" s="116"/>
      <c r="B284" s="127"/>
      <c r="D284" s="87"/>
      <c r="F284" s="132"/>
      <c r="G284" s="89"/>
      <c r="H284" s="87"/>
    </row>
    <row r="285" spans="1:12" s="90" customFormat="1" x14ac:dyDescent="0.2">
      <c r="A285" s="116"/>
      <c r="B285" s="127"/>
      <c r="D285" s="87"/>
      <c r="F285" s="132"/>
      <c r="G285" s="89"/>
      <c r="H285" s="87"/>
    </row>
    <row r="286" spans="1:12" s="90" customFormat="1" x14ac:dyDescent="0.2">
      <c r="A286" s="116"/>
      <c r="B286" s="127"/>
      <c r="D286" s="87"/>
      <c r="F286" s="132"/>
      <c r="G286" s="89"/>
      <c r="H286" s="87"/>
    </row>
    <row r="287" spans="1:12" s="90" customFormat="1" x14ac:dyDescent="0.2">
      <c r="A287" s="116"/>
      <c r="B287" s="127"/>
      <c r="D287" s="87"/>
      <c r="F287" s="132"/>
      <c r="G287" s="89"/>
      <c r="H287" s="87"/>
    </row>
    <row r="288" spans="1:12" s="90" customFormat="1" x14ac:dyDescent="0.2">
      <c r="A288" s="116"/>
      <c r="B288" s="127"/>
      <c r="D288" s="87"/>
      <c r="E288" s="88"/>
      <c r="F288" s="132"/>
      <c r="G288" s="89"/>
      <c r="H288" s="87"/>
    </row>
    <row r="289" spans="1:12" s="90" customFormat="1" x14ac:dyDescent="0.2">
      <c r="A289" s="116"/>
      <c r="B289" s="127"/>
      <c r="D289" s="87"/>
      <c r="F289" s="132"/>
      <c r="G289" s="89"/>
      <c r="H289" s="87"/>
    </row>
    <row r="290" spans="1:12" s="90" customFormat="1" x14ac:dyDescent="0.2">
      <c r="A290" s="116"/>
      <c r="B290" s="127"/>
      <c r="D290" s="87"/>
      <c r="F290" s="132"/>
      <c r="G290" s="89"/>
      <c r="H290" s="87"/>
    </row>
    <row r="291" spans="1:12" s="90" customFormat="1" x14ac:dyDescent="0.2">
      <c r="A291" s="116"/>
      <c r="B291" s="127"/>
      <c r="D291" s="87"/>
      <c r="F291" s="132"/>
      <c r="G291" s="89"/>
      <c r="H291" s="87"/>
    </row>
    <row r="292" spans="1:12" s="90" customFormat="1" x14ac:dyDescent="0.2">
      <c r="A292" s="116"/>
      <c r="B292" s="127"/>
      <c r="D292" s="87"/>
      <c r="F292" s="132"/>
      <c r="G292" s="89"/>
      <c r="H292" s="87"/>
    </row>
    <row r="293" spans="1:12" s="90" customFormat="1" x14ac:dyDescent="0.2">
      <c r="A293" s="116"/>
      <c r="B293" s="127"/>
      <c r="D293" s="87"/>
      <c r="E293" s="88"/>
      <c r="F293" s="132"/>
      <c r="G293" s="89"/>
      <c r="H293" s="87"/>
    </row>
    <row r="294" spans="1:12" s="90" customFormat="1" x14ac:dyDescent="0.2">
      <c r="A294" s="116"/>
      <c r="B294" s="127"/>
      <c r="C294" s="97"/>
      <c r="D294" s="87"/>
      <c r="E294" s="88"/>
      <c r="F294" s="132"/>
      <c r="G294" s="89"/>
      <c r="H294" s="87"/>
    </row>
    <row r="295" spans="1:12" s="90" customFormat="1" x14ac:dyDescent="0.2">
      <c r="A295" s="116"/>
      <c r="B295" s="127"/>
      <c r="D295" s="87"/>
      <c r="F295" s="132"/>
      <c r="G295" s="89"/>
      <c r="H295" s="87"/>
    </row>
    <row r="296" spans="1:12" s="90" customFormat="1" x14ac:dyDescent="0.2">
      <c r="A296" s="116"/>
      <c r="B296" s="127"/>
      <c r="D296" s="87"/>
      <c r="F296" s="132"/>
      <c r="G296" s="89"/>
      <c r="H296" s="87"/>
    </row>
    <row r="297" spans="1:12" s="90" customFormat="1" x14ac:dyDescent="0.2">
      <c r="A297" s="116"/>
      <c r="B297" s="127"/>
      <c r="D297" s="87"/>
      <c r="F297" s="132"/>
      <c r="G297" s="89"/>
      <c r="H297" s="87"/>
    </row>
    <row r="298" spans="1:12" s="90" customFormat="1" x14ac:dyDescent="0.2">
      <c r="A298" s="116"/>
      <c r="B298" s="127"/>
      <c r="D298" s="87"/>
      <c r="F298" s="132"/>
      <c r="G298" s="89"/>
      <c r="H298" s="87"/>
    </row>
    <row r="299" spans="1:12" s="90" customFormat="1" x14ac:dyDescent="0.2">
      <c r="A299" s="116"/>
      <c r="B299" s="127"/>
      <c r="D299" s="87"/>
      <c r="F299" s="132"/>
      <c r="G299" s="89"/>
      <c r="H299" s="87"/>
    </row>
    <row r="300" spans="1:12" s="90" customFormat="1" x14ac:dyDescent="0.2">
      <c r="A300" s="116"/>
      <c r="B300" s="127"/>
      <c r="D300" s="87"/>
      <c r="F300" s="132"/>
      <c r="G300" s="89"/>
      <c r="H300" s="87"/>
    </row>
    <row r="301" spans="1:12" s="90" customFormat="1" x14ac:dyDescent="0.2">
      <c r="A301" s="116"/>
      <c r="B301" s="127"/>
      <c r="D301" s="87"/>
      <c r="F301" s="132"/>
      <c r="G301" s="89"/>
      <c r="H301" s="87"/>
    </row>
    <row r="302" spans="1:12" s="90" customFormat="1" x14ac:dyDescent="0.2">
      <c r="A302" s="116"/>
      <c r="B302" s="127"/>
      <c r="D302" s="87"/>
      <c r="F302" s="132"/>
      <c r="G302" s="89"/>
      <c r="H302" s="87"/>
    </row>
    <row r="303" spans="1:12" s="91" customFormat="1" x14ac:dyDescent="0.2">
      <c r="A303" s="117"/>
      <c r="B303" s="128"/>
      <c r="D303" s="92"/>
      <c r="F303" s="93"/>
      <c r="G303" s="89"/>
      <c r="H303" s="92"/>
      <c r="J303" s="88"/>
      <c r="K303" s="102"/>
      <c r="L303" s="88"/>
    </row>
    <row r="304" spans="1:12" s="90" customFormat="1" x14ac:dyDescent="0.2">
      <c r="A304" s="116"/>
      <c r="B304" s="127"/>
      <c r="D304" s="87"/>
      <c r="F304" s="132"/>
      <c r="G304" s="89"/>
      <c r="H304" s="87"/>
    </row>
    <row r="305" spans="1:8" s="90" customFormat="1" x14ac:dyDescent="0.2">
      <c r="A305" s="111"/>
      <c r="B305" s="127"/>
      <c r="D305" s="87"/>
      <c r="F305" s="132"/>
      <c r="G305" s="89"/>
      <c r="H305" s="87"/>
    </row>
    <row r="306" spans="1:8" s="90" customFormat="1" x14ac:dyDescent="0.2">
      <c r="A306" s="111"/>
      <c r="B306" s="127"/>
      <c r="D306" s="87"/>
      <c r="E306" s="103"/>
      <c r="F306" s="132"/>
      <c r="G306" s="89"/>
      <c r="H306" s="87"/>
    </row>
    <row r="307" spans="1:8" s="90" customFormat="1" x14ac:dyDescent="0.2">
      <c r="A307" s="111"/>
      <c r="B307" s="127"/>
      <c r="D307" s="87"/>
      <c r="E307" s="103"/>
      <c r="F307" s="132"/>
      <c r="G307" s="89"/>
      <c r="H307" s="87"/>
    </row>
    <row r="308" spans="1:8" s="90" customFormat="1" x14ac:dyDescent="0.2">
      <c r="A308" s="111"/>
      <c r="B308" s="127"/>
      <c r="D308" s="87"/>
      <c r="F308" s="132"/>
      <c r="G308" s="89"/>
      <c r="H308" s="87"/>
    </row>
    <row r="309" spans="1:8" s="90" customFormat="1" x14ac:dyDescent="0.2">
      <c r="A309" s="111"/>
      <c r="B309" s="127"/>
      <c r="D309" s="87"/>
      <c r="F309" s="132"/>
      <c r="G309" s="89"/>
      <c r="H309" s="87"/>
    </row>
    <row r="310" spans="1:8" s="90" customFormat="1" x14ac:dyDescent="0.2">
      <c r="A310" s="111"/>
      <c r="B310" s="127"/>
      <c r="D310" s="87"/>
      <c r="F310" s="132"/>
      <c r="G310" s="89"/>
      <c r="H310" s="87"/>
    </row>
    <row r="311" spans="1:8" s="90" customFormat="1" x14ac:dyDescent="0.2">
      <c r="A311" s="111"/>
      <c r="B311" s="127"/>
      <c r="D311" s="87"/>
      <c r="F311" s="132"/>
      <c r="G311" s="89"/>
      <c r="H311" s="87"/>
    </row>
    <row r="312" spans="1:8" s="90" customFormat="1" x14ac:dyDescent="0.2">
      <c r="A312" s="111"/>
      <c r="B312" s="127"/>
      <c r="D312" s="87"/>
      <c r="F312" s="132"/>
      <c r="G312" s="95"/>
      <c r="H312" s="87"/>
    </row>
    <row r="313" spans="1:8" s="90" customFormat="1" x14ac:dyDescent="0.2">
      <c r="A313" s="116"/>
      <c r="B313" s="127"/>
      <c r="D313" s="87"/>
      <c r="F313" s="132"/>
      <c r="G313" s="89"/>
      <c r="H313" s="87"/>
    </row>
    <row r="314" spans="1:8" s="90" customFormat="1" x14ac:dyDescent="0.2">
      <c r="A314" s="111"/>
      <c r="B314" s="127"/>
      <c r="C314" s="94"/>
      <c r="D314" s="87"/>
      <c r="F314" s="132"/>
      <c r="G314" s="89"/>
      <c r="H314" s="87"/>
    </row>
    <row r="315" spans="1:8" s="90" customFormat="1" x14ac:dyDescent="0.2">
      <c r="A315" s="111"/>
      <c r="B315" s="127"/>
      <c r="C315" s="94"/>
      <c r="D315" s="87"/>
      <c r="F315" s="132"/>
      <c r="G315" s="89"/>
      <c r="H315" s="87"/>
    </row>
    <row r="316" spans="1:8" s="90" customFormat="1" x14ac:dyDescent="0.2">
      <c r="A316" s="111"/>
      <c r="B316" s="127"/>
      <c r="C316" s="94"/>
      <c r="D316" s="87"/>
      <c r="F316" s="132"/>
      <c r="G316" s="89"/>
      <c r="H316" s="87"/>
    </row>
    <row r="317" spans="1:8" s="90" customFormat="1" x14ac:dyDescent="0.2">
      <c r="A317" s="111"/>
      <c r="B317" s="127"/>
      <c r="C317" s="94"/>
      <c r="D317" s="87"/>
      <c r="F317" s="132"/>
      <c r="G317" s="89"/>
      <c r="H317" s="87"/>
    </row>
    <row r="318" spans="1:8" s="90" customFormat="1" x14ac:dyDescent="0.2">
      <c r="A318" s="120"/>
      <c r="B318" s="127"/>
      <c r="C318" s="103"/>
      <c r="D318" s="87"/>
      <c r="F318" s="132"/>
      <c r="G318" s="89"/>
      <c r="H318" s="87"/>
    </row>
    <row r="319" spans="1:8" s="90" customFormat="1" x14ac:dyDescent="0.2">
      <c r="A319" s="116"/>
      <c r="B319" s="127"/>
      <c r="D319" s="87"/>
      <c r="F319" s="132"/>
      <c r="G319" s="89"/>
      <c r="H319" s="87"/>
    </row>
    <row r="320" spans="1:8" s="90" customFormat="1" x14ac:dyDescent="0.2">
      <c r="A320" s="111"/>
      <c r="B320" s="127"/>
      <c r="C320" s="94"/>
      <c r="D320" s="87"/>
      <c r="F320" s="132"/>
      <c r="G320" s="89"/>
      <c r="H320" s="87"/>
    </row>
    <row r="321" spans="1:12" s="90" customFormat="1" x14ac:dyDescent="0.2">
      <c r="A321" s="111"/>
      <c r="B321" s="127"/>
      <c r="C321" s="94"/>
      <c r="D321" s="87"/>
      <c r="F321" s="132"/>
      <c r="G321" s="89"/>
      <c r="H321" s="87"/>
    </row>
    <row r="322" spans="1:12" s="90" customFormat="1" x14ac:dyDescent="0.2">
      <c r="A322" s="111"/>
      <c r="B322" s="127"/>
      <c r="C322" s="94"/>
      <c r="D322" s="87"/>
      <c r="F322" s="132"/>
      <c r="G322" s="89"/>
      <c r="H322" s="87"/>
    </row>
    <row r="323" spans="1:12" s="90" customFormat="1" x14ac:dyDescent="0.2">
      <c r="A323" s="111"/>
      <c r="B323" s="127"/>
      <c r="C323" s="94"/>
      <c r="D323" s="87"/>
      <c r="F323" s="132"/>
      <c r="G323" s="89"/>
      <c r="H323" s="87"/>
    </row>
    <row r="324" spans="1:12" s="90" customFormat="1" x14ac:dyDescent="0.2">
      <c r="A324" s="120"/>
      <c r="B324" s="127"/>
      <c r="C324" s="103"/>
      <c r="D324" s="87"/>
      <c r="F324" s="132"/>
      <c r="G324" s="89"/>
      <c r="H324" s="87"/>
    </row>
    <row r="325" spans="1:12" s="90" customFormat="1" x14ac:dyDescent="0.2">
      <c r="A325" s="120"/>
      <c r="B325" s="127"/>
      <c r="C325" s="103"/>
      <c r="D325" s="87"/>
      <c r="F325" s="132"/>
      <c r="G325" s="89"/>
      <c r="H325" s="87"/>
    </row>
    <row r="326" spans="1:12" s="91" customFormat="1" x14ac:dyDescent="0.2">
      <c r="A326" s="117"/>
      <c r="B326" s="128"/>
      <c r="D326" s="92"/>
      <c r="F326" s="93"/>
      <c r="G326" s="89"/>
      <c r="H326" s="92"/>
      <c r="J326" s="88"/>
      <c r="K326" s="102"/>
      <c r="L326" s="88"/>
    </row>
    <row r="327" spans="1:12" s="90" customFormat="1" x14ac:dyDescent="0.2">
      <c r="A327" s="116"/>
      <c r="B327" s="127"/>
      <c r="D327" s="87"/>
      <c r="E327" s="88"/>
      <c r="F327" s="132"/>
      <c r="G327" s="89"/>
      <c r="H327" s="87"/>
    </row>
    <row r="328" spans="1:12" s="90" customFormat="1" x14ac:dyDescent="0.2">
      <c r="A328" s="116"/>
      <c r="B328" s="127"/>
      <c r="D328" s="87"/>
      <c r="F328" s="132"/>
      <c r="G328" s="89"/>
      <c r="H328" s="87"/>
    </row>
    <row r="329" spans="1:12" s="90" customFormat="1" x14ac:dyDescent="0.2">
      <c r="A329" s="116"/>
      <c r="B329" s="127"/>
      <c r="D329" s="87"/>
      <c r="E329" s="100"/>
      <c r="F329" s="132"/>
      <c r="G329" s="89"/>
      <c r="H329" s="87"/>
    </row>
    <row r="330" spans="1:12" s="90" customFormat="1" x14ac:dyDescent="0.2">
      <c r="A330" s="116"/>
      <c r="B330" s="127"/>
      <c r="D330" s="87"/>
      <c r="F330" s="132"/>
      <c r="G330" s="89"/>
      <c r="H330" s="87"/>
    </row>
    <row r="331" spans="1:12" s="90" customFormat="1" x14ac:dyDescent="0.2">
      <c r="A331" s="120"/>
      <c r="B331" s="127"/>
      <c r="D331" s="87"/>
      <c r="F331" s="132"/>
      <c r="G331" s="89"/>
      <c r="H331" s="87"/>
    </row>
    <row r="332" spans="1:12" s="90" customFormat="1" x14ac:dyDescent="0.2">
      <c r="A332" s="120"/>
      <c r="B332" s="127"/>
      <c r="D332" s="87"/>
      <c r="F332" s="132"/>
      <c r="G332" s="89"/>
      <c r="H332" s="87"/>
    </row>
    <row r="333" spans="1:12" s="90" customFormat="1" x14ac:dyDescent="0.2">
      <c r="A333" s="116"/>
      <c r="B333" s="127"/>
      <c r="C333" s="88"/>
      <c r="D333" s="87"/>
      <c r="F333" s="132"/>
      <c r="G333" s="89"/>
      <c r="H333" s="87"/>
    </row>
    <row r="334" spans="1:12" s="90" customFormat="1" x14ac:dyDescent="0.2">
      <c r="A334" s="120"/>
      <c r="B334" s="127"/>
      <c r="C334" s="103"/>
      <c r="D334" s="87"/>
      <c r="F334" s="132"/>
      <c r="G334" s="89"/>
      <c r="H334" s="87"/>
    </row>
    <row r="335" spans="1:12" s="90" customFormat="1" x14ac:dyDescent="0.2">
      <c r="A335" s="120"/>
      <c r="B335" s="127"/>
      <c r="D335" s="87"/>
      <c r="F335" s="132"/>
      <c r="G335" s="89"/>
      <c r="H335" s="87"/>
    </row>
    <row r="336" spans="1:12" s="90" customFormat="1" x14ac:dyDescent="0.2">
      <c r="A336" s="116"/>
      <c r="B336" s="127"/>
      <c r="C336" s="88"/>
      <c r="D336" s="87"/>
      <c r="F336" s="132"/>
      <c r="G336" s="89"/>
      <c r="H336" s="87"/>
    </row>
    <row r="337" spans="1:8" s="90" customFormat="1" x14ac:dyDescent="0.2">
      <c r="A337" s="120"/>
      <c r="B337" s="127"/>
      <c r="D337" s="87"/>
      <c r="F337" s="132"/>
      <c r="G337" s="89"/>
      <c r="H337" s="87"/>
    </row>
    <row r="338" spans="1:8" s="90" customFormat="1" x14ac:dyDescent="0.2">
      <c r="A338" s="116"/>
      <c r="B338" s="127"/>
      <c r="C338" s="103"/>
      <c r="D338" s="87"/>
      <c r="F338" s="132"/>
      <c r="G338" s="89"/>
      <c r="H338" s="87"/>
    </row>
    <row r="339" spans="1:8" s="90" customFormat="1" x14ac:dyDescent="0.2">
      <c r="A339" s="116"/>
      <c r="B339" s="127"/>
      <c r="D339" s="87"/>
      <c r="F339" s="132"/>
      <c r="G339" s="89"/>
      <c r="H339" s="87"/>
    </row>
    <row r="340" spans="1:8" s="90" customFormat="1" x14ac:dyDescent="0.2">
      <c r="A340" s="116"/>
      <c r="B340" s="127"/>
      <c r="D340" s="87"/>
      <c r="E340" s="88"/>
      <c r="F340" s="132"/>
      <c r="G340" s="89"/>
      <c r="H340" s="87"/>
    </row>
    <row r="341" spans="1:8" s="90" customFormat="1" x14ac:dyDescent="0.2">
      <c r="A341" s="116"/>
      <c r="B341" s="127"/>
      <c r="D341" s="87"/>
      <c r="F341" s="132"/>
      <c r="G341" s="89"/>
      <c r="H341" s="87"/>
    </row>
    <row r="342" spans="1:8" s="90" customFormat="1" x14ac:dyDescent="0.2">
      <c r="A342" s="120"/>
      <c r="B342" s="127"/>
      <c r="D342" s="87"/>
      <c r="F342" s="132"/>
      <c r="G342" s="89"/>
      <c r="H342" s="87"/>
    </row>
    <row r="343" spans="1:8" s="90" customFormat="1" x14ac:dyDescent="0.2">
      <c r="A343" s="116"/>
      <c r="B343" s="127"/>
      <c r="D343" s="87"/>
      <c r="F343" s="132"/>
      <c r="G343" s="89"/>
      <c r="H343" s="87"/>
    </row>
    <row r="344" spans="1:8" s="90" customFormat="1" x14ac:dyDescent="0.2">
      <c r="A344" s="116"/>
      <c r="B344" s="127"/>
      <c r="D344" s="87"/>
      <c r="F344" s="132"/>
      <c r="G344" s="89"/>
      <c r="H344" s="87"/>
    </row>
    <row r="345" spans="1:8" s="91" customFormat="1" x14ac:dyDescent="0.2">
      <c r="A345" s="117"/>
      <c r="B345" s="128"/>
      <c r="D345" s="92"/>
      <c r="F345" s="93"/>
      <c r="G345" s="89"/>
      <c r="H345" s="92"/>
    </row>
    <row r="346" spans="1:8" s="90" customFormat="1" x14ac:dyDescent="0.2">
      <c r="A346" s="116"/>
      <c r="B346" s="127"/>
      <c r="D346" s="87"/>
      <c r="F346" s="132"/>
      <c r="G346" s="89"/>
      <c r="H346" s="87"/>
    </row>
    <row r="347" spans="1:8" s="90" customFormat="1" x14ac:dyDescent="0.2">
      <c r="A347" s="111"/>
      <c r="B347" s="127"/>
      <c r="D347" s="87"/>
      <c r="F347" s="132"/>
      <c r="G347" s="89"/>
      <c r="H347" s="87"/>
    </row>
    <row r="348" spans="1:8" s="90" customFormat="1" x14ac:dyDescent="0.2">
      <c r="A348" s="115"/>
      <c r="B348" s="127"/>
      <c r="C348" s="88"/>
      <c r="D348" s="87"/>
      <c r="E348" s="94"/>
      <c r="F348" s="132"/>
      <c r="G348" s="89"/>
      <c r="H348" s="87"/>
    </row>
    <row r="349" spans="1:8" s="90" customFormat="1" x14ac:dyDescent="0.2">
      <c r="A349" s="115"/>
      <c r="B349" s="127"/>
      <c r="D349" s="87"/>
      <c r="E349" s="96"/>
      <c r="F349" s="132"/>
      <c r="G349" s="89"/>
      <c r="H349" s="87"/>
    </row>
    <row r="350" spans="1:8" s="90" customFormat="1" x14ac:dyDescent="0.2">
      <c r="A350" s="111"/>
      <c r="B350" s="127"/>
      <c r="D350" s="87"/>
      <c r="F350" s="132"/>
      <c r="G350" s="89"/>
      <c r="H350" s="87"/>
    </row>
    <row r="351" spans="1:8" s="90" customFormat="1" x14ac:dyDescent="0.2">
      <c r="A351" s="115"/>
      <c r="B351" s="127"/>
      <c r="D351" s="87"/>
      <c r="E351" s="94"/>
      <c r="F351" s="132"/>
      <c r="G351" s="89"/>
      <c r="H351" s="87"/>
    </row>
    <row r="352" spans="1:8" s="90" customFormat="1" x14ac:dyDescent="0.2">
      <c r="A352" s="115"/>
      <c r="B352" s="127"/>
      <c r="D352" s="87"/>
      <c r="E352" s="94"/>
      <c r="F352" s="132"/>
      <c r="G352" s="89"/>
      <c r="H352" s="87"/>
    </row>
    <row r="353" spans="1:8" s="90" customFormat="1" x14ac:dyDescent="0.2">
      <c r="A353" s="115"/>
      <c r="B353" s="127"/>
      <c r="C353" s="100"/>
      <c r="D353" s="87"/>
      <c r="E353" s="94"/>
      <c r="F353" s="132"/>
      <c r="G353" s="89"/>
      <c r="H353" s="87"/>
    </row>
    <row r="354" spans="1:8" s="90" customFormat="1" x14ac:dyDescent="0.2">
      <c r="A354" s="111"/>
      <c r="B354" s="127"/>
      <c r="D354" s="87"/>
      <c r="E354" s="96"/>
      <c r="F354" s="132"/>
      <c r="G354" s="89"/>
      <c r="H354" s="87"/>
    </row>
    <row r="355" spans="1:8" s="90" customFormat="1" x14ac:dyDescent="0.2">
      <c r="A355" s="116"/>
      <c r="B355" s="127"/>
      <c r="D355" s="87"/>
      <c r="F355" s="132"/>
      <c r="G355" s="89"/>
      <c r="H355" s="87"/>
    </row>
    <row r="356" spans="1:8" s="90" customFormat="1" x14ac:dyDescent="0.2">
      <c r="A356" s="111"/>
      <c r="B356" s="127"/>
      <c r="D356" s="87"/>
      <c r="F356" s="132"/>
      <c r="G356" s="89"/>
      <c r="H356" s="87"/>
    </row>
    <row r="357" spans="1:8" s="90" customFormat="1" x14ac:dyDescent="0.2">
      <c r="A357" s="111"/>
      <c r="B357" s="127"/>
      <c r="C357" s="94"/>
      <c r="D357" s="87"/>
      <c r="F357" s="132"/>
      <c r="G357" s="89"/>
      <c r="H357" s="87"/>
    </row>
    <row r="358" spans="1:8" s="90" customFormat="1" x14ac:dyDescent="0.2">
      <c r="A358" s="111"/>
      <c r="B358" s="127"/>
      <c r="D358" s="87"/>
      <c r="E358" s="94"/>
      <c r="F358" s="132"/>
      <c r="G358" s="89"/>
      <c r="H358" s="87"/>
    </row>
    <row r="359" spans="1:8" s="90" customFormat="1" x14ac:dyDescent="0.2">
      <c r="A359" s="111"/>
      <c r="B359" s="127"/>
      <c r="C359" s="103"/>
      <c r="D359" s="87"/>
      <c r="F359" s="132"/>
      <c r="G359" s="89"/>
      <c r="H359" s="87"/>
    </row>
    <row r="360" spans="1:8" s="90" customFormat="1" x14ac:dyDescent="0.2">
      <c r="A360" s="111"/>
      <c r="B360" s="127"/>
      <c r="C360" s="103"/>
      <c r="D360" s="87"/>
      <c r="F360" s="132"/>
      <c r="G360" s="89"/>
      <c r="H360" s="87"/>
    </row>
    <row r="361" spans="1:8" s="90" customFormat="1" x14ac:dyDescent="0.2">
      <c r="A361" s="118"/>
      <c r="B361" s="127"/>
      <c r="D361" s="87"/>
      <c r="F361" s="132"/>
      <c r="G361" s="89"/>
      <c r="H361" s="87"/>
    </row>
    <row r="362" spans="1:8" s="90" customFormat="1" x14ac:dyDescent="0.2">
      <c r="A362" s="111"/>
      <c r="B362" s="127"/>
      <c r="D362" s="87"/>
      <c r="E362" s="88"/>
      <c r="F362" s="132"/>
      <c r="G362" s="89"/>
      <c r="H362" s="87"/>
    </row>
    <row r="363" spans="1:8" s="90" customFormat="1" x14ac:dyDescent="0.2">
      <c r="A363" s="111"/>
      <c r="B363" s="127"/>
      <c r="D363" s="87"/>
      <c r="F363" s="132"/>
      <c r="G363" s="89"/>
      <c r="H363" s="87"/>
    </row>
    <row r="364" spans="1:8" s="90" customFormat="1" x14ac:dyDescent="0.2">
      <c r="A364" s="111"/>
      <c r="B364" s="127"/>
      <c r="D364" s="87"/>
      <c r="F364" s="132"/>
      <c r="G364" s="89"/>
      <c r="H364" s="87"/>
    </row>
    <row r="365" spans="1:8" s="90" customFormat="1" x14ac:dyDescent="0.2">
      <c r="A365" s="111"/>
      <c r="B365" s="127"/>
      <c r="D365" s="87"/>
      <c r="F365" s="132"/>
      <c r="G365" s="89"/>
      <c r="H365" s="87"/>
    </row>
    <row r="366" spans="1:8" s="90" customFormat="1" x14ac:dyDescent="0.2">
      <c r="A366" s="118"/>
      <c r="B366" s="127"/>
      <c r="D366" s="87"/>
      <c r="F366" s="132"/>
      <c r="G366" s="89"/>
      <c r="H366" s="87"/>
    </row>
    <row r="367" spans="1:8" s="90" customFormat="1" x14ac:dyDescent="0.2">
      <c r="A367" s="111"/>
      <c r="B367" s="127"/>
      <c r="D367" s="87"/>
      <c r="E367" s="103"/>
      <c r="F367" s="132"/>
      <c r="G367" s="89"/>
      <c r="H367" s="87"/>
    </row>
    <row r="368" spans="1:8" s="90" customFormat="1" x14ac:dyDescent="0.2">
      <c r="A368" s="111"/>
      <c r="B368" s="127"/>
      <c r="D368" s="87"/>
      <c r="F368" s="132"/>
      <c r="G368" s="89"/>
      <c r="H368" s="87"/>
    </row>
    <row r="369" spans="1:8" s="90" customFormat="1" x14ac:dyDescent="0.2">
      <c r="A369" s="111"/>
      <c r="B369" s="127"/>
      <c r="D369" s="87"/>
      <c r="F369" s="132"/>
      <c r="G369" s="89"/>
      <c r="H369" s="87"/>
    </row>
    <row r="370" spans="1:8" s="90" customFormat="1" x14ac:dyDescent="0.2">
      <c r="A370" s="111"/>
      <c r="B370" s="127"/>
      <c r="D370" s="87"/>
      <c r="F370" s="132"/>
      <c r="G370" s="89"/>
      <c r="H370" s="87"/>
    </row>
    <row r="371" spans="1:8" s="91" customFormat="1" x14ac:dyDescent="0.2">
      <c r="A371" s="117"/>
      <c r="B371" s="128"/>
      <c r="D371" s="92"/>
      <c r="F371" s="93"/>
      <c r="G371" s="89"/>
      <c r="H371" s="92"/>
    </row>
    <row r="372" spans="1:8" s="90" customFormat="1" x14ac:dyDescent="0.2">
      <c r="A372" s="116"/>
      <c r="B372" s="127"/>
      <c r="D372" s="87"/>
      <c r="F372" s="132"/>
      <c r="G372" s="89"/>
      <c r="H372" s="87"/>
    </row>
    <row r="373" spans="1:8" s="90" customFormat="1" x14ac:dyDescent="0.2">
      <c r="A373" s="111"/>
      <c r="B373" s="127"/>
      <c r="C373" s="88"/>
      <c r="D373" s="87"/>
      <c r="E373" s="88"/>
      <c r="F373" s="132"/>
      <c r="G373" s="89"/>
      <c r="H373" s="87"/>
    </row>
    <row r="374" spans="1:8" s="90" customFormat="1" x14ac:dyDescent="0.2">
      <c r="A374" s="111"/>
      <c r="B374" s="127"/>
      <c r="C374" s="88"/>
      <c r="D374" s="87"/>
      <c r="E374" s="88"/>
      <c r="F374" s="132"/>
      <c r="G374" s="89"/>
      <c r="H374" s="87"/>
    </row>
    <row r="375" spans="1:8" s="90" customFormat="1" x14ac:dyDescent="0.2">
      <c r="A375" s="111"/>
      <c r="B375" s="127"/>
      <c r="C375" s="88"/>
      <c r="D375" s="87"/>
      <c r="E375" s="94"/>
      <c r="F375" s="132"/>
      <c r="G375" s="89"/>
      <c r="H375" s="87"/>
    </row>
    <row r="376" spans="1:8" s="90" customFormat="1" x14ac:dyDescent="0.2">
      <c r="A376" s="111"/>
      <c r="B376" s="127"/>
      <c r="C376" s="88"/>
      <c r="D376" s="87"/>
      <c r="E376" s="94"/>
      <c r="F376" s="132"/>
      <c r="G376" s="89"/>
      <c r="H376" s="87"/>
    </row>
    <row r="377" spans="1:8" s="90" customFormat="1" x14ac:dyDescent="0.2">
      <c r="A377" s="111"/>
      <c r="B377" s="127"/>
      <c r="C377" s="88"/>
      <c r="D377" s="87"/>
      <c r="F377" s="132"/>
      <c r="G377" s="89"/>
      <c r="H377" s="87"/>
    </row>
    <row r="378" spans="1:8" s="90" customFormat="1" x14ac:dyDescent="0.2">
      <c r="A378" s="111"/>
      <c r="B378" s="127"/>
      <c r="C378" s="88"/>
      <c r="D378" s="87"/>
      <c r="E378" s="96"/>
      <c r="F378" s="132"/>
      <c r="G378" s="89"/>
      <c r="H378" s="87"/>
    </row>
    <row r="379" spans="1:8" s="90" customFormat="1" x14ac:dyDescent="0.2">
      <c r="A379" s="111"/>
      <c r="B379" s="127"/>
      <c r="C379" s="88"/>
      <c r="D379" s="87"/>
      <c r="E379" s="96"/>
      <c r="F379" s="132"/>
      <c r="G379" s="89"/>
      <c r="H379" s="87"/>
    </row>
    <row r="380" spans="1:8" s="90" customFormat="1" x14ac:dyDescent="0.2">
      <c r="A380" s="111"/>
      <c r="B380" s="127"/>
      <c r="C380" s="88"/>
      <c r="D380" s="87"/>
      <c r="E380" s="103"/>
      <c r="F380" s="132"/>
      <c r="G380" s="89"/>
      <c r="H380" s="87"/>
    </row>
    <row r="381" spans="1:8" s="90" customFormat="1" x14ac:dyDescent="0.2">
      <c r="A381" s="118"/>
      <c r="B381" s="127"/>
      <c r="D381" s="87"/>
      <c r="F381" s="132"/>
      <c r="G381" s="89"/>
      <c r="H381" s="87"/>
    </row>
    <row r="382" spans="1:8" s="90" customFormat="1" x14ac:dyDescent="0.2">
      <c r="A382" s="111"/>
      <c r="B382" s="127"/>
      <c r="D382" s="87"/>
      <c r="E382" s="88"/>
      <c r="F382" s="132"/>
      <c r="G382" s="95"/>
      <c r="H382" s="87"/>
    </row>
    <row r="383" spans="1:8" s="90" customFormat="1" x14ac:dyDescent="0.2">
      <c r="A383" s="115"/>
      <c r="B383" s="127"/>
      <c r="D383" s="87"/>
      <c r="E383" s="88"/>
      <c r="F383" s="132"/>
      <c r="G383" s="95"/>
      <c r="H383" s="87"/>
    </row>
    <row r="384" spans="1:8" s="90" customFormat="1" x14ac:dyDescent="0.2">
      <c r="A384" s="115"/>
      <c r="B384" s="127"/>
      <c r="D384" s="87"/>
      <c r="E384" s="96"/>
      <c r="F384" s="132"/>
      <c r="G384" s="95"/>
      <c r="H384" s="87"/>
    </row>
    <row r="385" spans="1:8" s="90" customFormat="1" x14ac:dyDescent="0.2">
      <c r="A385" s="115"/>
      <c r="B385" s="127"/>
      <c r="D385" s="87"/>
      <c r="E385" s="88"/>
      <c r="F385" s="132"/>
      <c r="G385" s="95"/>
      <c r="H385" s="87"/>
    </row>
    <row r="386" spans="1:8" s="90" customFormat="1" x14ac:dyDescent="0.2">
      <c r="A386" s="115"/>
      <c r="B386" s="127"/>
      <c r="D386" s="87"/>
      <c r="E386" s="88"/>
      <c r="F386" s="132"/>
      <c r="G386" s="95"/>
      <c r="H386" s="87"/>
    </row>
    <row r="387" spans="1:8" s="90" customFormat="1" x14ac:dyDescent="0.2">
      <c r="A387" s="115"/>
      <c r="B387" s="127"/>
      <c r="D387" s="87"/>
      <c r="E387" s="88"/>
      <c r="F387" s="132"/>
      <c r="G387" s="95"/>
      <c r="H387" s="87"/>
    </row>
    <row r="388" spans="1:8" s="90" customFormat="1" x14ac:dyDescent="0.2">
      <c r="A388" s="115"/>
      <c r="B388" s="127"/>
      <c r="D388" s="87"/>
      <c r="E388" s="88"/>
      <c r="F388" s="132"/>
      <c r="G388" s="95"/>
      <c r="H388" s="87"/>
    </row>
    <row r="389" spans="1:8" s="90" customFormat="1" x14ac:dyDescent="0.2">
      <c r="A389" s="115"/>
      <c r="B389" s="127"/>
      <c r="D389" s="87"/>
      <c r="E389" s="88"/>
      <c r="F389" s="132"/>
      <c r="G389" s="95"/>
      <c r="H389" s="87"/>
    </row>
    <row r="390" spans="1:8" s="90" customFormat="1" x14ac:dyDescent="0.2">
      <c r="A390" s="111"/>
      <c r="B390" s="127"/>
      <c r="D390" s="87"/>
      <c r="E390" s="88"/>
      <c r="F390" s="132"/>
      <c r="G390" s="95"/>
      <c r="H390" s="87"/>
    </row>
    <row r="391" spans="1:8" s="90" customFormat="1" x14ac:dyDescent="0.2">
      <c r="A391" s="115"/>
      <c r="B391" s="127"/>
      <c r="D391" s="87"/>
      <c r="E391" s="88"/>
      <c r="F391" s="132"/>
      <c r="G391" s="95"/>
      <c r="H391" s="87"/>
    </row>
    <row r="392" spans="1:8" s="90" customFormat="1" x14ac:dyDescent="0.2">
      <c r="A392" s="115"/>
      <c r="B392" s="127"/>
      <c r="D392" s="87"/>
      <c r="E392" s="88"/>
      <c r="F392" s="132"/>
      <c r="G392" s="95"/>
      <c r="H392" s="87"/>
    </row>
    <row r="393" spans="1:8" s="90" customFormat="1" x14ac:dyDescent="0.2">
      <c r="A393" s="115"/>
      <c r="B393" s="127"/>
      <c r="D393" s="87"/>
      <c r="E393" s="88"/>
      <c r="F393" s="132"/>
      <c r="G393" s="95"/>
      <c r="H393" s="87"/>
    </row>
    <row r="394" spans="1:8" s="90" customFormat="1" x14ac:dyDescent="0.2">
      <c r="A394" s="115"/>
      <c r="B394" s="127"/>
      <c r="D394" s="87"/>
      <c r="E394" s="88"/>
      <c r="F394" s="132"/>
      <c r="G394" s="95"/>
      <c r="H394" s="87"/>
    </row>
    <row r="395" spans="1:8" s="90" customFormat="1" x14ac:dyDescent="0.2">
      <c r="A395" s="115"/>
      <c r="B395" s="127"/>
      <c r="D395" s="87"/>
      <c r="E395" s="88"/>
      <c r="F395" s="132"/>
      <c r="G395" s="95"/>
      <c r="H395" s="87"/>
    </row>
    <row r="396" spans="1:8" s="90" customFormat="1" x14ac:dyDescent="0.2">
      <c r="A396" s="115"/>
      <c r="B396" s="127"/>
      <c r="D396" s="87"/>
      <c r="E396" s="88"/>
      <c r="F396" s="132"/>
      <c r="G396" s="95"/>
      <c r="H396" s="87"/>
    </row>
    <row r="397" spans="1:8" s="90" customFormat="1" x14ac:dyDescent="0.2">
      <c r="A397" s="111"/>
      <c r="B397" s="127"/>
      <c r="D397" s="87"/>
      <c r="E397" s="88"/>
      <c r="F397" s="132"/>
      <c r="G397" s="95"/>
      <c r="H397" s="87"/>
    </row>
    <row r="398" spans="1:8" s="90" customFormat="1" x14ac:dyDescent="0.2">
      <c r="A398" s="115"/>
      <c r="B398" s="127"/>
      <c r="D398" s="87"/>
      <c r="E398" s="88"/>
      <c r="F398" s="132"/>
      <c r="G398" s="95"/>
      <c r="H398" s="87"/>
    </row>
    <row r="399" spans="1:8" s="90" customFormat="1" x14ac:dyDescent="0.2">
      <c r="A399" s="115"/>
      <c r="B399" s="127"/>
      <c r="D399" s="87"/>
      <c r="E399" s="88"/>
      <c r="F399" s="132"/>
      <c r="G399" s="95"/>
      <c r="H399" s="87"/>
    </row>
    <row r="400" spans="1:8" s="90" customFormat="1" x14ac:dyDescent="0.2">
      <c r="A400" s="115"/>
      <c r="B400" s="127"/>
      <c r="D400" s="87"/>
      <c r="E400" s="88"/>
      <c r="F400" s="132"/>
      <c r="G400" s="95"/>
      <c r="H400" s="87"/>
    </row>
    <row r="401" spans="1:8" s="90" customFormat="1" x14ac:dyDescent="0.2">
      <c r="A401" s="115"/>
      <c r="B401" s="127"/>
      <c r="D401" s="87"/>
      <c r="E401" s="88"/>
      <c r="F401" s="132"/>
      <c r="G401" s="95"/>
      <c r="H401" s="87"/>
    </row>
    <row r="402" spans="1:8" s="90" customFormat="1" x14ac:dyDescent="0.2">
      <c r="A402" s="115"/>
      <c r="B402" s="127"/>
      <c r="D402" s="87"/>
      <c r="E402" s="88"/>
      <c r="F402" s="132"/>
      <c r="G402" s="95"/>
      <c r="H402" s="87"/>
    </row>
    <row r="403" spans="1:8" s="90" customFormat="1" x14ac:dyDescent="0.2">
      <c r="A403" s="115"/>
      <c r="B403" s="127"/>
      <c r="D403" s="87"/>
      <c r="E403" s="88"/>
      <c r="F403" s="132"/>
      <c r="G403" s="95"/>
      <c r="H403" s="87"/>
    </row>
    <row r="404" spans="1:8" s="90" customFormat="1" x14ac:dyDescent="0.2">
      <c r="A404" s="111"/>
      <c r="B404" s="127"/>
      <c r="D404" s="87"/>
      <c r="E404" s="88"/>
      <c r="F404" s="132"/>
      <c r="G404" s="95"/>
      <c r="H404" s="87"/>
    </row>
    <row r="405" spans="1:8" s="90" customFormat="1" x14ac:dyDescent="0.2">
      <c r="A405" s="115"/>
      <c r="B405" s="127"/>
      <c r="D405" s="87"/>
      <c r="E405" s="88"/>
      <c r="F405" s="132"/>
      <c r="G405" s="95"/>
      <c r="H405" s="87"/>
    </row>
    <row r="406" spans="1:8" s="90" customFormat="1" x14ac:dyDescent="0.2">
      <c r="A406" s="120"/>
      <c r="B406" s="127"/>
      <c r="D406" s="87"/>
      <c r="E406" s="88"/>
      <c r="F406" s="132"/>
      <c r="G406" s="95"/>
      <c r="H406" s="87"/>
    </row>
    <row r="407" spans="1:8" s="90" customFormat="1" x14ac:dyDescent="0.2">
      <c r="A407" s="120"/>
      <c r="B407" s="127"/>
      <c r="D407" s="87"/>
      <c r="E407" s="88"/>
      <c r="F407" s="132"/>
      <c r="G407" s="95"/>
      <c r="H407" s="87"/>
    </row>
    <row r="408" spans="1:8" s="90" customFormat="1" x14ac:dyDescent="0.2">
      <c r="A408" s="120"/>
      <c r="B408" s="127"/>
      <c r="D408" s="87"/>
      <c r="E408" s="88"/>
      <c r="F408" s="132"/>
      <c r="G408" s="95"/>
      <c r="H408" s="87"/>
    </row>
    <row r="409" spans="1:8" s="90" customFormat="1" x14ac:dyDescent="0.2">
      <c r="A409" s="120"/>
      <c r="B409" s="127"/>
      <c r="C409" s="88"/>
      <c r="D409" s="87"/>
      <c r="E409" s="88"/>
      <c r="F409" s="132"/>
      <c r="G409" s="95"/>
      <c r="H409" s="87"/>
    </row>
    <row r="410" spans="1:8" s="90" customFormat="1" x14ac:dyDescent="0.2">
      <c r="A410" s="120"/>
      <c r="B410" s="127"/>
      <c r="D410" s="87"/>
      <c r="E410" s="88"/>
      <c r="F410" s="132"/>
      <c r="G410" s="95"/>
      <c r="H410" s="87"/>
    </row>
    <row r="411" spans="1:8" s="90" customFormat="1" x14ac:dyDescent="0.2">
      <c r="A411" s="120"/>
      <c r="B411" s="127"/>
      <c r="C411" s="103"/>
      <c r="D411" s="87"/>
      <c r="E411" s="88"/>
      <c r="F411" s="132"/>
      <c r="G411" s="95"/>
      <c r="H411" s="87"/>
    </row>
    <row r="412" spans="1:8" s="90" customFormat="1" x14ac:dyDescent="0.2">
      <c r="A412" s="115"/>
      <c r="B412" s="127"/>
      <c r="D412" s="87"/>
      <c r="E412" s="88"/>
      <c r="F412" s="132"/>
      <c r="G412" s="95"/>
      <c r="H412" s="87"/>
    </row>
    <row r="413" spans="1:8" s="90" customFormat="1" x14ac:dyDescent="0.2">
      <c r="A413" s="120"/>
      <c r="B413" s="127"/>
      <c r="D413" s="87"/>
      <c r="E413" s="88"/>
      <c r="F413" s="132"/>
      <c r="G413" s="95"/>
      <c r="H413" s="87"/>
    </row>
    <row r="414" spans="1:8" s="90" customFormat="1" x14ac:dyDescent="0.2">
      <c r="A414" s="120"/>
      <c r="B414" s="127"/>
      <c r="D414" s="87"/>
      <c r="E414" s="88"/>
      <c r="F414" s="132"/>
      <c r="G414" s="95"/>
      <c r="H414" s="87"/>
    </row>
    <row r="415" spans="1:8" s="90" customFormat="1" x14ac:dyDescent="0.2">
      <c r="A415" s="120"/>
      <c r="B415" s="127"/>
      <c r="D415" s="87"/>
      <c r="E415" s="88"/>
      <c r="F415" s="132"/>
      <c r="G415" s="95"/>
      <c r="H415" s="87"/>
    </row>
    <row r="416" spans="1:8" s="90" customFormat="1" x14ac:dyDescent="0.2">
      <c r="A416" s="120"/>
      <c r="B416" s="127"/>
      <c r="C416" s="88"/>
      <c r="D416" s="87"/>
      <c r="E416" s="88"/>
      <c r="F416" s="132"/>
      <c r="G416" s="95"/>
      <c r="H416" s="87"/>
    </row>
    <row r="417" spans="1:8" s="90" customFormat="1" x14ac:dyDescent="0.2">
      <c r="A417" s="120"/>
      <c r="B417" s="127"/>
      <c r="D417" s="87"/>
      <c r="E417" s="88"/>
      <c r="F417" s="132"/>
      <c r="G417" s="95"/>
      <c r="H417" s="87"/>
    </row>
    <row r="418" spans="1:8" s="90" customFormat="1" x14ac:dyDescent="0.2">
      <c r="A418" s="120"/>
      <c r="B418" s="127"/>
      <c r="C418" s="103"/>
      <c r="D418" s="87"/>
      <c r="E418" s="88"/>
      <c r="F418" s="132"/>
      <c r="G418" s="95"/>
      <c r="H418" s="87"/>
    </row>
    <row r="419" spans="1:8" s="90" customFormat="1" x14ac:dyDescent="0.2">
      <c r="A419" s="115"/>
      <c r="B419" s="127"/>
      <c r="D419" s="87"/>
      <c r="E419" s="88"/>
      <c r="F419" s="132"/>
      <c r="G419" s="95"/>
      <c r="H419" s="87"/>
    </row>
    <row r="420" spans="1:8" s="90" customFormat="1" x14ac:dyDescent="0.2">
      <c r="A420" s="120"/>
      <c r="B420" s="127"/>
      <c r="D420" s="87"/>
      <c r="E420" s="88"/>
      <c r="F420" s="132"/>
      <c r="G420" s="95"/>
      <c r="H420" s="87"/>
    </row>
    <row r="421" spans="1:8" s="90" customFormat="1" x14ac:dyDescent="0.2">
      <c r="A421" s="120"/>
      <c r="B421" s="127"/>
      <c r="D421" s="87"/>
      <c r="E421" s="88"/>
      <c r="F421" s="132"/>
      <c r="G421" s="95"/>
      <c r="H421" s="87"/>
    </row>
    <row r="422" spans="1:8" s="90" customFormat="1" x14ac:dyDescent="0.2">
      <c r="A422" s="115"/>
      <c r="B422" s="127"/>
      <c r="D422" s="87"/>
      <c r="E422" s="88"/>
      <c r="F422" s="132"/>
      <c r="G422" s="95"/>
      <c r="H422" s="87"/>
    </row>
    <row r="423" spans="1:8" s="91" customFormat="1" x14ac:dyDescent="0.2">
      <c r="A423" s="117"/>
      <c r="B423" s="128"/>
      <c r="D423" s="92"/>
      <c r="F423" s="93"/>
      <c r="G423" s="89"/>
      <c r="H423" s="92"/>
    </row>
    <row r="424" spans="1:8" s="90" customFormat="1" x14ac:dyDescent="0.2">
      <c r="A424" s="118"/>
      <c r="B424" s="127"/>
      <c r="D424" s="87"/>
      <c r="E424" s="88"/>
      <c r="F424" s="132"/>
      <c r="G424" s="95"/>
      <c r="H424" s="87"/>
    </row>
    <row r="425" spans="1:8" s="90" customFormat="1" x14ac:dyDescent="0.2">
      <c r="A425" s="111"/>
      <c r="B425" s="127"/>
      <c r="C425" s="88"/>
      <c r="D425" s="87"/>
      <c r="E425" s="88"/>
      <c r="F425" s="132"/>
      <c r="G425" s="95"/>
      <c r="H425" s="87"/>
    </row>
    <row r="426" spans="1:8" s="90" customFormat="1" x14ac:dyDescent="0.2">
      <c r="A426" s="111"/>
      <c r="B426" s="127"/>
      <c r="D426" s="87"/>
      <c r="E426" s="88"/>
      <c r="F426" s="132"/>
      <c r="G426" s="95"/>
      <c r="H426" s="87"/>
    </row>
    <row r="427" spans="1:8" s="90" customFormat="1" x14ac:dyDescent="0.2">
      <c r="A427" s="115"/>
      <c r="B427" s="127"/>
      <c r="C427" s="108"/>
      <c r="D427" s="87"/>
      <c r="E427" s="88"/>
      <c r="F427" s="132"/>
      <c r="G427" s="95"/>
      <c r="H427" s="87"/>
    </row>
    <row r="428" spans="1:8" s="90" customFormat="1" x14ac:dyDescent="0.2">
      <c r="A428" s="120"/>
      <c r="B428" s="127"/>
      <c r="C428" s="108"/>
      <c r="D428" s="87"/>
      <c r="E428" s="88"/>
      <c r="F428" s="132"/>
      <c r="G428" s="95"/>
      <c r="H428" s="87"/>
    </row>
    <row r="429" spans="1:8" s="90" customFormat="1" x14ac:dyDescent="0.2">
      <c r="A429" s="115"/>
      <c r="B429" s="127"/>
      <c r="C429" s="103"/>
      <c r="D429" s="87"/>
      <c r="E429" s="88"/>
      <c r="F429" s="132"/>
      <c r="G429" s="95"/>
      <c r="H429" s="87"/>
    </row>
    <row r="430" spans="1:8" s="90" customFormat="1" x14ac:dyDescent="0.2">
      <c r="A430" s="115"/>
      <c r="B430" s="127"/>
      <c r="C430" s="94"/>
      <c r="D430" s="87"/>
      <c r="E430" s="88"/>
      <c r="F430" s="132"/>
      <c r="G430" s="95"/>
      <c r="H430" s="87"/>
    </row>
    <row r="431" spans="1:8" s="90" customFormat="1" x14ac:dyDescent="0.2">
      <c r="A431" s="111"/>
      <c r="B431" s="127"/>
      <c r="D431" s="87"/>
      <c r="E431" s="88"/>
      <c r="F431" s="132"/>
      <c r="G431" s="95"/>
      <c r="H431" s="87"/>
    </row>
    <row r="432" spans="1:8" s="90" customFormat="1" x14ac:dyDescent="0.2">
      <c r="A432" s="115"/>
      <c r="B432" s="127"/>
      <c r="C432" s="108"/>
      <c r="D432" s="87"/>
      <c r="E432" s="88"/>
      <c r="F432" s="132"/>
      <c r="G432" s="95"/>
      <c r="H432" s="87"/>
    </row>
    <row r="433" spans="1:8" s="90" customFormat="1" x14ac:dyDescent="0.2">
      <c r="A433" s="120"/>
      <c r="B433" s="127"/>
      <c r="C433" s="108"/>
      <c r="D433" s="87"/>
      <c r="E433" s="88"/>
      <c r="F433" s="132"/>
      <c r="G433" s="95"/>
      <c r="H433" s="87"/>
    </row>
    <row r="434" spans="1:8" s="90" customFormat="1" x14ac:dyDescent="0.2">
      <c r="A434" s="115"/>
      <c r="B434" s="127"/>
      <c r="C434" s="103"/>
      <c r="D434" s="87"/>
      <c r="E434" s="88"/>
      <c r="F434" s="132"/>
      <c r="G434" s="95"/>
      <c r="H434" s="87"/>
    </row>
    <row r="435" spans="1:8" s="90" customFormat="1" x14ac:dyDescent="0.2">
      <c r="A435" s="115"/>
      <c r="B435" s="127"/>
      <c r="C435" s="94"/>
      <c r="D435" s="87"/>
      <c r="E435" s="88"/>
      <c r="F435" s="132"/>
      <c r="G435" s="95"/>
      <c r="H435" s="87"/>
    </row>
    <row r="436" spans="1:8" s="90" customFormat="1" x14ac:dyDescent="0.2">
      <c r="A436" s="111"/>
      <c r="B436" s="127"/>
      <c r="D436" s="87"/>
      <c r="E436" s="88"/>
      <c r="F436" s="132"/>
      <c r="G436" s="95"/>
      <c r="H436" s="87"/>
    </row>
    <row r="437" spans="1:8" s="90" customFormat="1" x14ac:dyDescent="0.2">
      <c r="A437" s="115"/>
      <c r="B437" s="127"/>
      <c r="C437" s="108"/>
      <c r="D437" s="87"/>
      <c r="E437" s="109"/>
      <c r="F437" s="132"/>
      <c r="G437" s="95"/>
      <c r="H437" s="87"/>
    </row>
    <row r="438" spans="1:8" s="90" customFormat="1" x14ac:dyDescent="0.2">
      <c r="A438" s="120"/>
      <c r="B438" s="127"/>
      <c r="C438" s="108"/>
      <c r="D438" s="87"/>
      <c r="E438" s="88"/>
      <c r="F438" s="132"/>
      <c r="G438" s="95"/>
      <c r="H438" s="87"/>
    </row>
    <row r="439" spans="1:8" s="90" customFormat="1" x14ac:dyDescent="0.2">
      <c r="A439" s="115"/>
      <c r="B439" s="127"/>
      <c r="C439" s="103"/>
      <c r="D439" s="87"/>
      <c r="E439" s="88"/>
      <c r="F439" s="132"/>
      <c r="G439" s="95"/>
      <c r="H439" s="87"/>
    </row>
    <row r="440" spans="1:8" s="90" customFormat="1" x14ac:dyDescent="0.2">
      <c r="A440" s="115"/>
      <c r="B440" s="127"/>
      <c r="C440" s="94"/>
      <c r="D440" s="87"/>
      <c r="E440" s="88"/>
      <c r="F440" s="132"/>
      <c r="G440" s="95"/>
      <c r="H440" s="87"/>
    </row>
    <row r="441" spans="1:8" s="90" customFormat="1" x14ac:dyDescent="0.2">
      <c r="A441" s="111"/>
      <c r="B441" s="127"/>
      <c r="D441" s="87"/>
      <c r="E441" s="88"/>
      <c r="F441" s="132"/>
      <c r="G441" s="95"/>
      <c r="H441" s="87"/>
    </row>
    <row r="442" spans="1:8" s="90" customFormat="1" x14ac:dyDescent="0.2">
      <c r="A442" s="115"/>
      <c r="B442" s="127"/>
      <c r="C442" s="108"/>
      <c r="D442" s="87"/>
      <c r="E442" s="88"/>
      <c r="F442" s="132"/>
      <c r="G442" s="95"/>
      <c r="H442" s="87"/>
    </row>
    <row r="443" spans="1:8" s="90" customFormat="1" x14ac:dyDescent="0.2">
      <c r="A443" s="120"/>
      <c r="B443" s="127"/>
      <c r="C443" s="108"/>
      <c r="D443" s="87"/>
      <c r="E443" s="88"/>
      <c r="F443" s="132"/>
      <c r="G443" s="95"/>
      <c r="H443" s="87"/>
    </row>
    <row r="444" spans="1:8" s="90" customFormat="1" x14ac:dyDescent="0.2">
      <c r="A444" s="115"/>
      <c r="B444" s="127"/>
      <c r="C444" s="103"/>
      <c r="D444" s="87"/>
      <c r="E444" s="88"/>
      <c r="F444" s="132"/>
      <c r="G444" s="95"/>
      <c r="H444" s="87"/>
    </row>
    <row r="445" spans="1:8" s="90" customFormat="1" x14ac:dyDescent="0.2">
      <c r="A445" s="115"/>
      <c r="B445" s="127"/>
      <c r="C445" s="94"/>
      <c r="D445" s="87"/>
      <c r="E445" s="88"/>
      <c r="F445" s="132"/>
      <c r="G445" s="95"/>
      <c r="H445" s="87"/>
    </row>
    <row r="446" spans="1:8" s="90" customFormat="1" x14ac:dyDescent="0.2">
      <c r="A446" s="111"/>
      <c r="B446" s="127"/>
      <c r="D446" s="87"/>
      <c r="E446" s="88"/>
      <c r="F446" s="132"/>
      <c r="G446" s="95"/>
      <c r="H446" s="87"/>
    </row>
    <row r="447" spans="1:8" s="90" customFormat="1" x14ac:dyDescent="0.2">
      <c r="A447" s="115"/>
      <c r="B447" s="127"/>
      <c r="C447" s="108"/>
      <c r="D447" s="87"/>
      <c r="E447" s="88"/>
      <c r="F447" s="132"/>
      <c r="G447" s="95"/>
      <c r="H447" s="87"/>
    </row>
    <row r="448" spans="1:8" s="90" customFormat="1" x14ac:dyDescent="0.2">
      <c r="A448" s="120"/>
      <c r="B448" s="127"/>
      <c r="C448" s="108"/>
      <c r="D448" s="87"/>
      <c r="E448" s="88"/>
      <c r="F448" s="132"/>
      <c r="G448" s="95"/>
      <c r="H448" s="87"/>
    </row>
    <row r="449" spans="1:8" s="90" customFormat="1" x14ac:dyDescent="0.2">
      <c r="A449" s="115"/>
      <c r="B449" s="127"/>
      <c r="C449" s="103"/>
      <c r="D449" s="87"/>
      <c r="E449" s="88"/>
      <c r="F449" s="132"/>
      <c r="G449" s="95"/>
      <c r="H449" s="87"/>
    </row>
    <row r="450" spans="1:8" s="90" customFormat="1" x14ac:dyDescent="0.2">
      <c r="A450" s="115"/>
      <c r="B450" s="127"/>
      <c r="C450" s="94"/>
      <c r="D450" s="87"/>
      <c r="E450" s="88"/>
      <c r="F450" s="132"/>
      <c r="G450" s="95"/>
      <c r="H450" s="87"/>
    </row>
    <row r="451" spans="1:8" s="90" customFormat="1" x14ac:dyDescent="0.2">
      <c r="A451" s="111"/>
      <c r="B451" s="127"/>
      <c r="D451" s="87"/>
      <c r="E451" s="88"/>
      <c r="F451" s="132"/>
      <c r="G451" s="95"/>
      <c r="H451" s="87"/>
    </row>
    <row r="452" spans="1:8" s="90" customFormat="1" x14ac:dyDescent="0.2">
      <c r="A452" s="115"/>
      <c r="B452" s="127"/>
      <c r="C452" s="108"/>
      <c r="D452" s="87"/>
      <c r="E452" s="88"/>
      <c r="F452" s="132"/>
      <c r="G452" s="95"/>
      <c r="H452" s="87"/>
    </row>
    <row r="453" spans="1:8" s="90" customFormat="1" x14ac:dyDescent="0.2">
      <c r="A453" s="120"/>
      <c r="B453" s="127"/>
      <c r="C453" s="108"/>
      <c r="D453" s="87"/>
      <c r="E453" s="88"/>
      <c r="F453" s="132"/>
      <c r="G453" s="95"/>
      <c r="H453" s="87"/>
    </row>
    <row r="454" spans="1:8" s="90" customFormat="1" x14ac:dyDescent="0.2">
      <c r="A454" s="115"/>
      <c r="B454" s="127"/>
      <c r="C454" s="103"/>
      <c r="D454" s="87"/>
      <c r="E454" s="88"/>
      <c r="F454" s="132"/>
      <c r="G454" s="95"/>
      <c r="H454" s="87"/>
    </row>
    <row r="455" spans="1:8" s="90" customFormat="1" x14ac:dyDescent="0.2">
      <c r="A455" s="115"/>
      <c r="B455" s="127"/>
      <c r="C455" s="94"/>
      <c r="D455" s="87"/>
      <c r="E455" s="88"/>
      <c r="F455" s="132"/>
      <c r="G455" s="95"/>
      <c r="H455" s="87"/>
    </row>
    <row r="456" spans="1:8" s="90" customFormat="1" x14ac:dyDescent="0.2">
      <c r="A456" s="111"/>
      <c r="B456" s="127"/>
      <c r="D456" s="87"/>
      <c r="E456" s="88"/>
      <c r="F456" s="132"/>
      <c r="G456" s="95"/>
      <c r="H456" s="87"/>
    </row>
    <row r="457" spans="1:8" s="90" customFormat="1" x14ac:dyDescent="0.2">
      <c r="A457" s="115"/>
      <c r="B457" s="127"/>
      <c r="C457" s="108"/>
      <c r="D457" s="87"/>
      <c r="E457" s="88"/>
      <c r="F457" s="132"/>
      <c r="G457" s="95"/>
      <c r="H457" s="87"/>
    </row>
    <row r="458" spans="1:8" s="90" customFormat="1" x14ac:dyDescent="0.2">
      <c r="A458" s="120"/>
      <c r="B458" s="127"/>
      <c r="C458" s="108"/>
      <c r="D458" s="87"/>
      <c r="E458" s="88"/>
      <c r="F458" s="132"/>
      <c r="G458" s="95"/>
      <c r="H458" s="87"/>
    </row>
    <row r="459" spans="1:8" s="90" customFormat="1" x14ac:dyDescent="0.2">
      <c r="A459" s="115"/>
      <c r="B459" s="127"/>
      <c r="C459" s="103"/>
      <c r="D459" s="87"/>
      <c r="E459" s="88"/>
      <c r="F459" s="132"/>
      <c r="G459" s="95"/>
      <c r="H459" s="87"/>
    </row>
    <row r="460" spans="1:8" s="90" customFormat="1" x14ac:dyDescent="0.2">
      <c r="A460" s="115"/>
      <c r="B460" s="127"/>
      <c r="C460" s="94"/>
      <c r="D460" s="87"/>
      <c r="E460" s="88"/>
      <c r="F460" s="132"/>
      <c r="G460" s="95"/>
      <c r="H460" s="87"/>
    </row>
    <row r="461" spans="1:8" s="90" customFormat="1" x14ac:dyDescent="0.2">
      <c r="A461" s="116"/>
      <c r="B461" s="127"/>
      <c r="D461" s="87"/>
      <c r="F461" s="132"/>
      <c r="G461" s="89"/>
      <c r="H461" s="87"/>
    </row>
    <row r="462" spans="1:8" s="90" customFormat="1" x14ac:dyDescent="0.2">
      <c r="A462" s="111"/>
      <c r="B462" s="127"/>
      <c r="D462" s="87"/>
      <c r="F462" s="132"/>
      <c r="G462" s="89"/>
      <c r="H462" s="87"/>
    </row>
    <row r="463" spans="1:8" s="90" customFormat="1" x14ac:dyDescent="0.2">
      <c r="A463" s="111"/>
      <c r="B463" s="127"/>
      <c r="D463" s="87"/>
      <c r="F463" s="132"/>
      <c r="G463" s="89"/>
      <c r="H463" s="87"/>
    </row>
    <row r="464" spans="1:8" s="90" customFormat="1" x14ac:dyDescent="0.2">
      <c r="A464" s="111"/>
      <c r="B464" s="127"/>
      <c r="D464" s="87"/>
      <c r="F464" s="132"/>
      <c r="G464" s="89"/>
      <c r="H464" s="87"/>
    </row>
    <row r="465" spans="1:8" s="90" customFormat="1" x14ac:dyDescent="0.2">
      <c r="A465" s="111"/>
      <c r="B465" s="127"/>
      <c r="D465" s="87"/>
      <c r="F465" s="132"/>
      <c r="G465" s="89"/>
      <c r="H465" s="87"/>
    </row>
    <row r="466" spans="1:8" s="90" customFormat="1" x14ac:dyDescent="0.2">
      <c r="A466" s="111"/>
      <c r="B466" s="127"/>
      <c r="D466" s="87"/>
      <c r="F466" s="132"/>
      <c r="G466" s="89"/>
      <c r="H466" s="87"/>
    </row>
    <row r="467" spans="1:8" s="90" customFormat="1" x14ac:dyDescent="0.2">
      <c r="A467" s="111"/>
      <c r="B467" s="127"/>
      <c r="D467" s="87"/>
      <c r="F467" s="132"/>
      <c r="G467" s="89"/>
      <c r="H467" s="87"/>
    </row>
    <row r="468" spans="1:8" s="90" customFormat="1" x14ac:dyDescent="0.2">
      <c r="A468" s="111"/>
      <c r="B468" s="127"/>
      <c r="D468" s="87"/>
      <c r="F468" s="132"/>
      <c r="G468" s="89"/>
      <c r="H468" s="87"/>
    </row>
    <row r="469" spans="1:8" s="90" customFormat="1" x14ac:dyDescent="0.2">
      <c r="A469" s="111"/>
      <c r="B469" s="127"/>
      <c r="D469" s="87"/>
      <c r="F469" s="132"/>
      <c r="G469" s="89"/>
      <c r="H469" s="87"/>
    </row>
    <row r="470" spans="1:8" s="90" customFormat="1" x14ac:dyDescent="0.2">
      <c r="A470" s="111"/>
      <c r="B470" s="127"/>
      <c r="D470" s="87"/>
      <c r="F470" s="132"/>
      <c r="G470" s="89"/>
      <c r="H470" s="87"/>
    </row>
    <row r="471" spans="1:8" s="90" customFormat="1" x14ac:dyDescent="0.2">
      <c r="A471" s="111"/>
      <c r="B471" s="127"/>
      <c r="D471" s="87"/>
      <c r="F471" s="132"/>
      <c r="G471" s="89"/>
      <c r="H471" s="87"/>
    </row>
    <row r="472" spans="1:8" s="90" customFormat="1" x14ac:dyDescent="0.2">
      <c r="A472" s="111"/>
      <c r="B472" s="127"/>
      <c r="D472" s="87"/>
      <c r="F472" s="132"/>
      <c r="G472" s="89"/>
      <c r="H472" s="87"/>
    </row>
    <row r="473" spans="1:8" s="90" customFormat="1" x14ac:dyDescent="0.2">
      <c r="A473" s="118"/>
      <c r="B473" s="127"/>
      <c r="D473" s="87"/>
      <c r="F473" s="132"/>
      <c r="G473" s="89"/>
      <c r="H473" s="87"/>
    </row>
    <row r="474" spans="1:8" s="90" customFormat="1" x14ac:dyDescent="0.2">
      <c r="A474" s="111"/>
      <c r="B474" s="127"/>
      <c r="D474" s="87"/>
      <c r="F474" s="132"/>
      <c r="G474" s="89"/>
      <c r="H474" s="87"/>
    </row>
    <row r="475" spans="1:8" s="90" customFormat="1" x14ac:dyDescent="0.2">
      <c r="A475" s="111"/>
      <c r="B475" s="127"/>
      <c r="D475" s="87"/>
      <c r="F475" s="132"/>
      <c r="G475" s="89"/>
      <c r="H475" s="87"/>
    </row>
    <row r="476" spans="1:8" s="90" customFormat="1" x14ac:dyDescent="0.2">
      <c r="A476" s="111"/>
      <c r="B476" s="127"/>
      <c r="D476" s="87"/>
      <c r="F476" s="132"/>
      <c r="G476" s="89"/>
      <c r="H476" s="87"/>
    </row>
    <row r="477" spans="1:8" s="90" customFormat="1" x14ac:dyDescent="0.2">
      <c r="A477" s="111"/>
      <c r="B477" s="127"/>
      <c r="D477" s="87"/>
      <c r="F477" s="132"/>
      <c r="G477" s="89"/>
      <c r="H477" s="87"/>
    </row>
    <row r="478" spans="1:8" s="90" customFormat="1" x14ac:dyDescent="0.2">
      <c r="A478" s="111"/>
      <c r="B478" s="127"/>
      <c r="D478" s="87"/>
      <c r="F478" s="132"/>
      <c r="G478" s="89"/>
      <c r="H478" s="87"/>
    </row>
    <row r="479" spans="1:8" s="90" customFormat="1" x14ac:dyDescent="0.2">
      <c r="A479" s="111"/>
      <c r="B479" s="127"/>
      <c r="D479" s="87"/>
      <c r="F479" s="132"/>
      <c r="G479" s="89"/>
      <c r="H479" s="87"/>
    </row>
    <row r="480" spans="1:8" s="90" customFormat="1" x14ac:dyDescent="0.2">
      <c r="A480" s="118"/>
      <c r="B480" s="127"/>
      <c r="D480" s="87"/>
      <c r="F480" s="132"/>
      <c r="G480" s="89"/>
      <c r="H480" s="87"/>
    </row>
    <row r="481" spans="1:8" s="90" customFormat="1" x14ac:dyDescent="0.2">
      <c r="A481" s="111"/>
      <c r="B481" s="127"/>
      <c r="D481" s="87"/>
      <c r="F481" s="132"/>
      <c r="G481" s="89"/>
      <c r="H481" s="87"/>
    </row>
    <row r="482" spans="1:8" s="90" customFormat="1" x14ac:dyDescent="0.2">
      <c r="A482" s="111"/>
      <c r="B482" s="127"/>
      <c r="D482" s="87"/>
      <c r="F482" s="132"/>
      <c r="G482" s="89"/>
      <c r="H482" s="87"/>
    </row>
    <row r="483" spans="1:8" s="90" customFormat="1" x14ac:dyDescent="0.2">
      <c r="A483" s="111"/>
      <c r="B483" s="127"/>
      <c r="D483" s="87"/>
      <c r="F483" s="132"/>
      <c r="G483" s="89"/>
      <c r="H483" s="87"/>
    </row>
    <row r="484" spans="1:8" s="90" customFormat="1" x14ac:dyDescent="0.2">
      <c r="A484" s="111"/>
      <c r="B484" s="127"/>
      <c r="D484" s="87"/>
      <c r="F484" s="132"/>
      <c r="G484" s="89"/>
      <c r="H484" s="87"/>
    </row>
    <row r="485" spans="1:8" s="90" customFormat="1" x14ac:dyDescent="0.2">
      <c r="A485" s="111"/>
      <c r="B485" s="127"/>
      <c r="D485" s="87"/>
      <c r="F485" s="132"/>
      <c r="G485" s="89"/>
      <c r="H485" s="87"/>
    </row>
    <row r="486" spans="1:8" s="90" customFormat="1" x14ac:dyDescent="0.2">
      <c r="A486" s="111"/>
      <c r="B486" s="127"/>
      <c r="D486" s="87"/>
      <c r="F486" s="132"/>
      <c r="G486" s="89"/>
      <c r="H486" s="87"/>
    </row>
    <row r="487" spans="1:8" s="90" customFormat="1" x14ac:dyDescent="0.2">
      <c r="A487" s="111"/>
      <c r="B487" s="127"/>
      <c r="D487" s="87"/>
      <c r="F487" s="132"/>
      <c r="G487" s="89"/>
      <c r="H487" s="87"/>
    </row>
    <row r="488" spans="1:8" s="90" customFormat="1" x14ac:dyDescent="0.2">
      <c r="A488" s="111"/>
      <c r="B488" s="127"/>
      <c r="D488" s="87"/>
      <c r="F488" s="132"/>
      <c r="G488" s="89"/>
      <c r="H488" s="87"/>
    </row>
    <row r="489" spans="1:8" s="90" customFormat="1" x14ac:dyDescent="0.2">
      <c r="A489" s="111"/>
      <c r="B489" s="127"/>
      <c r="D489" s="87"/>
      <c r="F489" s="132"/>
      <c r="G489" s="89"/>
      <c r="H489" s="87"/>
    </row>
    <row r="490" spans="1:8" s="91" customFormat="1" x14ac:dyDescent="0.2">
      <c r="A490" s="117"/>
      <c r="B490" s="128"/>
      <c r="D490" s="92"/>
      <c r="F490" s="93"/>
      <c r="G490" s="89"/>
      <c r="H490" s="92"/>
    </row>
    <row r="491" spans="1:8" s="90" customFormat="1" x14ac:dyDescent="0.2">
      <c r="A491" s="118"/>
      <c r="B491" s="127"/>
      <c r="D491" s="87"/>
      <c r="F491" s="132"/>
      <c r="G491" s="89"/>
      <c r="H491" s="87"/>
    </row>
    <row r="492" spans="1:8" s="90" customFormat="1" x14ac:dyDescent="0.2">
      <c r="A492" s="118"/>
      <c r="B492" s="127"/>
      <c r="D492" s="87"/>
      <c r="F492" s="132"/>
      <c r="G492" s="89"/>
      <c r="H492" s="87"/>
    </row>
    <row r="493" spans="1:8" s="90" customFormat="1" x14ac:dyDescent="0.2">
      <c r="A493" s="118"/>
      <c r="B493" s="127"/>
      <c r="D493" s="87"/>
      <c r="E493" s="88"/>
      <c r="F493" s="132"/>
      <c r="G493" s="89"/>
      <c r="H493" s="87"/>
    </row>
    <row r="494" spans="1:8" s="90" customFormat="1" x14ac:dyDescent="0.2">
      <c r="A494" s="118"/>
      <c r="B494" s="127"/>
      <c r="D494" s="87"/>
      <c r="E494" s="94"/>
      <c r="F494" s="132"/>
      <c r="G494" s="89"/>
      <c r="H494" s="87"/>
    </row>
    <row r="495" spans="1:8" s="90" customFormat="1" x14ac:dyDescent="0.2">
      <c r="A495" s="118"/>
      <c r="B495" s="127"/>
      <c r="D495" s="87"/>
      <c r="F495" s="132"/>
      <c r="G495" s="89"/>
      <c r="H495" s="87"/>
    </row>
    <row r="496" spans="1:8" s="90" customFormat="1" x14ac:dyDescent="0.2">
      <c r="A496" s="116"/>
      <c r="B496" s="127"/>
      <c r="D496" s="87"/>
      <c r="F496" s="132"/>
      <c r="G496" s="89"/>
      <c r="H496" s="87"/>
    </row>
    <row r="497" spans="1:8" s="91" customFormat="1" x14ac:dyDescent="0.2">
      <c r="A497" s="117"/>
      <c r="B497" s="128"/>
      <c r="D497" s="92"/>
      <c r="F497" s="93"/>
      <c r="G497" s="89"/>
      <c r="H497" s="92"/>
    </row>
    <row r="498" spans="1:8" s="90" customFormat="1" x14ac:dyDescent="0.2">
      <c r="A498" s="116"/>
      <c r="B498" s="127"/>
      <c r="D498" s="87"/>
      <c r="F498" s="132"/>
      <c r="G498" s="89"/>
      <c r="H498" s="87"/>
    </row>
    <row r="499" spans="1:8" s="90" customFormat="1" x14ac:dyDescent="0.2">
      <c r="A499" s="116"/>
      <c r="B499" s="127"/>
      <c r="D499" s="87"/>
      <c r="F499" s="132"/>
      <c r="G499" s="89"/>
      <c r="H499" s="87"/>
    </row>
    <row r="500" spans="1:8" s="90" customFormat="1" x14ac:dyDescent="0.2">
      <c r="A500" s="116"/>
      <c r="B500" s="127"/>
      <c r="D500" s="87"/>
      <c r="F500" s="132"/>
      <c r="G500" s="89"/>
      <c r="H500" s="87"/>
    </row>
    <row r="501" spans="1:8" s="90" customFormat="1" x14ac:dyDescent="0.2">
      <c r="A501" s="116"/>
      <c r="B501" s="127"/>
      <c r="D501" s="87"/>
      <c r="F501" s="132"/>
      <c r="G501" s="89"/>
      <c r="H501" s="87"/>
    </row>
    <row r="502" spans="1:8" s="90" customFormat="1" x14ac:dyDescent="0.2">
      <c r="A502" s="120"/>
      <c r="B502" s="127"/>
      <c r="D502" s="87"/>
      <c r="F502" s="132"/>
      <c r="G502" s="89"/>
      <c r="H502" s="87"/>
    </row>
    <row r="503" spans="1:8" s="90" customFormat="1" x14ac:dyDescent="0.2">
      <c r="A503" s="116"/>
      <c r="B503" s="127"/>
      <c r="D503" s="87"/>
      <c r="F503" s="132"/>
      <c r="G503" s="89"/>
      <c r="H503" s="87"/>
    </row>
    <row r="504" spans="1:8" s="90" customFormat="1" x14ac:dyDescent="0.2">
      <c r="A504" s="120"/>
      <c r="B504" s="127"/>
      <c r="D504" s="87"/>
      <c r="F504" s="132"/>
      <c r="G504" s="89"/>
      <c r="H504" s="87"/>
    </row>
    <row r="505" spans="1:8" s="90" customFormat="1" x14ac:dyDescent="0.2">
      <c r="A505" s="120"/>
      <c r="B505" s="127"/>
      <c r="D505" s="87"/>
      <c r="F505" s="132"/>
      <c r="G505" s="89"/>
      <c r="H505" s="87"/>
    </row>
    <row r="506" spans="1:8" s="90" customFormat="1" x14ac:dyDescent="0.2">
      <c r="A506" s="120"/>
      <c r="B506" s="127"/>
      <c r="D506" s="87"/>
      <c r="F506" s="132"/>
      <c r="G506" s="89"/>
      <c r="H506" s="87"/>
    </row>
    <row r="507" spans="1:8" s="90" customFormat="1" x14ac:dyDescent="0.2">
      <c r="A507" s="116"/>
      <c r="B507" s="127"/>
      <c r="D507" s="87"/>
      <c r="F507" s="132"/>
      <c r="G507" s="89"/>
      <c r="H507" s="87"/>
    </row>
    <row r="508" spans="1:8" s="90" customFormat="1" x14ac:dyDescent="0.2">
      <c r="A508" s="116"/>
      <c r="B508" s="127"/>
      <c r="D508" s="87"/>
      <c r="F508" s="132"/>
      <c r="G508" s="89"/>
      <c r="H508" s="87"/>
    </row>
    <row r="509" spans="1:8" s="91" customFormat="1" x14ac:dyDescent="0.2">
      <c r="A509" s="117"/>
      <c r="B509" s="128"/>
      <c r="D509" s="92"/>
      <c r="F509" s="93"/>
      <c r="G509" s="89"/>
      <c r="H509" s="92"/>
    </row>
    <row r="510" spans="1:8" s="90" customFormat="1" x14ac:dyDescent="0.2">
      <c r="A510" s="116"/>
      <c r="B510" s="127"/>
      <c r="D510" s="87"/>
      <c r="F510" s="132"/>
      <c r="G510" s="89"/>
      <c r="H510" s="87"/>
    </row>
    <row r="511" spans="1:8" s="90" customFormat="1" x14ac:dyDescent="0.2">
      <c r="A511" s="116"/>
      <c r="B511" s="127"/>
      <c r="D511" s="87"/>
      <c r="E511" s="96"/>
      <c r="F511" s="132"/>
      <c r="G511" s="89"/>
      <c r="H511" s="87"/>
    </row>
    <row r="512" spans="1:8" s="90" customFormat="1" x14ac:dyDescent="0.2">
      <c r="A512" s="116"/>
      <c r="B512" s="127"/>
      <c r="D512" s="87"/>
      <c r="E512" s="100"/>
      <c r="F512" s="132"/>
      <c r="G512" s="89"/>
      <c r="H512" s="87"/>
    </row>
    <row r="513" spans="1:8" s="90" customFormat="1" x14ac:dyDescent="0.2">
      <c r="A513" s="116"/>
      <c r="B513" s="127"/>
      <c r="D513" s="87"/>
      <c r="F513" s="132"/>
      <c r="G513" s="89"/>
      <c r="H513" s="87"/>
    </row>
    <row r="514" spans="1:8" s="90" customFormat="1" x14ac:dyDescent="0.2">
      <c r="A514" s="116"/>
      <c r="B514" s="127"/>
      <c r="D514" s="87"/>
      <c r="E514" s="110"/>
      <c r="F514" s="132"/>
      <c r="G514" s="89"/>
      <c r="H514" s="87"/>
    </row>
    <row r="515" spans="1:8" s="90" customFormat="1" x14ac:dyDescent="0.2">
      <c r="A515" s="116"/>
      <c r="B515" s="127"/>
      <c r="C515" s="103"/>
      <c r="D515" s="87"/>
      <c r="F515" s="132"/>
      <c r="G515" s="89"/>
      <c r="H515" s="87"/>
    </row>
    <row r="516" spans="1:8" s="90" customFormat="1" x14ac:dyDescent="0.2">
      <c r="A516" s="120"/>
      <c r="B516" s="127"/>
      <c r="D516" s="87"/>
      <c r="F516" s="132"/>
      <c r="G516" s="89"/>
      <c r="H516" s="87"/>
    </row>
    <row r="517" spans="1:8" s="90" customFormat="1" x14ac:dyDescent="0.2">
      <c r="A517" s="116"/>
      <c r="B517" s="127"/>
      <c r="D517" s="87"/>
      <c r="F517" s="132"/>
      <c r="G517" s="89"/>
      <c r="H517" s="87"/>
    </row>
    <row r="518" spans="1:8" s="90" customFormat="1" x14ac:dyDescent="0.2">
      <c r="A518" s="116"/>
      <c r="B518" s="127"/>
      <c r="D518" s="87"/>
      <c r="F518" s="132"/>
      <c r="G518" s="89"/>
      <c r="H518" s="87"/>
    </row>
    <row r="519" spans="1:8" s="90" customFormat="1" x14ac:dyDescent="0.2">
      <c r="A519" s="116"/>
      <c r="B519" s="127"/>
      <c r="D519" s="87"/>
      <c r="F519" s="132"/>
      <c r="G519" s="89"/>
      <c r="H519" s="87"/>
    </row>
    <row r="520" spans="1:8" s="90" customFormat="1" x14ac:dyDescent="0.2">
      <c r="A520" s="116"/>
      <c r="B520" s="127"/>
      <c r="D520" s="87"/>
      <c r="F520" s="132"/>
      <c r="G520" s="89"/>
      <c r="H520" s="87"/>
    </row>
    <row r="521" spans="1:8" s="90" customFormat="1" x14ac:dyDescent="0.2">
      <c r="A521" s="116"/>
      <c r="B521" s="127"/>
      <c r="D521" s="87"/>
      <c r="F521" s="132"/>
      <c r="G521" s="89"/>
      <c r="H521" s="87"/>
    </row>
    <row r="522" spans="1:8" s="90" customFormat="1" x14ac:dyDescent="0.2">
      <c r="A522" s="116"/>
      <c r="B522" s="127"/>
      <c r="D522" s="87"/>
      <c r="F522" s="132"/>
      <c r="G522" s="89"/>
      <c r="H522" s="87"/>
    </row>
    <row r="523" spans="1:8" s="90" customFormat="1" x14ac:dyDescent="0.2">
      <c r="A523" s="116"/>
      <c r="B523" s="127"/>
      <c r="D523" s="87"/>
      <c r="F523" s="132"/>
      <c r="G523" s="89"/>
      <c r="H523" s="87"/>
    </row>
    <row r="524" spans="1:8" s="90" customFormat="1" x14ac:dyDescent="0.2">
      <c r="A524" s="116"/>
      <c r="B524" s="127"/>
      <c r="D524" s="87"/>
      <c r="F524" s="132"/>
      <c r="G524" s="89"/>
      <c r="H524" s="87"/>
    </row>
    <row r="525" spans="1:8" s="90" customFormat="1" x14ac:dyDescent="0.2">
      <c r="A525" s="116"/>
      <c r="B525" s="127"/>
      <c r="D525" s="87"/>
      <c r="F525" s="132"/>
      <c r="G525" s="89"/>
      <c r="H525" s="87"/>
    </row>
    <row r="526" spans="1:8" s="90" customFormat="1" x14ac:dyDescent="0.2">
      <c r="A526" s="116"/>
      <c r="B526" s="127"/>
      <c r="D526" s="87"/>
      <c r="F526" s="132"/>
      <c r="G526" s="89"/>
      <c r="H526" s="87"/>
    </row>
    <row r="527" spans="1:8" s="90" customFormat="1" x14ac:dyDescent="0.2">
      <c r="A527" s="116"/>
      <c r="B527" s="127"/>
      <c r="D527" s="87"/>
      <c r="F527" s="132"/>
      <c r="G527" s="89"/>
      <c r="H527" s="87"/>
    </row>
    <row r="528" spans="1:8" s="90" customFormat="1" x14ac:dyDescent="0.2">
      <c r="A528" s="116"/>
      <c r="B528" s="127"/>
      <c r="D528" s="87"/>
      <c r="F528" s="132"/>
      <c r="G528" s="89"/>
      <c r="H528" s="87"/>
    </row>
  </sheetData>
  <pageMargins left="0.75" right="0.75" top="1" bottom="1" header="0.5" footer="0.5"/>
  <pageSetup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F136"/>
  <sheetViews>
    <sheetView zoomScale="115" zoomScaleNormal="115" workbookViewId="0">
      <selection activeCell="G52" sqref="G52"/>
    </sheetView>
  </sheetViews>
  <sheetFormatPr defaultRowHeight="12" x14ac:dyDescent="0.2"/>
  <cols>
    <col min="1" max="1" width="46.85546875" customWidth="1"/>
    <col min="2" max="2" width="6.5703125" style="525" customWidth="1"/>
    <col min="3" max="3" width="15.140625" customWidth="1"/>
    <col min="4" max="4" width="13" customWidth="1"/>
    <col min="5" max="5" width="11.42578125" customWidth="1"/>
    <col min="8" max="8" width="10" bestFit="1" customWidth="1"/>
    <col min="22" max="22" width="9.42578125" bestFit="1" customWidth="1"/>
  </cols>
  <sheetData>
    <row r="1" spans="1:8" s="928" customFormat="1" ht="11.25" x14ac:dyDescent="0.2"/>
    <row r="2" spans="1:8" s="928" customFormat="1" thickBot="1" x14ac:dyDescent="0.25">
      <c r="B2" s="929"/>
    </row>
    <row r="3" spans="1:8" ht="35.25" thickTop="1" thickBot="1" x14ac:dyDescent="0.25">
      <c r="A3" s="919" t="s">
        <v>976</v>
      </c>
      <c r="B3" s="921"/>
      <c r="C3" s="920">
        <v>2003</v>
      </c>
      <c r="D3" s="920">
        <v>2008</v>
      </c>
      <c r="E3" s="1036">
        <v>2010</v>
      </c>
      <c r="F3" s="922">
        <v>2011</v>
      </c>
      <c r="G3" s="971" t="s">
        <v>1056</v>
      </c>
      <c r="H3" s="930" t="s">
        <v>485</v>
      </c>
    </row>
    <row r="4" spans="1:8" ht="12.75" thickTop="1" x14ac:dyDescent="0.2">
      <c r="A4" s="1781" t="s">
        <v>977</v>
      </c>
      <c r="B4" s="1781"/>
      <c r="C4" s="1781"/>
      <c r="D4" s="1781"/>
      <c r="E4" s="932"/>
      <c r="F4" s="932"/>
      <c r="G4" s="932"/>
      <c r="H4" s="931"/>
    </row>
    <row r="5" spans="1:8" s="5" customFormat="1" x14ac:dyDescent="0.2">
      <c r="A5" s="1782" t="s">
        <v>978</v>
      </c>
      <c r="B5" s="1782"/>
      <c r="C5" s="951"/>
      <c r="D5" s="951"/>
      <c r="E5" s="951"/>
      <c r="F5" s="951"/>
      <c r="G5" s="951"/>
      <c r="H5" s="933"/>
    </row>
    <row r="6" spans="1:8" s="5" customFormat="1" x14ac:dyDescent="0.2">
      <c r="A6" s="1015"/>
      <c r="B6" s="934" t="s">
        <v>1092</v>
      </c>
      <c r="C6" s="948">
        <v>9.1685768379433839</v>
      </c>
      <c r="D6" s="948">
        <v>8.8678243366023093</v>
      </c>
      <c r="E6" s="948">
        <v>8.9716982865112804</v>
      </c>
      <c r="F6" s="948"/>
      <c r="G6" s="954">
        <f t="shared" ref="G6:G14" si="0">D6/C6-1</f>
        <v>-3.2802528315674429E-2</v>
      </c>
      <c r="H6" s="933"/>
    </row>
    <row r="7" spans="1:8" s="5" customFormat="1" ht="12.75" x14ac:dyDescent="0.2">
      <c r="A7" s="1015"/>
      <c r="B7" s="934" t="s">
        <v>1077</v>
      </c>
      <c r="C7" s="1016">
        <v>5.1807098719105911</v>
      </c>
      <c r="D7" s="1016">
        <v>4.7063086039915838</v>
      </c>
      <c r="E7" s="1016">
        <v>4.6294524433212434</v>
      </c>
      <c r="F7" s="977"/>
      <c r="G7" s="954">
        <f t="shared" si="0"/>
        <v>-9.1570707422003017E-2</v>
      </c>
      <c r="H7" s="933"/>
    </row>
    <row r="8" spans="1:8" s="5" customFormat="1" ht="12.75" x14ac:dyDescent="0.2">
      <c r="A8" s="1015"/>
      <c r="B8" s="934" t="s">
        <v>1078</v>
      </c>
      <c r="C8" s="1016">
        <v>3.4422284456387295</v>
      </c>
      <c r="D8" s="1016">
        <v>3.0528842399440856</v>
      </c>
      <c r="E8" s="1016">
        <v>2.9997333656945924</v>
      </c>
      <c r="F8" s="977"/>
      <c r="G8" s="954">
        <f t="shared" si="0"/>
        <v>-0.1131081832142603</v>
      </c>
      <c r="H8" s="933" t="s">
        <v>1084</v>
      </c>
    </row>
    <row r="9" spans="1:8" s="5" customFormat="1" x14ac:dyDescent="0.2">
      <c r="A9" s="1015"/>
      <c r="B9" s="934" t="s">
        <v>1079</v>
      </c>
      <c r="C9" s="1016">
        <v>1.7384814262718615</v>
      </c>
      <c r="D9" s="1016">
        <v>1.6534243640474982</v>
      </c>
      <c r="E9" s="1016">
        <v>1.6297190776266508</v>
      </c>
      <c r="F9" s="977"/>
      <c r="G9" s="954">
        <f t="shared" si="0"/>
        <v>-4.8926069004238126E-2</v>
      </c>
      <c r="H9" s="933" t="s">
        <v>1083</v>
      </c>
    </row>
    <row r="10" spans="1:8" s="5" customFormat="1" x14ac:dyDescent="0.2">
      <c r="A10" s="1015"/>
      <c r="B10" s="934" t="s">
        <v>1075</v>
      </c>
      <c r="C10" s="1016">
        <v>13.159122888104395</v>
      </c>
      <c r="D10" s="1016">
        <v>13.017829813120631</v>
      </c>
      <c r="E10" s="1016">
        <v>13.124097794785852</v>
      </c>
      <c r="F10" s="977"/>
      <c r="G10" s="954">
        <f t="shared" si="0"/>
        <v>-1.0737271487257782E-2</v>
      </c>
      <c r="H10" s="933" t="s">
        <v>1085</v>
      </c>
    </row>
    <row r="11" spans="1:8" s="5" customFormat="1" x14ac:dyDescent="0.2">
      <c r="A11" s="1015"/>
      <c r="B11" s="934" t="s">
        <v>1021</v>
      </c>
      <c r="C11" s="1016">
        <v>2.0061055446746248</v>
      </c>
      <c r="D11" s="1016">
        <v>1.9849354419234924</v>
      </c>
      <c r="E11" s="1016">
        <v>2.000978488792641</v>
      </c>
      <c r="F11" s="977"/>
      <c r="G11" s="954">
        <f t="shared" si="0"/>
        <v>-1.0552835969837249E-2</v>
      </c>
      <c r="H11" s="933"/>
    </row>
    <row r="12" spans="1:8" s="5" customFormat="1" x14ac:dyDescent="0.2">
      <c r="A12" s="1015"/>
      <c r="B12" s="934" t="s">
        <v>1080</v>
      </c>
      <c r="C12" s="1016">
        <v>7.4355703242793743</v>
      </c>
      <c r="D12" s="1020">
        <v>6.9087886869736641</v>
      </c>
      <c r="E12" s="1016">
        <v>6.7721165672507606</v>
      </c>
      <c r="F12" s="977"/>
      <c r="G12" s="954">
        <f t="shared" si="0"/>
        <v>-7.0846164360198416E-2</v>
      </c>
    </row>
    <row r="13" spans="1:8" s="5" customFormat="1" x14ac:dyDescent="0.2">
      <c r="A13" s="1015"/>
      <c r="B13" s="934" t="s">
        <v>1081</v>
      </c>
      <c r="C13" s="1035">
        <v>1.1335511479142144</v>
      </c>
      <c r="D13" s="1035">
        <v>1.0534397608818253</v>
      </c>
      <c r="E13" s="1016">
        <v>1.032517418458184</v>
      </c>
      <c r="F13" s="977"/>
      <c r="G13" s="954">
        <f>D13/C13-1</f>
        <v>-7.0672935385225122E-2</v>
      </c>
      <c r="H13" s="933"/>
    </row>
    <row r="14" spans="1:8" s="5" customFormat="1" x14ac:dyDescent="0.2">
      <c r="A14" s="1015"/>
      <c r="B14" s="934" t="s">
        <v>980</v>
      </c>
      <c r="C14" s="1016">
        <v>15.165228432779021</v>
      </c>
      <c r="D14" s="1016">
        <v>15.002765255044123</v>
      </c>
      <c r="E14" s="1016">
        <v>15.125076283578494</v>
      </c>
      <c r="F14" s="977"/>
      <c r="G14" s="954">
        <f t="shared" si="0"/>
        <v>-1.0712873759536667E-2</v>
      </c>
      <c r="H14" s="947"/>
    </row>
    <row r="15" spans="1:8" s="5" customFormat="1" x14ac:dyDescent="0.2">
      <c r="A15" s="1015"/>
      <c r="B15" s="934" t="s">
        <v>993</v>
      </c>
      <c r="C15" s="1016">
        <v>8.5691214721935882</v>
      </c>
      <c r="D15" s="1016">
        <v>7.9622284478554892</v>
      </c>
      <c r="E15" s="1016">
        <v>7.8046339857089455</v>
      </c>
      <c r="F15" s="977"/>
      <c r="G15" s="954">
        <f t="shared" ref="G15:G51" si="1">D15/C15-1</f>
        <v>-7.0823249070215644E-2</v>
      </c>
      <c r="H15" s="935"/>
    </row>
    <row r="16" spans="1:8" s="5" customFormat="1" x14ac:dyDescent="0.2">
      <c r="A16" s="1015"/>
      <c r="B16" s="934" t="s">
        <v>1036</v>
      </c>
      <c r="C16" s="1016"/>
      <c r="D16" s="1016"/>
      <c r="E16" s="1016"/>
      <c r="F16" s="977"/>
      <c r="G16" s="954" t="e">
        <f t="shared" si="1"/>
        <v>#DIV/0!</v>
      </c>
      <c r="H16" s="1046"/>
    </row>
    <row r="17" spans="1:32" s="5" customFormat="1" x14ac:dyDescent="0.2">
      <c r="A17" s="1015"/>
      <c r="B17" s="934" t="s">
        <v>994</v>
      </c>
      <c r="C17" s="1017">
        <v>0.60457888112821834</v>
      </c>
      <c r="D17" s="1017">
        <v>0.59107932343478031</v>
      </c>
      <c r="E17" s="1017">
        <v>0.59316714298175</v>
      </c>
      <c r="F17" s="978"/>
      <c r="G17" s="954">
        <f t="shared" si="1"/>
        <v>-2.2328860823332408E-2</v>
      </c>
      <c r="H17" s="933"/>
      <c r="I17" s="1037"/>
    </row>
    <row r="18" spans="1:32" s="5" customFormat="1" x14ac:dyDescent="0.2">
      <c r="A18" s="1015"/>
      <c r="B18" s="934" t="s">
        <v>1076</v>
      </c>
      <c r="C18" s="1017">
        <v>0.46294074233940308</v>
      </c>
      <c r="D18" s="1021">
        <v>0.44188415339728326</v>
      </c>
      <c r="E18" s="1021">
        <v>0.44295359300236881</v>
      </c>
      <c r="F18" s="978"/>
      <c r="G18" s="954">
        <f t="shared" si="1"/>
        <v>-4.5484415209846141E-2</v>
      </c>
      <c r="H18" s="933"/>
    </row>
    <row r="19" spans="1:32" s="5" customFormat="1" x14ac:dyDescent="0.2">
      <c r="A19" s="1015"/>
      <c r="B19" s="934" t="s">
        <v>1037</v>
      </c>
      <c r="C19" s="1017">
        <v>1.5336594466608289</v>
      </c>
      <c r="D19" s="1021">
        <v>1.5695480894545226</v>
      </c>
      <c r="E19" s="1021">
        <v>1.5783937863830362</v>
      </c>
      <c r="F19" s="978"/>
      <c r="G19" s="954">
        <f t="shared" si="1"/>
        <v>2.3400659691323655E-2</v>
      </c>
      <c r="H19" s="933"/>
    </row>
    <row r="20" spans="1:32" s="5" customFormat="1" x14ac:dyDescent="0.2">
      <c r="A20" s="1782" t="s">
        <v>981</v>
      </c>
      <c r="B20" s="1782"/>
      <c r="C20" s="950"/>
      <c r="D20" s="1016"/>
      <c r="E20" s="1016"/>
      <c r="F20" s="977"/>
      <c r="G20" s="954"/>
      <c r="H20" s="933"/>
    </row>
    <row r="21" spans="1:32" s="5" customFormat="1" x14ac:dyDescent="0.2">
      <c r="A21" s="937"/>
      <c r="B21" s="934" t="s">
        <v>1092</v>
      </c>
      <c r="C21" s="948">
        <v>6.9550349200675186</v>
      </c>
      <c r="D21" s="948">
        <v>7.7609732720919942</v>
      </c>
      <c r="E21" s="948">
        <v>7.8480688594616357</v>
      </c>
      <c r="F21" s="948"/>
      <c r="G21" s="954">
        <f t="shared" si="1"/>
        <v>0.11587840482282608</v>
      </c>
      <c r="H21" s="933"/>
    </row>
    <row r="22" spans="1:32" s="5" customFormat="1" x14ac:dyDescent="0.2">
      <c r="A22" s="937"/>
      <c r="B22" s="934" t="s">
        <v>1093</v>
      </c>
      <c r="C22" s="942">
        <v>3.7164115294219462</v>
      </c>
      <c r="D22" s="942">
        <v>4.0869089435199735</v>
      </c>
      <c r="E22" s="976">
        <v>4.0257167974576733</v>
      </c>
      <c r="F22" s="977"/>
      <c r="G22" s="954">
        <f t="shared" si="1"/>
        <v>9.969224644926622E-2</v>
      </c>
      <c r="H22" s="933" t="s">
        <v>1086</v>
      </c>
      <c r="V22" s="5">
        <v>2000</v>
      </c>
      <c r="W22" s="5">
        <v>2001</v>
      </c>
      <c r="X22" s="5">
        <v>2002</v>
      </c>
      <c r="Y22" s="5">
        <v>2003</v>
      </c>
      <c r="Z22" s="5">
        <v>2004</v>
      </c>
      <c r="AA22" s="5">
        <v>2005</v>
      </c>
      <c r="AB22" s="5">
        <v>2006</v>
      </c>
      <c r="AC22" s="5">
        <v>2007</v>
      </c>
      <c r="AD22" s="5">
        <v>2008</v>
      </c>
      <c r="AE22" s="66">
        <v>2009</v>
      </c>
      <c r="AF22" s="66">
        <v>2010</v>
      </c>
    </row>
    <row r="23" spans="1:32" s="5" customFormat="1" x14ac:dyDescent="0.2">
      <c r="A23" s="937"/>
      <c r="B23" s="934" t="s">
        <v>1094</v>
      </c>
      <c r="C23" s="1034">
        <v>3.2386233906455724</v>
      </c>
      <c r="D23" s="1016">
        <v>3.6740643285720207</v>
      </c>
      <c r="E23" s="1034">
        <v>3.8223520620039619</v>
      </c>
      <c r="F23" s="977"/>
      <c r="G23" s="954">
        <f t="shared" si="1"/>
        <v>0.13445247730383669</v>
      </c>
      <c r="H23" s="933" t="s">
        <v>1127</v>
      </c>
      <c r="S23" s="5" t="s">
        <v>975</v>
      </c>
      <c r="U23" s="678" t="s">
        <v>1128</v>
      </c>
      <c r="V23" s="936">
        <v>1600287</v>
      </c>
      <c r="W23" s="936">
        <v>1628332</v>
      </c>
      <c r="X23" s="936">
        <v>1658474</v>
      </c>
      <c r="Y23" s="936">
        <v>1672079</v>
      </c>
      <c r="Z23" s="936">
        <v>1699890</v>
      </c>
      <c r="AA23" s="936">
        <v>1708421</v>
      </c>
      <c r="AB23" s="936">
        <v>1690534.3231176608</v>
      </c>
      <c r="AC23" s="936">
        <v>1672467.3912168844</v>
      </c>
      <c r="AD23" s="936">
        <v>1615850.1593513428</v>
      </c>
      <c r="AE23" s="936"/>
    </row>
    <row r="24" spans="1:32" s="5" customFormat="1" ht="14.25" customHeight="1" x14ac:dyDescent="0.2">
      <c r="A24" s="937"/>
      <c r="B24" s="934" t="s">
        <v>1095</v>
      </c>
      <c r="C24" s="942">
        <v>3.9299466762127366</v>
      </c>
      <c r="D24" s="942">
        <v>4.1188834937826426</v>
      </c>
      <c r="E24" s="976">
        <v>4.0496526294706836</v>
      </c>
      <c r="F24" s="977"/>
      <c r="G24" s="954">
        <f t="shared" si="1"/>
        <v>4.8076178415729309E-2</v>
      </c>
      <c r="H24" s="967"/>
      <c r="U24" s="678" t="s">
        <v>1130</v>
      </c>
      <c r="V24" s="936">
        <v>923059</v>
      </c>
      <c r="W24" s="936">
        <v>943207</v>
      </c>
      <c r="X24" s="936">
        <v>966034</v>
      </c>
      <c r="Y24" s="936">
        <v>984094</v>
      </c>
      <c r="Z24" s="936">
        <v>1027164</v>
      </c>
      <c r="AA24" s="936">
        <v>1041051</v>
      </c>
      <c r="AB24" s="936">
        <v>1082490.4322099686</v>
      </c>
      <c r="AC24" s="936">
        <v>1112270.6179440827</v>
      </c>
      <c r="AD24" s="936">
        <v>1108602.9173799797</v>
      </c>
    </row>
    <row r="25" spans="1:32" s="5" customFormat="1" ht="14.25" customHeight="1" x14ac:dyDescent="0.2">
      <c r="A25" s="937"/>
      <c r="B25" s="934" t="s">
        <v>1096</v>
      </c>
      <c r="C25" s="1016">
        <v>2.0999605760927915</v>
      </c>
      <c r="D25" s="942">
        <v>2.1689936555495386</v>
      </c>
      <c r="E25" s="976">
        <v>2.0772950526133771</v>
      </c>
      <c r="F25" s="977"/>
      <c r="G25" s="954">
        <f t="shared" si="1"/>
        <v>3.2873512123351656E-2</v>
      </c>
      <c r="H25" s="933"/>
      <c r="I25" s="933"/>
    </row>
    <row r="26" spans="1:32" s="5" customFormat="1" ht="14.25" customHeight="1" x14ac:dyDescent="0.2">
      <c r="A26" s="937"/>
      <c r="B26" s="934" t="s">
        <v>1097</v>
      </c>
      <c r="C26" s="1016">
        <v>1.8299861001199447</v>
      </c>
      <c r="D26" s="942">
        <v>1.9498898382331042</v>
      </c>
      <c r="E26" s="976">
        <v>1.9723575768573061</v>
      </c>
      <c r="F26" s="977"/>
      <c r="G26" s="954">
        <f t="shared" si="1"/>
        <v>6.5521666041780557E-2</v>
      </c>
      <c r="H26" s="933"/>
      <c r="I26" s="933"/>
      <c r="S26" s="5" t="s">
        <v>1129</v>
      </c>
      <c r="U26" s="678" t="s">
        <v>1128</v>
      </c>
      <c r="V26" s="936">
        <v>73065.207999999999</v>
      </c>
      <c r="W26" s="936">
        <v>73558.789999999994</v>
      </c>
      <c r="X26" s="936">
        <v>75471.258000000002</v>
      </c>
      <c r="Y26" s="936">
        <v>75454.644</v>
      </c>
      <c r="Z26" s="936">
        <v>75401.891000000003</v>
      </c>
      <c r="AA26" s="936">
        <v>77418</v>
      </c>
      <c r="AB26" s="936">
        <v>75008.950126245851</v>
      </c>
      <c r="AC26" s="936">
        <v>74377.197330050694</v>
      </c>
      <c r="AD26" s="936">
        <v>71497.204360545104</v>
      </c>
    </row>
    <row r="27" spans="1:32" s="5" customFormat="1" x14ac:dyDescent="0.2">
      <c r="A27" s="937"/>
      <c r="B27" s="934" t="s">
        <v>996</v>
      </c>
      <c r="C27" s="1016">
        <v>59.369204106171587</v>
      </c>
      <c r="D27" s="942">
        <v>65.594925720925133</v>
      </c>
      <c r="E27" s="976">
        <v>60.753648046274847</v>
      </c>
      <c r="F27" s="977"/>
      <c r="G27" s="954">
        <f t="shared" si="1"/>
        <v>0.10486449512814611</v>
      </c>
      <c r="H27" s="933"/>
      <c r="I27" s="969"/>
      <c r="U27" s="678" t="s">
        <v>1130</v>
      </c>
      <c r="V27" s="936">
        <v>52938.805</v>
      </c>
      <c r="W27" s="936">
        <v>53521.781000000003</v>
      </c>
      <c r="X27" s="936">
        <v>55220.108</v>
      </c>
      <c r="Y27" s="936">
        <v>60758.05</v>
      </c>
      <c r="Z27" s="936">
        <v>63417.148000000001</v>
      </c>
      <c r="AA27" s="936">
        <v>58869</v>
      </c>
      <c r="AB27" s="936">
        <v>60685.248549180433</v>
      </c>
      <c r="AC27" s="936">
        <v>61836.215707200099</v>
      </c>
      <c r="AD27" s="936">
        <v>61198.934409653797</v>
      </c>
    </row>
    <row r="28" spans="1:32" s="5" customFormat="1" x14ac:dyDescent="0.2">
      <c r="A28" s="937"/>
      <c r="B28" s="934" t="s">
        <v>121</v>
      </c>
      <c r="C28" s="1016">
        <v>29.525905300000002</v>
      </c>
      <c r="D28" s="942">
        <v>34.235738300000001</v>
      </c>
      <c r="E28" s="974">
        <v>30.725099400000001</v>
      </c>
      <c r="F28" s="977"/>
      <c r="G28" s="954">
        <f t="shared" si="1"/>
        <v>0.15951527826650591</v>
      </c>
      <c r="H28" s="933"/>
      <c r="I28" s="969"/>
      <c r="J28" s="969"/>
      <c r="K28" s="969"/>
    </row>
    <row r="29" spans="1:32" s="5" customFormat="1" x14ac:dyDescent="0.2">
      <c r="A29" s="937"/>
      <c r="B29" s="934" t="s">
        <v>1026</v>
      </c>
      <c r="C29" s="942">
        <v>3.8485593780879319</v>
      </c>
      <c r="D29" s="942">
        <v>2.9096299851590146</v>
      </c>
      <c r="E29" s="974">
        <v>2.544629079906942</v>
      </c>
      <c r="F29" s="977"/>
      <c r="G29" s="954">
        <f t="shared" si="1"/>
        <v>-0.24396905457007723</v>
      </c>
      <c r="H29" s="933" t="s">
        <v>1082</v>
      </c>
      <c r="I29" s="969"/>
      <c r="J29" s="969"/>
      <c r="K29" s="969"/>
      <c r="S29" s="5" t="s">
        <v>1131</v>
      </c>
      <c r="V29" s="1038">
        <f>SUM(V23:V24)/SUM(V26:V27)</f>
        <v>20.025917745968933</v>
      </c>
      <c r="W29" s="1038">
        <f t="shared" ref="W29:AD29" si="2">SUM(W23:W24)/SUM(W26:W27)</f>
        <v>20.235500830414118</v>
      </c>
      <c r="X29" s="1038">
        <f t="shared" si="2"/>
        <v>20.081724449953334</v>
      </c>
      <c r="Y29" s="1038">
        <f t="shared" si="2"/>
        <v>19.5001869649535</v>
      </c>
      <c r="Z29" s="1038">
        <f t="shared" si="2"/>
        <v>19.64466848095671</v>
      </c>
      <c r="AA29" s="1038">
        <f t="shared" si="2"/>
        <v>20.174132529148046</v>
      </c>
      <c r="AB29" s="1038">
        <f t="shared" si="2"/>
        <v>20.435838690204918</v>
      </c>
      <c r="AC29" s="1038">
        <f t="shared" si="2"/>
        <v>20.443933876023017</v>
      </c>
      <c r="AD29" s="1038">
        <f t="shared" si="2"/>
        <v>20.531517359743884</v>
      </c>
      <c r="AE29" s="945"/>
      <c r="AF29" s="945"/>
    </row>
    <row r="30" spans="1:32" s="5" customFormat="1" x14ac:dyDescent="0.2">
      <c r="A30" s="937"/>
      <c r="B30" s="934" t="s">
        <v>1027</v>
      </c>
      <c r="C30" s="942">
        <v>25.994739428083655</v>
      </c>
      <c r="D30" s="942">
        <v>28.449557435766117</v>
      </c>
      <c r="E30" s="974">
        <v>27.483919566367906</v>
      </c>
      <c r="F30" s="977"/>
      <c r="G30" s="954">
        <f t="shared" si="1"/>
        <v>9.4435184260026839E-2</v>
      </c>
      <c r="H30" s="961"/>
      <c r="I30" s="969"/>
      <c r="J30" s="969"/>
      <c r="K30" s="969"/>
      <c r="S30" s="5" t="s">
        <v>384</v>
      </c>
      <c r="V30" s="1039">
        <f>SUM(V26:V27)/SUM(V23:V24)</f>
        <v>4.9935289492602286E-2</v>
      </c>
      <c r="W30" s="1039">
        <f t="shared" ref="W30:AD30" si="3">SUM(W26:W27)/SUM(W23:W24)</f>
        <v>4.9418099822713168E-2</v>
      </c>
      <c r="X30" s="1039">
        <f t="shared" si="3"/>
        <v>4.9796520338288172E-2</v>
      </c>
      <c r="Y30" s="1039">
        <f t="shared" si="3"/>
        <v>5.128155959720998E-2</v>
      </c>
      <c r="Z30" s="1039">
        <f t="shared" si="3"/>
        <v>5.0904396832625973E-2</v>
      </c>
      <c r="AA30" s="1039">
        <f t="shared" si="3"/>
        <v>4.9568426228745008E-2</v>
      </c>
      <c r="AB30" s="1039">
        <f t="shared" si="3"/>
        <v>4.8933641293582388E-2</v>
      </c>
      <c r="AC30" s="1039">
        <f t="shared" si="3"/>
        <v>4.891426503647698E-2</v>
      </c>
      <c r="AD30" s="1039">
        <f t="shared" si="3"/>
        <v>4.8705606238372744E-2</v>
      </c>
    </row>
    <row r="31" spans="1:32" s="5" customFormat="1" x14ac:dyDescent="0.2">
      <c r="A31" s="937"/>
      <c r="B31" s="934" t="s">
        <v>997</v>
      </c>
      <c r="C31" s="942">
        <v>54.975739840918422</v>
      </c>
      <c r="D31" s="1020">
        <v>62.285182651716724</v>
      </c>
      <c r="E31" s="1020">
        <v>60.005534346003202</v>
      </c>
      <c r="F31" s="977"/>
      <c r="G31" s="954">
        <f t="shared" si="1"/>
        <v>0.13295760697262837</v>
      </c>
      <c r="H31" s="933"/>
      <c r="I31" s="933"/>
      <c r="K31" s="66"/>
      <c r="N31" s="968"/>
      <c r="S31" s="66" t="s">
        <v>1137</v>
      </c>
      <c r="V31" s="1038">
        <f t="shared" ref="V31:AD31" si="4">V30*galTOL</f>
        <v>0.1890250448452967</v>
      </c>
      <c r="W31" s="1038">
        <f t="shared" si="4"/>
        <v>0.18706727506889842</v>
      </c>
      <c r="X31" s="1038">
        <f t="shared" si="4"/>
        <v>0.18849974808855605</v>
      </c>
      <c r="Y31" s="1038">
        <f t="shared" si="4"/>
        <v>0.19412121569927868</v>
      </c>
      <c r="Z31" s="1038">
        <f t="shared" si="4"/>
        <v>0.19269350377022237</v>
      </c>
      <c r="AA31" s="1038">
        <f t="shared" si="4"/>
        <v>0.18763632064629135</v>
      </c>
      <c r="AB31" s="1038">
        <f t="shared" si="4"/>
        <v>0.18523340575272679</v>
      </c>
      <c r="AC31" s="1038">
        <f t="shared" si="4"/>
        <v>0.18516005886907996</v>
      </c>
      <c r="AD31" s="1038">
        <f t="shared" si="4"/>
        <v>0.18437020185473618</v>
      </c>
    </row>
    <row r="32" spans="1:32" s="5" customFormat="1" x14ac:dyDescent="0.2">
      <c r="A32" s="937"/>
      <c r="B32" s="934" t="s">
        <v>121</v>
      </c>
      <c r="C32" s="942">
        <v>19.3958887</v>
      </c>
      <c r="D32" s="942">
        <v>22.030135100000003</v>
      </c>
      <c r="E32" s="974">
        <v>20.551414900000005</v>
      </c>
      <c r="F32" s="977"/>
      <c r="G32" s="954">
        <f>D32/C32-1</f>
        <v>0.13581467911805456</v>
      </c>
      <c r="H32" s="933" t="s">
        <v>1111</v>
      </c>
      <c r="J32" s="968"/>
      <c r="K32" s="968"/>
      <c r="S32" s="66" t="s">
        <v>1138</v>
      </c>
      <c r="V32" s="1038" t="e">
        <f>V31*efgasoline00/10^3</f>
        <v>#REF!</v>
      </c>
      <c r="W32" s="1038" t="e">
        <f>W31*efgasoline01/10^3</f>
        <v>#REF!</v>
      </c>
      <c r="X32" s="1038" t="e">
        <f>X31*efgasoline02/10^3</f>
        <v>#REF!</v>
      </c>
      <c r="Y32" s="1038" t="e">
        <f>Y31*efgasoline03/10^3</f>
        <v>#REF!</v>
      </c>
      <c r="Z32" s="1038" t="e">
        <f>Z31*efgasoline04/10^3</f>
        <v>#REF!</v>
      </c>
      <c r="AA32" s="1038" t="e">
        <f>AA31*efgasoline05/10^3</f>
        <v>#REF!</v>
      </c>
      <c r="AB32" s="1038" t="e">
        <f>AB31*efgasoline06/10^3</f>
        <v>#REF!</v>
      </c>
      <c r="AC32" s="1038" t="e">
        <f>AC31*efgasoline07/10^3</f>
        <v>#REF!</v>
      </c>
      <c r="AD32" s="1038" t="e">
        <f>AD31*efgasoline08/10^3</f>
        <v>#REF!</v>
      </c>
    </row>
    <row r="33" spans="1:32" s="5" customFormat="1" x14ac:dyDescent="0.2">
      <c r="A33" s="937"/>
      <c r="B33" s="934" t="s">
        <v>1026</v>
      </c>
      <c r="C33" s="942">
        <v>2.8249946376320381</v>
      </c>
      <c r="D33" s="942">
        <v>3.0817255830854307</v>
      </c>
      <c r="E33" s="974">
        <v>3.5503673049356097</v>
      </c>
      <c r="F33" s="977"/>
      <c r="G33" s="954">
        <f t="shared" si="1"/>
        <v>9.0878383283796049E-2</v>
      </c>
      <c r="H33" s="933" t="s">
        <v>1087</v>
      </c>
      <c r="AD33" s="945" t="e">
        <f>AD32</f>
        <v>#REF!</v>
      </c>
      <c r="AE33" s="945"/>
      <c r="AF33" s="945"/>
    </row>
    <row r="34" spans="1:32" s="5" customFormat="1" x14ac:dyDescent="0.2">
      <c r="A34" s="937"/>
      <c r="B34" s="934" t="s">
        <v>678</v>
      </c>
      <c r="C34" s="942">
        <v>32.754856503286383</v>
      </c>
      <c r="D34" s="942">
        <v>37.173321968631292</v>
      </c>
      <c r="E34" s="974">
        <v>35.903752141067592</v>
      </c>
      <c r="F34" s="977"/>
      <c r="G34" s="954">
        <f t="shared" si="1"/>
        <v>0.13489497244176873</v>
      </c>
      <c r="H34" s="933"/>
    </row>
    <row r="35" spans="1:32" s="5" customFormat="1" x14ac:dyDescent="0.2">
      <c r="A35" s="937"/>
      <c r="B35" s="934" t="s">
        <v>998</v>
      </c>
      <c r="C35" s="942">
        <v>114.34494394709</v>
      </c>
      <c r="D35" s="942">
        <v>127.88010837264186</v>
      </c>
      <c r="E35" s="974">
        <v>120.75918239227805</v>
      </c>
      <c r="F35" s="977"/>
      <c r="G35" s="954">
        <f t="shared" si="1"/>
        <v>0.11837134164685836</v>
      </c>
    </row>
    <row r="36" spans="1:32" s="5" customFormat="1" x14ac:dyDescent="0.2">
      <c r="A36" s="937"/>
      <c r="B36" s="934" t="s">
        <v>999</v>
      </c>
      <c r="C36" s="1016">
        <v>33.546604586160662</v>
      </c>
      <c r="D36" s="942">
        <v>34.812367902278545</v>
      </c>
      <c r="E36" s="976">
        <v>31.349262470336011</v>
      </c>
      <c r="F36" s="977"/>
      <c r="G36" s="954">
        <f t="shared" si="1"/>
        <v>3.7731488230557497E-2</v>
      </c>
      <c r="H36" s="933"/>
    </row>
    <row r="37" spans="1:32" s="5" customFormat="1" x14ac:dyDescent="0.2">
      <c r="A37" s="937"/>
      <c r="B37" s="934" t="s">
        <v>1020</v>
      </c>
      <c r="C37" s="942">
        <v>59.342838682394515</v>
      </c>
      <c r="D37" s="942">
        <v>61.936233909868527</v>
      </c>
      <c r="E37" s="1030">
        <v>61.880386289811923</v>
      </c>
      <c r="F37" s="1031"/>
      <c r="G37" s="954">
        <f t="shared" si="1"/>
        <v>4.3701907172893684E-2</v>
      </c>
      <c r="H37" s="933" t="s">
        <v>1126</v>
      </c>
    </row>
    <row r="38" spans="1:32" s="5" customFormat="1" x14ac:dyDescent="0.2">
      <c r="A38" s="937"/>
      <c r="B38" s="934" t="s">
        <v>1054</v>
      </c>
      <c r="C38" s="944">
        <v>4509</v>
      </c>
      <c r="D38" s="944">
        <v>5022</v>
      </c>
      <c r="E38" s="975">
        <v>4512</v>
      </c>
      <c r="F38" s="979"/>
      <c r="G38" s="954">
        <f t="shared" si="1"/>
        <v>0.11377245508982026</v>
      </c>
      <c r="H38" s="933" t="s">
        <v>1090</v>
      </c>
      <c r="I38" s="1037"/>
    </row>
    <row r="39" spans="1:32" s="5" customFormat="1" x14ac:dyDescent="0.2">
      <c r="A39" s="963"/>
      <c r="B39" s="934" t="s">
        <v>1055</v>
      </c>
      <c r="C39" s="966">
        <v>277</v>
      </c>
      <c r="D39" s="966">
        <v>195</v>
      </c>
      <c r="E39" s="966">
        <v>163</v>
      </c>
      <c r="F39" s="979"/>
      <c r="G39" s="954">
        <f t="shared" si="1"/>
        <v>-0.29602888086642598</v>
      </c>
      <c r="H39" s="933" t="s">
        <v>1090</v>
      </c>
    </row>
    <row r="40" spans="1:32" s="5" customFormat="1" x14ac:dyDescent="0.2">
      <c r="A40" s="937"/>
      <c r="B40" s="934" t="s">
        <v>1022</v>
      </c>
      <c r="C40" s="942">
        <v>14.329270246066091</v>
      </c>
      <c r="D40" s="942">
        <v>13.514177139569325</v>
      </c>
      <c r="E40" s="976">
        <v>13.810393083131155</v>
      </c>
      <c r="F40" s="977"/>
      <c r="G40" s="954">
        <f t="shared" si="1"/>
        <v>-5.6883085635190622E-2</v>
      </c>
      <c r="H40" s="933"/>
    </row>
    <row r="41" spans="1:32" s="5" customFormat="1" ht="12.75" x14ac:dyDescent="0.2">
      <c r="A41" s="937"/>
      <c r="B41" s="934" t="s">
        <v>1028</v>
      </c>
      <c r="C41" s="942">
        <v>60.825032397460191</v>
      </c>
      <c r="D41" s="942">
        <v>60.689448662934858</v>
      </c>
      <c r="E41" s="974">
        <v>64.98941698667447</v>
      </c>
      <c r="F41" s="977"/>
      <c r="G41" s="954">
        <f t="shared" si="1"/>
        <v>-2.2290778842395387E-3</v>
      </c>
      <c r="H41" s="933"/>
    </row>
    <row r="42" spans="1:32" s="5" customFormat="1" ht="12.75" x14ac:dyDescent="0.2">
      <c r="A42" s="937"/>
      <c r="B42" s="934" t="s">
        <v>1038</v>
      </c>
      <c r="C42" s="1035">
        <v>62.598304716630274</v>
      </c>
      <c r="D42" s="942">
        <v>62.305260637199368</v>
      </c>
      <c r="E42" s="974">
        <v>66.262964067464139</v>
      </c>
      <c r="F42" s="977"/>
      <c r="G42" s="954">
        <f>D42/C42-1</f>
        <v>-4.681342102752728E-3</v>
      </c>
      <c r="H42" s="964"/>
      <c r="V42" s="928"/>
      <c r="W42" s="928">
        <v>2003</v>
      </c>
      <c r="X42" s="928">
        <v>2008</v>
      </c>
      <c r="Y42" s="928">
        <v>2010</v>
      </c>
      <c r="AB42" s="928"/>
      <c r="AC42" s="928"/>
      <c r="AE42" s="928"/>
    </row>
    <row r="43" spans="1:32" s="5" customFormat="1" ht="12.75" x14ac:dyDescent="0.2">
      <c r="A43" s="937"/>
      <c r="B43" s="934" t="s">
        <v>1039</v>
      </c>
      <c r="C43" s="942">
        <v>58.910046504459523</v>
      </c>
      <c r="D43" s="942">
        <v>58.98777481502264</v>
      </c>
      <c r="E43" s="974">
        <v>63.699992070124082</v>
      </c>
      <c r="F43" s="977"/>
      <c r="G43" s="954">
        <f t="shared" si="1"/>
        <v>1.3194406586869434E-3</v>
      </c>
      <c r="H43" s="970"/>
      <c r="U43" s="5" t="s">
        <v>29</v>
      </c>
      <c r="W43" s="1044">
        <f t="shared" ref="W43:Y44" si="5">C42</f>
        <v>62.598304716630274</v>
      </c>
      <c r="X43" s="1044">
        <f t="shared" si="5"/>
        <v>62.305260637199368</v>
      </c>
      <c r="Y43" s="1044">
        <f t="shared" si="5"/>
        <v>66.262964067464139</v>
      </c>
    </row>
    <row r="44" spans="1:32" s="5" customFormat="1" x14ac:dyDescent="0.2">
      <c r="A44" s="1782" t="s">
        <v>982</v>
      </c>
      <c r="B44" s="1782"/>
      <c r="C44" s="942"/>
      <c r="D44" s="942"/>
      <c r="E44" s="942"/>
      <c r="F44" s="977"/>
      <c r="G44" s="954"/>
      <c r="H44" s="970"/>
      <c r="U44" s="5" t="s">
        <v>30</v>
      </c>
      <c r="W44" s="1044">
        <f t="shared" si="5"/>
        <v>58.910046504459523</v>
      </c>
      <c r="X44" s="1044">
        <f t="shared" si="5"/>
        <v>58.98777481502264</v>
      </c>
      <c r="Y44" s="1044">
        <f t="shared" si="5"/>
        <v>63.699992070124082</v>
      </c>
    </row>
    <row r="45" spans="1:32" s="5" customFormat="1" x14ac:dyDescent="0.2">
      <c r="A45" s="937"/>
      <c r="B45" s="934" t="s">
        <v>1092</v>
      </c>
      <c r="C45" s="1025">
        <v>-0.24842165045107126</v>
      </c>
      <c r="D45" s="1025">
        <v>-0.21825297252307913</v>
      </c>
      <c r="E45" s="1025">
        <v>-0.19638385554999652</v>
      </c>
      <c r="F45" s="948"/>
      <c r="G45" s="954">
        <f t="shared" si="1"/>
        <v>-0.12144141975231793</v>
      </c>
      <c r="H45" s="933"/>
    </row>
    <row r="46" spans="1:32" s="5" customFormat="1" x14ac:dyDescent="0.2">
      <c r="A46" s="937"/>
      <c r="B46" s="934" t="s">
        <v>1098</v>
      </c>
      <c r="C46" s="1026">
        <v>-0.14037080341215485</v>
      </c>
      <c r="D46" s="1026">
        <v>-0.11583064835784318</v>
      </c>
      <c r="E46" s="1026">
        <v>-0.1013352980529518</v>
      </c>
      <c r="F46" s="977"/>
      <c r="G46" s="954">
        <f t="shared" si="1"/>
        <v>-0.17482378427554623</v>
      </c>
      <c r="H46" s="933"/>
    </row>
    <row r="47" spans="1:32" s="5" customFormat="1" x14ac:dyDescent="0.2">
      <c r="A47" s="937"/>
      <c r="B47" s="934" t="s">
        <v>1003</v>
      </c>
      <c r="C47" s="1027">
        <v>693634</v>
      </c>
      <c r="D47" s="1027">
        <v>642822.84550547274</v>
      </c>
      <c r="E47" s="1027">
        <v>590335.00000000023</v>
      </c>
      <c r="F47" s="977"/>
      <c r="G47" s="954">
        <f t="shared" si="1"/>
        <v>-7.3253552297792845E-2</v>
      </c>
      <c r="H47" s="938" t="s">
        <v>1060</v>
      </c>
    </row>
    <row r="48" spans="1:32" s="5" customFormat="1" x14ac:dyDescent="0.2">
      <c r="A48" s="937"/>
      <c r="B48" s="934" t="s">
        <v>984</v>
      </c>
      <c r="C48" s="965">
        <v>0.39193831003535523</v>
      </c>
      <c r="D48" s="965">
        <v>0.34115726403799129</v>
      </c>
      <c r="E48" s="1033">
        <v>0.30461655317109076</v>
      </c>
      <c r="F48" s="977"/>
      <c r="G48" s="954">
        <f t="shared" si="1"/>
        <v>-0.12956387445969031</v>
      </c>
      <c r="H48" s="938"/>
    </row>
    <row r="49" spans="1:8" s="5" customFormat="1" x14ac:dyDescent="0.2">
      <c r="A49" s="937"/>
      <c r="B49" s="934" t="s">
        <v>1004</v>
      </c>
      <c r="C49" s="944">
        <v>743213.99999999988</v>
      </c>
      <c r="D49" s="944">
        <v>682543</v>
      </c>
      <c r="E49" s="1032">
        <v>576185</v>
      </c>
      <c r="F49" s="977"/>
      <c r="G49" s="954">
        <f t="shared" si="1"/>
        <v>-8.1633284625962199E-2</v>
      </c>
      <c r="H49" s="938" t="s">
        <v>1060</v>
      </c>
    </row>
    <row r="50" spans="1:8" s="5" customFormat="1" x14ac:dyDescent="0.2">
      <c r="A50" s="937"/>
      <c r="B50" s="934" t="s">
        <v>985</v>
      </c>
      <c r="C50" s="965">
        <v>0.80225256878981088</v>
      </c>
      <c r="D50" s="965">
        <v>0.67871909660970098</v>
      </c>
      <c r="E50" s="1033">
        <v>0.59418769890131196</v>
      </c>
      <c r="F50" s="977"/>
      <c r="G50" s="954">
        <f t="shared" si="1"/>
        <v>-0.15398326784600858</v>
      </c>
      <c r="H50" s="933" t="s">
        <v>1126</v>
      </c>
    </row>
    <row r="51" spans="1:8" s="5" customFormat="1" x14ac:dyDescent="0.2">
      <c r="A51" s="937"/>
      <c r="B51" s="934" t="s">
        <v>1099</v>
      </c>
      <c r="C51" s="1026">
        <v>-0.17289347965203783</v>
      </c>
      <c r="D51" s="1026">
        <v>-0.1646737565052018</v>
      </c>
      <c r="E51" s="1026">
        <v>-0.16835018306586813</v>
      </c>
      <c r="F51" s="977"/>
      <c r="G51" s="954">
        <f t="shared" si="1"/>
        <v>-4.7542123412513182E-2</v>
      </c>
      <c r="H51" s="933"/>
    </row>
    <row r="52" spans="1:8" s="5" customFormat="1" x14ac:dyDescent="0.2">
      <c r="A52" s="946" t="s">
        <v>78</v>
      </c>
      <c r="B52" s="934"/>
      <c r="C52" s="942"/>
      <c r="D52" s="942"/>
      <c r="E52" s="942"/>
      <c r="F52" s="977"/>
      <c r="G52" s="964"/>
      <c r="H52" s="933"/>
    </row>
    <row r="53" spans="1:8" s="5" customFormat="1" x14ac:dyDescent="0.2">
      <c r="A53" s="946"/>
      <c r="B53" s="952" t="s">
        <v>1092</v>
      </c>
      <c r="C53" s="948">
        <v>15.875190107559831</v>
      </c>
      <c r="D53" s="948">
        <v>16.410544636171224</v>
      </c>
      <c r="E53" s="948">
        <v>16.623383290422922</v>
      </c>
      <c r="F53" s="948"/>
      <c r="G53" s="1040">
        <f t="shared" ref="G53:H55" si="6">D53/C53-1</f>
        <v>3.3722716073582903E-2</v>
      </c>
      <c r="H53" s="1041">
        <f t="shared" si="6"/>
        <v>1.2969627697948072E-2</v>
      </c>
    </row>
    <row r="54" spans="1:8" s="5" customFormat="1" x14ac:dyDescent="0.2">
      <c r="A54" s="946"/>
      <c r="B54" s="952" t="s">
        <v>1058</v>
      </c>
      <c r="C54" s="972">
        <v>1769753</v>
      </c>
      <c r="D54" s="972">
        <v>1884242</v>
      </c>
      <c r="E54" s="972">
        <v>1937961</v>
      </c>
      <c r="F54" s="948"/>
      <c r="G54" s="1040">
        <f t="shared" si="6"/>
        <v>6.4692078499090089E-2</v>
      </c>
      <c r="H54" s="1041">
        <f t="shared" si="6"/>
        <v>2.8509607576945983E-2</v>
      </c>
    </row>
    <row r="55" spans="1:8" s="5" customFormat="1" x14ac:dyDescent="0.2">
      <c r="A55" s="946"/>
      <c r="B55" s="952" t="s">
        <v>1059</v>
      </c>
      <c r="C55" s="972">
        <v>926409</v>
      </c>
      <c r="D55" s="972">
        <v>1005634</v>
      </c>
      <c r="E55" s="972">
        <v>969702</v>
      </c>
      <c r="F55" s="948"/>
      <c r="G55" s="1040">
        <f t="shared" si="6"/>
        <v>8.5518383349039162E-2</v>
      </c>
      <c r="H55" s="1041">
        <f t="shared" si="6"/>
        <v>-3.5730693274093728E-2</v>
      </c>
    </row>
    <row r="56" spans="1:8" s="5" customFormat="1" x14ac:dyDescent="0.2">
      <c r="A56" s="946"/>
      <c r="B56" s="952" t="s">
        <v>1098</v>
      </c>
      <c r="C56" s="948">
        <v>8.9702857447111732</v>
      </c>
      <c r="D56" s="948">
        <v>8.7093614494163827</v>
      </c>
      <c r="E56" s="948">
        <v>8.5777697747389769</v>
      </c>
      <c r="F56" s="948"/>
      <c r="G56" s="954">
        <f>D56/C56-1</f>
        <v>-2.9087623596453449E-2</v>
      </c>
      <c r="H56" s="933"/>
    </row>
    <row r="57" spans="1:8" s="5" customFormat="1" x14ac:dyDescent="0.2">
      <c r="A57" s="939" t="s">
        <v>988</v>
      </c>
      <c r="B57" s="940"/>
      <c r="C57" s="941"/>
      <c r="D57" s="941"/>
      <c r="E57" s="1012"/>
      <c r="F57" s="1012"/>
      <c r="G57" s="1042">
        <f>(D56/C56)^(1/5)-1</f>
        <v>-5.886417820251566E-3</v>
      </c>
      <c r="H57" s="1043">
        <f>(E53/D53)^(1/2)-1</f>
        <v>6.4639227006342281E-3</v>
      </c>
    </row>
    <row r="58" spans="1:8" s="5" customFormat="1" x14ac:dyDescent="0.2">
      <c r="A58" s="937" t="s">
        <v>690</v>
      </c>
      <c r="B58" s="934"/>
      <c r="C58" s="942"/>
      <c r="D58" s="942"/>
      <c r="E58" s="942"/>
      <c r="F58" s="977"/>
    </row>
    <row r="59" spans="1:8" s="5" customFormat="1" x14ac:dyDescent="0.2">
      <c r="A59" s="937"/>
      <c r="B59" s="934" t="s">
        <v>1092</v>
      </c>
      <c r="C59" s="1784">
        <v>0.87641263120056434</v>
      </c>
      <c r="D59" s="1784"/>
      <c r="F59" s="977"/>
      <c r="H59" s="933" t="s">
        <v>1105</v>
      </c>
    </row>
    <row r="60" spans="1:8" s="5" customFormat="1" x14ac:dyDescent="0.2">
      <c r="A60" s="937"/>
      <c r="B60" s="934" t="s">
        <v>1002</v>
      </c>
      <c r="C60" s="1785">
        <v>881971.28215999994</v>
      </c>
      <c r="D60" s="1785"/>
      <c r="E60" s="942"/>
      <c r="F60" s="977"/>
      <c r="G60" s="66"/>
      <c r="H60" s="1029"/>
    </row>
    <row r="61" spans="1:8" s="5" customFormat="1" x14ac:dyDescent="0.2">
      <c r="A61" s="937"/>
      <c r="B61" s="934" t="s">
        <v>1100</v>
      </c>
      <c r="C61" s="1786">
        <v>0.99369746943934256</v>
      </c>
      <c r="D61" s="1786"/>
      <c r="E61" s="942"/>
      <c r="F61" s="977"/>
      <c r="G61" s="66"/>
      <c r="H61" s="1029"/>
    </row>
    <row r="62" spans="1:8" s="5" customFormat="1" x14ac:dyDescent="0.2">
      <c r="A62" s="937" t="s">
        <v>12</v>
      </c>
      <c r="B62" s="934"/>
      <c r="C62" s="942"/>
      <c r="D62" s="942"/>
      <c r="E62" s="942"/>
      <c r="F62" s="977"/>
      <c r="G62" s="964"/>
      <c r="H62" s="947"/>
    </row>
    <row r="63" spans="1:8" s="5" customFormat="1" x14ac:dyDescent="0.2">
      <c r="A63" s="937"/>
      <c r="B63" s="934" t="s">
        <v>1091</v>
      </c>
      <c r="C63" s="1784">
        <v>0.14326025214116175</v>
      </c>
      <c r="D63" s="1784"/>
      <c r="E63" s="942"/>
      <c r="F63" s="977"/>
      <c r="G63" s="964"/>
      <c r="H63" s="947" t="s">
        <v>1101</v>
      </c>
    </row>
    <row r="64" spans="1:8" s="5" customFormat="1" x14ac:dyDescent="0.2">
      <c r="A64" s="937"/>
      <c r="B64" s="934" t="s">
        <v>1000</v>
      </c>
      <c r="C64" s="1787">
        <v>719369.24613999994</v>
      </c>
      <c r="D64" s="1787"/>
      <c r="E64" s="942"/>
      <c r="F64" s="977"/>
      <c r="G64" s="964"/>
      <c r="H64" s="947"/>
    </row>
    <row r="65" spans="1:25" s="5" customFormat="1" x14ac:dyDescent="0.2">
      <c r="A65" s="937"/>
      <c r="B65" s="934" t="s">
        <v>1103</v>
      </c>
      <c r="C65" s="1788">
        <v>0.19914703458602009</v>
      </c>
      <c r="D65" s="1788"/>
      <c r="E65" s="942"/>
      <c r="F65" s="977"/>
      <c r="G65" s="964"/>
      <c r="H65" s="947"/>
    </row>
    <row r="66" spans="1:25" s="5" customFormat="1" x14ac:dyDescent="0.2">
      <c r="A66" s="937" t="s">
        <v>878</v>
      </c>
      <c r="B66" s="934"/>
      <c r="C66" s="942"/>
      <c r="D66" s="942"/>
      <c r="E66" s="942"/>
      <c r="F66" s="977"/>
      <c r="G66" s="964"/>
      <c r="H66" s="947"/>
    </row>
    <row r="67" spans="1:25" s="5" customFormat="1" x14ac:dyDescent="0.2">
      <c r="A67" s="937"/>
      <c r="B67" s="934" t="s">
        <v>1091</v>
      </c>
      <c r="C67" s="1784">
        <v>8.7434799387774279E-2</v>
      </c>
      <c r="D67" s="1784"/>
      <c r="E67" s="942"/>
      <c r="F67" s="977"/>
      <c r="G67" s="964"/>
      <c r="H67" s="947" t="e">
        <f>0.4*(1-#REF!)</f>
        <v>#REF!</v>
      </c>
    </row>
    <row r="68" spans="1:25" s="5" customFormat="1" x14ac:dyDescent="0.2">
      <c r="A68" s="937"/>
      <c r="B68" s="934" t="s">
        <v>1001</v>
      </c>
      <c r="C68" s="1787">
        <v>240917.07105999999</v>
      </c>
      <c r="D68" s="1787"/>
      <c r="E68" s="942"/>
      <c r="F68" s="977"/>
      <c r="G68" s="964"/>
      <c r="H68" s="947"/>
      <c r="W68" s="5">
        <v>2003</v>
      </c>
      <c r="X68" s="5">
        <v>2008</v>
      </c>
      <c r="Y68" s="5">
        <v>2010</v>
      </c>
    </row>
    <row r="69" spans="1:25" s="5" customFormat="1" x14ac:dyDescent="0.2">
      <c r="A69" s="937"/>
      <c r="B69" s="934" t="s">
        <v>1102</v>
      </c>
      <c r="C69" s="1788">
        <v>0.36292488117622346</v>
      </c>
      <c r="D69" s="1788"/>
      <c r="E69" s="942"/>
      <c r="F69" s="977"/>
      <c r="G69" s="964"/>
      <c r="H69" s="947"/>
      <c r="W69" s="1045">
        <f>C56</f>
        <v>8.9702857447111732</v>
      </c>
      <c r="X69" s="1045">
        <f>D56</f>
        <v>8.7093614494163827</v>
      </c>
      <c r="Y69" s="1045">
        <f>E56</f>
        <v>8.5777697747389769</v>
      </c>
    </row>
    <row r="70" spans="1:25" s="5" customFormat="1" x14ac:dyDescent="0.2">
      <c r="A70" s="937" t="s">
        <v>989</v>
      </c>
      <c r="E70" s="942"/>
      <c r="F70" s="977"/>
      <c r="G70" s="964"/>
    </row>
    <row r="71" spans="1:25" s="5" customFormat="1" x14ac:dyDescent="0.2">
      <c r="A71" s="1019"/>
      <c r="B71" s="934" t="s">
        <v>1092</v>
      </c>
      <c r="C71" s="943">
        <v>1.5149795893257656</v>
      </c>
      <c r="D71" s="943">
        <v>2.6771505867711394</v>
      </c>
      <c r="E71" s="1020"/>
      <c r="F71" s="1020"/>
      <c r="G71" s="1020"/>
      <c r="H71" s="947" t="s">
        <v>1106</v>
      </c>
    </row>
    <row r="72" spans="1:25" s="5" customFormat="1" x14ac:dyDescent="0.2">
      <c r="A72" s="937"/>
      <c r="B72" s="934" t="s">
        <v>1023</v>
      </c>
      <c r="C72" s="943"/>
      <c r="D72" s="1028">
        <v>29287415157.547657</v>
      </c>
      <c r="E72" s="942"/>
      <c r="F72" s="977"/>
      <c r="H72" s="1029" t="s">
        <v>1104</v>
      </c>
    </row>
    <row r="73" spans="1:25" s="5" customFormat="1" x14ac:dyDescent="0.2">
      <c r="A73" s="937" t="s">
        <v>989</v>
      </c>
      <c r="B73" s="934" t="s">
        <v>1034</v>
      </c>
      <c r="C73" s="943"/>
      <c r="D73" s="1024">
        <v>9.1409589148437054E-2</v>
      </c>
      <c r="E73" s="942"/>
      <c r="F73" s="977"/>
      <c r="G73" s="964"/>
      <c r="H73" s="947"/>
    </row>
    <row r="74" spans="1:25" s="5" customFormat="1" x14ac:dyDescent="0.2">
      <c r="A74" s="937" t="s">
        <v>792</v>
      </c>
      <c r="B74" s="934" t="s">
        <v>1092</v>
      </c>
      <c r="C74" s="942">
        <v>0.13705547710096153</v>
      </c>
      <c r="D74" s="1018">
        <v>0.15102286365156642</v>
      </c>
      <c r="E74" s="942"/>
      <c r="F74" s="977"/>
      <c r="G74" s="964"/>
      <c r="H74" s="947"/>
    </row>
    <row r="75" spans="1:25" s="5" customFormat="1" x14ac:dyDescent="0.2">
      <c r="A75" s="937"/>
      <c r="B75" s="934" t="s">
        <v>1024</v>
      </c>
      <c r="C75" s="944">
        <v>42215</v>
      </c>
      <c r="D75" s="944">
        <v>51050.549146131169</v>
      </c>
      <c r="E75" s="942"/>
      <c r="F75" s="977"/>
      <c r="G75" s="964"/>
      <c r="H75" s="947"/>
    </row>
    <row r="76" spans="1:25" s="5" customFormat="1" x14ac:dyDescent="0.2">
      <c r="A76" s="937"/>
      <c r="B76" s="934" t="s">
        <v>1040</v>
      </c>
      <c r="C76" s="944">
        <v>17294.326699999998</v>
      </c>
      <c r="D76" s="944">
        <v>19663.236591461311</v>
      </c>
      <c r="E76" s="942"/>
      <c r="F76" s="977"/>
      <c r="G76" s="964"/>
      <c r="H76" s="947"/>
    </row>
    <row r="77" spans="1:25" s="5" customFormat="1" x14ac:dyDescent="0.2">
      <c r="A77" s="937"/>
      <c r="B77" s="934" t="s">
        <v>1107</v>
      </c>
      <c r="C77" s="942">
        <v>3.2466061139633191</v>
      </c>
      <c r="D77" s="942">
        <v>2.9583004723272714</v>
      </c>
      <c r="E77" s="942"/>
      <c r="F77" s="977"/>
      <c r="G77" s="964"/>
      <c r="H77" s="947"/>
    </row>
    <row r="78" spans="1:25" s="5" customFormat="1" x14ac:dyDescent="0.2">
      <c r="A78" s="937"/>
      <c r="B78" s="934" t="s">
        <v>1108</v>
      </c>
      <c r="C78" s="943">
        <v>7.9248807703488993</v>
      </c>
      <c r="D78" s="943">
        <v>7.6804682153469859</v>
      </c>
      <c r="E78" s="942"/>
      <c r="F78" s="977"/>
      <c r="G78" s="964"/>
      <c r="H78" s="947"/>
    </row>
    <row r="79" spans="1:25" s="5" customFormat="1" x14ac:dyDescent="0.2">
      <c r="A79" s="937" t="s">
        <v>990</v>
      </c>
      <c r="E79" s="942"/>
      <c r="F79" s="977"/>
      <c r="G79" s="964"/>
      <c r="H79" s="947"/>
    </row>
    <row r="80" spans="1:25" s="5" customFormat="1" x14ac:dyDescent="0.2">
      <c r="A80" s="1022"/>
      <c r="B80" s="934" t="s">
        <v>1092</v>
      </c>
      <c r="C80" s="943">
        <v>0.17143510984147675</v>
      </c>
      <c r="D80" s="943">
        <v>0.21619026324034582</v>
      </c>
      <c r="E80" s="1023"/>
      <c r="F80" s="1023"/>
      <c r="G80" s="1023"/>
      <c r="H80" s="947"/>
    </row>
    <row r="81" spans="1:26" s="5" customFormat="1" x14ac:dyDescent="0.2">
      <c r="A81" s="937"/>
      <c r="B81" s="934" t="s">
        <v>1025</v>
      </c>
      <c r="C81" s="944">
        <v>13973296</v>
      </c>
      <c r="D81" s="944">
        <v>19977215</v>
      </c>
      <c r="E81" s="942"/>
      <c r="F81" s="977"/>
      <c r="G81" s="964"/>
      <c r="H81" s="947"/>
    </row>
    <row r="82" spans="1:26" s="5" customFormat="1" x14ac:dyDescent="0.2">
      <c r="A82" s="937"/>
      <c r="B82" s="934" t="s">
        <v>1109</v>
      </c>
      <c r="C82" s="950">
        <v>1.2268766784978773E-2</v>
      </c>
      <c r="D82" s="950">
        <v>1.0821841945453648E-2</v>
      </c>
      <c r="E82" s="942"/>
      <c r="F82" s="977"/>
      <c r="G82" s="964"/>
      <c r="H82" s="947"/>
    </row>
    <row r="83" spans="1:26" s="5" customFormat="1" x14ac:dyDescent="0.2">
      <c r="A83" s="937" t="s">
        <v>991</v>
      </c>
      <c r="E83" s="942"/>
      <c r="F83" s="977"/>
      <c r="G83" s="964"/>
      <c r="H83" s="947"/>
    </row>
    <row r="84" spans="1:26" s="5" customFormat="1" x14ac:dyDescent="0.2">
      <c r="A84" s="1022"/>
      <c r="B84" s="934" t="s">
        <v>1092</v>
      </c>
      <c r="C84" s="1783">
        <v>-0.4434678928179952</v>
      </c>
      <c r="D84" s="1783"/>
      <c r="E84" s="1023"/>
      <c r="F84" s="1023"/>
      <c r="G84" s="1023"/>
      <c r="H84" s="947"/>
    </row>
    <row r="85" spans="1:26" s="5" customFormat="1" x14ac:dyDescent="0.2">
      <c r="A85" s="937" t="s">
        <v>992</v>
      </c>
      <c r="E85" s="942"/>
      <c r="F85" s="977"/>
      <c r="G85" s="964"/>
      <c r="H85" s="947"/>
    </row>
    <row r="86" spans="1:26" s="5" customFormat="1" x14ac:dyDescent="0.2">
      <c r="A86" s="1022"/>
      <c r="B86" s="934" t="s">
        <v>1092</v>
      </c>
      <c r="C86" s="943">
        <v>0.21423546650713612</v>
      </c>
      <c r="D86" s="943">
        <v>0.21278480998784158</v>
      </c>
      <c r="E86" s="1023"/>
      <c r="F86" s="1023"/>
      <c r="G86" s="1023"/>
      <c r="H86" s="947"/>
    </row>
    <row r="87" spans="1:26" s="5" customFormat="1" x14ac:dyDescent="0.2">
      <c r="A87" s="939" t="s">
        <v>986</v>
      </c>
      <c r="B87" s="939"/>
      <c r="C87" s="939"/>
      <c r="D87" s="939"/>
      <c r="E87" s="1012"/>
      <c r="F87" s="1012"/>
      <c r="G87" s="1012"/>
      <c r="H87" s="933"/>
    </row>
    <row r="88" spans="1:26" s="66" customFormat="1" x14ac:dyDescent="0.2">
      <c r="A88" s="937" t="s">
        <v>1032</v>
      </c>
      <c r="B88" s="946"/>
      <c r="C88" s="946"/>
      <c r="D88" s="946"/>
      <c r="E88" s="946"/>
      <c r="F88" s="946"/>
      <c r="G88" s="946"/>
      <c r="H88" s="947"/>
    </row>
    <row r="89" spans="1:26" s="5" customFormat="1" x14ac:dyDescent="0.2">
      <c r="A89" s="946"/>
      <c r="B89" s="934" t="s">
        <v>1110</v>
      </c>
      <c r="C89" s="942" t="s">
        <v>987</v>
      </c>
      <c r="D89" s="948">
        <v>24</v>
      </c>
      <c r="E89" s="942"/>
      <c r="F89" s="977"/>
      <c r="G89" s="964"/>
      <c r="H89" s="933"/>
    </row>
    <row r="90" spans="1:26" s="5" customFormat="1" x14ac:dyDescent="0.2">
      <c r="A90" s="946"/>
      <c r="B90" s="934" t="s">
        <v>1098</v>
      </c>
      <c r="C90" s="942" t="s">
        <v>987</v>
      </c>
      <c r="D90" s="948">
        <v>12.737217406256734</v>
      </c>
      <c r="E90" s="942"/>
      <c r="F90" s="977"/>
      <c r="G90" s="964"/>
      <c r="H90" s="933"/>
    </row>
    <row r="91" spans="1:26" s="5" customFormat="1" x14ac:dyDescent="0.2">
      <c r="A91" s="937" t="s">
        <v>1043</v>
      </c>
      <c r="B91" s="934"/>
      <c r="C91" s="942"/>
      <c r="D91" s="948"/>
      <c r="E91" s="942"/>
      <c r="F91" s="977"/>
      <c r="G91" s="964"/>
      <c r="H91" s="933"/>
    </row>
    <row r="92" spans="1:26" s="5" customFormat="1" x14ac:dyDescent="0.2">
      <c r="A92" s="946"/>
      <c r="B92" s="934" t="s">
        <v>1044</v>
      </c>
      <c r="C92" s="942"/>
      <c r="D92" s="948">
        <v>2.5</v>
      </c>
      <c r="E92" s="942"/>
      <c r="F92" s="977"/>
      <c r="G92" s="964"/>
      <c r="H92" s="933"/>
    </row>
    <row r="93" spans="1:26" s="5" customFormat="1" x14ac:dyDescent="0.2">
      <c r="A93" s="946"/>
      <c r="B93" s="934" t="s">
        <v>1045</v>
      </c>
      <c r="C93" s="942"/>
      <c r="D93" s="948">
        <v>1.7</v>
      </c>
      <c r="E93" s="942"/>
      <c r="F93" s="977"/>
      <c r="G93" s="964"/>
      <c r="H93" s="933"/>
    </row>
    <row r="94" spans="1:26" s="5" customFormat="1" x14ac:dyDescent="0.2">
      <c r="A94" s="946"/>
      <c r="B94" s="934" t="s">
        <v>1046</v>
      </c>
      <c r="C94" s="942"/>
      <c r="D94" s="942">
        <v>1.3267934798184098</v>
      </c>
      <c r="E94" s="942"/>
      <c r="F94" s="977"/>
      <c r="G94" s="964"/>
      <c r="H94" s="933"/>
    </row>
    <row r="95" spans="1:26" s="5" customFormat="1" x14ac:dyDescent="0.2">
      <c r="A95" s="946"/>
      <c r="B95" s="934" t="s">
        <v>1047</v>
      </c>
      <c r="C95" s="942"/>
      <c r="D95" s="942">
        <v>0.90221956627651867</v>
      </c>
      <c r="E95" s="942"/>
      <c r="F95" s="977"/>
      <c r="G95" s="964"/>
      <c r="H95" s="933"/>
    </row>
    <row r="96" spans="1:26" s="5" customFormat="1" x14ac:dyDescent="0.2">
      <c r="A96" s="937" t="s">
        <v>1033</v>
      </c>
      <c r="B96" s="934"/>
      <c r="C96" s="942"/>
      <c r="D96" s="948"/>
      <c r="E96" s="942"/>
      <c r="F96" s="977"/>
      <c r="G96" s="964"/>
      <c r="H96" s="933"/>
      <c r="X96" s="5">
        <v>2003</v>
      </c>
      <c r="Y96" s="5">
        <v>2008</v>
      </c>
      <c r="Z96" s="5">
        <v>2010</v>
      </c>
    </row>
    <row r="97" spans="1:26" s="5" customFormat="1" x14ac:dyDescent="0.2">
      <c r="A97" s="937"/>
      <c r="B97" s="934" t="s">
        <v>1042</v>
      </c>
      <c r="C97" s="954">
        <v>0.36241227371688017</v>
      </c>
      <c r="D97" s="954">
        <v>0.48307060400431373</v>
      </c>
      <c r="E97" s="942"/>
      <c r="F97" s="977"/>
      <c r="G97" s="964"/>
      <c r="H97" s="933"/>
      <c r="W97" s="678" t="s">
        <v>1139</v>
      </c>
      <c r="X97" s="1044">
        <f>C41</f>
        <v>60.825032397460191</v>
      </c>
      <c r="Y97" s="1044">
        <f>D41</f>
        <v>60.689448662934858</v>
      </c>
      <c r="Z97" s="1044">
        <f>E41</f>
        <v>64.98941698667447</v>
      </c>
    </row>
    <row r="98" spans="1:26" s="5" customFormat="1" x14ac:dyDescent="0.2">
      <c r="A98" s="937"/>
      <c r="B98" s="934" t="s">
        <v>1030</v>
      </c>
      <c r="C98" s="944">
        <v>158802.38305379415</v>
      </c>
      <c r="D98" s="944">
        <v>274152.25376414263</v>
      </c>
      <c r="E98" s="942"/>
      <c r="F98" s="977"/>
      <c r="G98" s="964"/>
      <c r="H98" s="933"/>
      <c r="W98" s="678" t="s">
        <v>1140</v>
      </c>
      <c r="X98" s="5">
        <v>0.42117242861944132</v>
      </c>
      <c r="Y98" s="5">
        <v>0.42951235377527697</v>
      </c>
      <c r="Z98" s="5">
        <v>0.46984850852436194</v>
      </c>
    </row>
    <row r="99" spans="1:26" s="5" customFormat="1" x14ac:dyDescent="0.2">
      <c r="A99" s="946"/>
      <c r="B99" s="934" t="s">
        <v>1031</v>
      </c>
      <c r="C99" s="943">
        <v>8.9731382319337305E-2</v>
      </c>
      <c r="D99" s="943">
        <v>0.14549736910871461</v>
      </c>
      <c r="E99" s="942"/>
      <c r="F99" s="977"/>
      <c r="G99" s="964"/>
      <c r="H99" s="933"/>
    </row>
    <row r="100" spans="1:26" s="5" customFormat="1" x14ac:dyDescent="0.2">
      <c r="A100" s="946"/>
      <c r="B100" s="934" t="s">
        <v>1052</v>
      </c>
      <c r="C100" s="942">
        <v>-3.3075982956291075</v>
      </c>
      <c r="D100" s="948">
        <v>-2.7351135402616058</v>
      </c>
      <c r="E100" s="942"/>
      <c r="F100" s="977"/>
      <c r="G100" s="964"/>
      <c r="H100" s="933"/>
    </row>
    <row r="101" spans="1:26" s="5" customFormat="1" x14ac:dyDescent="0.2">
      <c r="A101" s="946"/>
      <c r="B101" s="934" t="s">
        <v>1050</v>
      </c>
      <c r="C101" s="949">
        <v>-0.52525449153057024</v>
      </c>
      <c r="D101" s="949">
        <v>-0.7498375413635423</v>
      </c>
      <c r="E101" s="942"/>
      <c r="F101" s="977"/>
      <c r="G101" s="964"/>
      <c r="H101" s="933"/>
    </row>
    <row r="102" spans="1:26" s="5" customFormat="1" x14ac:dyDescent="0.2">
      <c r="A102" s="946"/>
      <c r="B102" s="934" t="s">
        <v>1051</v>
      </c>
      <c r="C102" s="949">
        <v>-0.29679536722388389</v>
      </c>
      <c r="D102" s="949">
        <v>-0.39795182432168602</v>
      </c>
      <c r="E102" s="942"/>
      <c r="F102" s="977"/>
      <c r="G102" s="964"/>
      <c r="H102" s="933"/>
    </row>
    <row r="103" spans="1:26" s="5" customFormat="1" x14ac:dyDescent="0.2">
      <c r="A103" s="946"/>
      <c r="B103" s="934" t="s">
        <v>1048</v>
      </c>
      <c r="C103" s="956">
        <v>92282.412764431268</v>
      </c>
      <c r="D103" s="956">
        <v>135779.36585177138</v>
      </c>
      <c r="E103" s="942"/>
      <c r="F103" s="977"/>
      <c r="G103" s="964"/>
      <c r="H103" s="933"/>
    </row>
    <row r="104" spans="1:26" s="5" customFormat="1" x14ac:dyDescent="0.2">
      <c r="A104" s="946"/>
      <c r="B104" s="934" t="s">
        <v>1031</v>
      </c>
      <c r="C104" s="943">
        <v>5.214423298868897E-2</v>
      </c>
      <c r="D104" s="943">
        <v>7.2060470922403475E-2</v>
      </c>
      <c r="E104" s="942"/>
      <c r="F104" s="977"/>
      <c r="G104" s="964"/>
      <c r="H104" s="933"/>
    </row>
    <row r="105" spans="1:26" s="5" customFormat="1" x14ac:dyDescent="0.2">
      <c r="A105" s="946"/>
      <c r="B105" s="934" t="s">
        <v>1053</v>
      </c>
      <c r="C105" s="943">
        <v>-1.8894857579122574E-2</v>
      </c>
      <c r="D105" s="943">
        <v>-2.9591033024463583E-2</v>
      </c>
      <c r="E105" s="942"/>
      <c r="F105" s="977"/>
      <c r="G105" s="964"/>
      <c r="H105" s="933"/>
    </row>
    <row r="106" spans="1:26" s="5" customFormat="1" x14ac:dyDescent="0.2">
      <c r="A106" s="946"/>
      <c r="B106" s="934" t="s">
        <v>1051</v>
      </c>
      <c r="C106" s="955">
        <v>-1.0676550670699569E-2</v>
      </c>
      <c r="D106" s="955">
        <v>-1.5704475871179808E-2</v>
      </c>
      <c r="E106" s="942"/>
      <c r="F106" s="977"/>
      <c r="G106" s="964"/>
      <c r="H106" s="933"/>
    </row>
    <row r="107" spans="1:26" s="5" customFormat="1" x14ac:dyDescent="0.2">
      <c r="A107" s="946"/>
      <c r="B107" s="934" t="s">
        <v>1049</v>
      </c>
      <c r="C107" s="955">
        <v>-0.20475036372700134</v>
      </c>
      <c r="D107" s="955">
        <v>-0.21793468277623082</v>
      </c>
      <c r="E107" s="942"/>
      <c r="F107" s="977"/>
      <c r="G107" s="964"/>
      <c r="H107" s="933"/>
    </row>
    <row r="108" spans="1:26" s="5" customFormat="1" x14ac:dyDescent="0.2">
      <c r="A108" s="946"/>
      <c r="B108" s="934"/>
      <c r="C108" s="949"/>
      <c r="D108" s="949"/>
      <c r="E108" s="942"/>
      <c r="F108" s="977"/>
      <c r="G108" s="964"/>
      <c r="H108" s="933"/>
    </row>
    <row r="109" spans="1:26" s="5" customFormat="1" x14ac:dyDescent="0.2">
      <c r="A109" s="937" t="s">
        <v>1041</v>
      </c>
      <c r="B109" s="934"/>
      <c r="C109" s="942"/>
      <c r="D109" s="948"/>
      <c r="E109" s="942"/>
      <c r="F109" s="977"/>
      <c r="G109" s="964"/>
      <c r="H109" s="933"/>
    </row>
    <row r="110" spans="1:26" s="5" customFormat="1" x14ac:dyDescent="0.2">
      <c r="A110" s="937"/>
      <c r="B110" s="934" t="s">
        <v>979</v>
      </c>
      <c r="C110" s="942" t="e">
        <f>'Trans- Air'!B46/10^6</f>
        <v>#REF!</v>
      </c>
      <c r="D110" s="948" t="e">
        <f>'Trans- Air'!F46/10^6</f>
        <v>#REF!</v>
      </c>
      <c r="E110" s="942"/>
      <c r="F110" s="977"/>
      <c r="G110" s="964"/>
      <c r="H110" s="933"/>
    </row>
    <row r="111" spans="1:26" s="5" customFormat="1" x14ac:dyDescent="0.2">
      <c r="A111" s="937"/>
      <c r="B111" s="934" t="s">
        <v>983</v>
      </c>
      <c r="C111" s="942" t="e">
        <f>C110*10^6/popKC03</f>
        <v>#REF!</v>
      </c>
      <c r="D111" s="942" t="e">
        <f>D110*10^6/popKC08</f>
        <v>#REF!</v>
      </c>
      <c r="E111" s="942"/>
      <c r="F111" s="977"/>
      <c r="G111" s="964"/>
      <c r="H111" s="933"/>
    </row>
    <row r="112" spans="1:26" s="5" customFormat="1" x14ac:dyDescent="0.2">
      <c r="A112" s="937" t="s">
        <v>1035</v>
      </c>
      <c r="B112" s="934"/>
      <c r="C112" s="949"/>
      <c r="D112" s="949"/>
      <c r="E112" s="942"/>
      <c r="F112" s="977"/>
      <c r="G112" s="964"/>
      <c r="H112" s="933"/>
    </row>
    <row r="113" spans="1:8" s="5" customFormat="1" x14ac:dyDescent="0.2">
      <c r="A113" s="946"/>
      <c r="B113" s="934" t="s">
        <v>1029</v>
      </c>
      <c r="C113" s="942" t="s">
        <v>987</v>
      </c>
      <c r="D113" s="949">
        <f>D89+D101</f>
        <v>23.250162458636456</v>
      </c>
      <c r="E113" s="942"/>
      <c r="F113" s="977"/>
      <c r="G113" s="964"/>
      <c r="H113" s="933"/>
    </row>
    <row r="114" spans="1:8" s="5" customFormat="1" x14ac:dyDescent="0.2">
      <c r="A114" s="946"/>
      <c r="B114" s="934" t="s">
        <v>983</v>
      </c>
      <c r="C114" s="942" t="s">
        <v>987</v>
      </c>
      <c r="D114" s="949">
        <f>D90+D102</f>
        <v>12.339265581935049</v>
      </c>
      <c r="E114" s="942"/>
      <c r="F114" s="977"/>
      <c r="G114" s="964"/>
      <c r="H114" s="933"/>
    </row>
    <row r="115" spans="1:8" s="5" customFormat="1" x14ac:dyDescent="0.2">
      <c r="A115" s="946"/>
      <c r="B115" s="934"/>
      <c r="C115" s="948"/>
      <c r="D115" s="948"/>
      <c r="E115" s="942"/>
      <c r="F115" s="977"/>
      <c r="G115" s="964"/>
    </row>
    <row r="116" spans="1:8" s="5" customFormat="1" x14ac:dyDescent="0.2">
      <c r="B116" s="678"/>
    </row>
    <row r="117" spans="1:8" x14ac:dyDescent="0.2">
      <c r="A117" s="928"/>
      <c r="B117" s="929"/>
      <c r="C117" s="928"/>
      <c r="D117" s="928"/>
      <c r="E117" s="928"/>
      <c r="F117" s="928"/>
      <c r="G117" s="928"/>
      <c r="H117" s="928"/>
    </row>
    <row r="121" spans="1:8" x14ac:dyDescent="0.2">
      <c r="A121" s="505"/>
      <c r="B121" s="953"/>
      <c r="C121" s="208"/>
      <c r="D121" s="208"/>
      <c r="E121" s="5"/>
      <c r="F121" s="5"/>
      <c r="G121" s="5"/>
    </row>
    <row r="122" spans="1:8" x14ac:dyDescent="0.2">
      <c r="A122" s="443"/>
      <c r="B122" s="953"/>
      <c r="C122" s="208"/>
      <c r="D122" s="208"/>
      <c r="E122" s="5"/>
      <c r="F122" s="5"/>
      <c r="G122" s="5"/>
    </row>
    <row r="123" spans="1:8" x14ac:dyDescent="0.2">
      <c r="A123" s="505"/>
      <c r="B123" s="953"/>
      <c r="C123" s="208"/>
      <c r="D123" s="208"/>
      <c r="E123" s="5"/>
      <c r="F123" s="5"/>
      <c r="G123" s="5"/>
    </row>
    <row r="124" spans="1:8" x14ac:dyDescent="0.2">
      <c r="A124" s="488"/>
      <c r="B124" s="953"/>
      <c r="C124" s="208"/>
      <c r="D124" s="208"/>
      <c r="E124" s="5"/>
      <c r="F124" s="5"/>
      <c r="G124" s="5"/>
    </row>
    <row r="125" spans="1:8" x14ac:dyDescent="0.2">
      <c r="A125" s="505"/>
      <c r="B125" s="953"/>
      <c r="C125" s="208"/>
      <c r="D125" s="208"/>
      <c r="E125" s="5"/>
      <c r="F125" s="5"/>
      <c r="G125" s="5"/>
    </row>
    <row r="126" spans="1:8" x14ac:dyDescent="0.2">
      <c r="A126" s="505"/>
      <c r="B126" s="953"/>
      <c r="C126" s="208"/>
      <c r="D126" s="208"/>
      <c r="E126" s="5"/>
      <c r="F126" s="5"/>
      <c r="G126" s="5"/>
    </row>
    <row r="127" spans="1:8" x14ac:dyDescent="0.2">
      <c r="A127" s="505"/>
      <c r="B127" s="953"/>
      <c r="C127" s="208"/>
      <c r="D127" s="208"/>
      <c r="E127" s="5"/>
      <c r="F127" s="5"/>
      <c r="G127" s="5"/>
    </row>
    <row r="128" spans="1:8" x14ac:dyDescent="0.2">
      <c r="A128" s="505"/>
      <c r="B128" s="953"/>
      <c r="C128" s="208"/>
      <c r="D128" s="208"/>
      <c r="E128" s="5"/>
      <c r="F128" s="5"/>
      <c r="G128" s="5"/>
    </row>
    <row r="129" spans="1:7" x14ac:dyDescent="0.2">
      <c r="A129" s="505"/>
      <c r="B129" s="953"/>
      <c r="C129" s="208"/>
      <c r="D129" s="208"/>
      <c r="E129" s="5"/>
      <c r="F129" s="5"/>
      <c r="G129" s="5"/>
    </row>
    <row r="130" spans="1:7" x14ac:dyDescent="0.2">
      <c r="A130" s="5"/>
      <c r="B130" s="678"/>
      <c r="C130" s="5"/>
      <c r="D130" s="5"/>
      <c r="E130" s="5"/>
      <c r="F130" s="5"/>
      <c r="G130" s="5"/>
    </row>
    <row r="131" spans="1:7" x14ac:dyDescent="0.2">
      <c r="A131" s="5"/>
      <c r="B131" s="678"/>
      <c r="C131" s="5"/>
      <c r="D131" s="5"/>
      <c r="E131" s="5"/>
      <c r="F131" s="5"/>
      <c r="G131" s="5"/>
    </row>
    <row r="132" spans="1:7" x14ac:dyDescent="0.2">
      <c r="A132" s="5"/>
      <c r="B132" s="678"/>
      <c r="C132" s="5"/>
      <c r="D132" s="5"/>
      <c r="E132" s="5"/>
      <c r="F132" s="5"/>
      <c r="G132" s="5"/>
    </row>
    <row r="133" spans="1:7" x14ac:dyDescent="0.2">
      <c r="A133" s="5"/>
      <c r="B133" s="678"/>
      <c r="C133" s="5"/>
      <c r="D133" s="5"/>
      <c r="E133" s="5"/>
      <c r="F133" s="5"/>
      <c r="G133" s="5"/>
    </row>
    <row r="134" spans="1:7" x14ac:dyDescent="0.2">
      <c r="A134" s="5"/>
      <c r="B134" s="678"/>
      <c r="C134" s="5"/>
      <c r="D134" s="5"/>
      <c r="E134" s="5"/>
      <c r="F134" s="5"/>
      <c r="G134" s="5"/>
    </row>
    <row r="135" spans="1:7" x14ac:dyDescent="0.2">
      <c r="A135" s="5"/>
      <c r="B135" s="678"/>
      <c r="C135" s="5"/>
      <c r="D135" s="5"/>
      <c r="E135" s="5"/>
      <c r="F135" s="5"/>
      <c r="G135" s="5"/>
    </row>
    <row r="136" spans="1:7" x14ac:dyDescent="0.2">
      <c r="A136" s="5"/>
      <c r="B136" s="678"/>
      <c r="C136" s="5"/>
      <c r="D136" s="5"/>
      <c r="E136" s="5"/>
      <c r="F136" s="5"/>
      <c r="G136" s="5"/>
    </row>
  </sheetData>
  <mergeCells count="14">
    <mergeCell ref="A4:D4"/>
    <mergeCell ref="A5:B5"/>
    <mergeCell ref="A20:B20"/>
    <mergeCell ref="A44:B44"/>
    <mergeCell ref="C84:D84"/>
    <mergeCell ref="C59:D59"/>
    <mergeCell ref="C60:D60"/>
    <mergeCell ref="C61:D61"/>
    <mergeCell ref="C63:D63"/>
    <mergeCell ref="C64:D64"/>
    <mergeCell ref="C65:D65"/>
    <mergeCell ref="C67:D67"/>
    <mergeCell ref="C68:D68"/>
    <mergeCell ref="C69:D69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4"/>
  <sheetViews>
    <sheetView workbookViewId="0">
      <selection activeCell="F19" sqref="F19"/>
    </sheetView>
  </sheetViews>
  <sheetFormatPr defaultRowHeight="12" x14ac:dyDescent="0.2"/>
  <cols>
    <col min="1" max="1" width="40.42578125" bestFit="1" customWidth="1"/>
    <col min="2" max="2" width="19.7109375" style="1" bestFit="1" customWidth="1"/>
    <col min="6" max="6" width="11.140625" customWidth="1"/>
    <col min="7" max="7" width="9.140625" style="137"/>
  </cols>
  <sheetData>
    <row r="1" spans="1:8" ht="23.25" x14ac:dyDescent="0.2">
      <c r="A1" s="1270" t="s">
        <v>1231</v>
      </c>
    </row>
    <row r="2" spans="1:8" ht="20.25" x14ac:dyDescent="0.2">
      <c r="A2" s="1270"/>
      <c r="C2" s="1829" t="s">
        <v>490</v>
      </c>
      <c r="D2" s="1801"/>
      <c r="E2" s="1830"/>
      <c r="F2" s="1831"/>
    </row>
    <row r="3" spans="1:8" x14ac:dyDescent="0.2">
      <c r="A3" s="1271" t="s">
        <v>1232</v>
      </c>
      <c r="B3" s="1272" t="s">
        <v>1233</v>
      </c>
      <c r="C3" s="1271" t="s">
        <v>974</v>
      </c>
      <c r="D3" s="1271" t="s">
        <v>973</v>
      </c>
      <c r="E3" s="1271" t="s">
        <v>486</v>
      </c>
      <c r="F3" s="1271" t="s">
        <v>1234</v>
      </c>
      <c r="G3" s="1273" t="s">
        <v>512</v>
      </c>
      <c r="H3" s="64"/>
    </row>
    <row r="4" spans="1:8" x14ac:dyDescent="0.2">
      <c r="A4" s="64" t="s">
        <v>1235</v>
      </c>
      <c r="B4" s="552" t="s">
        <v>1236</v>
      </c>
      <c r="C4">
        <v>3.5999999999999999E-3</v>
      </c>
      <c r="D4">
        <v>1.7299999999999999E-2</v>
      </c>
      <c r="E4" t="s">
        <v>1237</v>
      </c>
      <c r="F4" t="s">
        <v>1238</v>
      </c>
      <c r="G4" s="137" t="s">
        <v>1239</v>
      </c>
    </row>
    <row r="5" spans="1:8" x14ac:dyDescent="0.2">
      <c r="A5" s="64"/>
      <c r="B5" s="552" t="s">
        <v>1240</v>
      </c>
      <c r="C5">
        <v>1.4999999999999999E-2</v>
      </c>
      <c r="D5">
        <v>1.0500000000000001E-2</v>
      </c>
      <c r="E5" t="s">
        <v>1237</v>
      </c>
      <c r="F5" t="s">
        <v>1238</v>
      </c>
      <c r="G5" s="137" t="s">
        <v>1239</v>
      </c>
    </row>
    <row r="6" spans="1:8" x14ac:dyDescent="0.2">
      <c r="A6" s="64"/>
      <c r="B6" s="552" t="s">
        <v>1241</v>
      </c>
      <c r="C6">
        <v>4.2900000000000001E-2</v>
      </c>
      <c r="D6">
        <v>2.7099999999999999E-2</v>
      </c>
      <c r="E6" t="s">
        <v>1237</v>
      </c>
      <c r="F6" t="s">
        <v>1238</v>
      </c>
      <c r="G6" s="137" t="s">
        <v>1239</v>
      </c>
    </row>
    <row r="7" spans="1:8" x14ac:dyDescent="0.2">
      <c r="A7" s="64"/>
      <c r="B7" s="552" t="s">
        <v>1242</v>
      </c>
      <c r="C7">
        <v>6.4699999999999994E-2</v>
      </c>
      <c r="D7">
        <v>7.0400000000000004E-2</v>
      </c>
      <c r="E7" t="s">
        <v>1237</v>
      </c>
      <c r="F7" t="s">
        <v>1238</v>
      </c>
      <c r="G7" s="137" t="s">
        <v>1239</v>
      </c>
    </row>
    <row r="8" spans="1:8" x14ac:dyDescent="0.2">
      <c r="A8" s="64"/>
      <c r="B8" s="552" t="s">
        <v>1243</v>
      </c>
      <c r="C8">
        <v>5.04E-2</v>
      </c>
      <c r="D8">
        <v>0.13550000000000001</v>
      </c>
      <c r="E8" t="s">
        <v>1237</v>
      </c>
      <c r="F8" t="s">
        <v>1238</v>
      </c>
      <c r="G8" s="137" t="s">
        <v>1239</v>
      </c>
    </row>
    <row r="9" spans="1:8" x14ac:dyDescent="0.2">
      <c r="A9" s="64"/>
      <c r="B9" s="552" t="s">
        <v>1244</v>
      </c>
      <c r="C9">
        <v>1.9699999999999999E-2</v>
      </c>
      <c r="D9">
        <v>0.1696</v>
      </c>
      <c r="E9" t="s">
        <v>1237</v>
      </c>
      <c r="F9" t="s">
        <v>1238</v>
      </c>
      <c r="G9" s="137" t="s">
        <v>1239</v>
      </c>
    </row>
    <row r="10" spans="1:8" x14ac:dyDescent="0.2">
      <c r="A10" s="64"/>
      <c r="B10" s="552" t="s">
        <v>1245</v>
      </c>
      <c r="C10">
        <v>1.9699999999999999E-2</v>
      </c>
      <c r="D10">
        <v>0.17799999999999999</v>
      </c>
      <c r="E10" t="s">
        <v>1237</v>
      </c>
      <c r="F10" t="s">
        <v>1238</v>
      </c>
      <c r="G10" s="137" t="s">
        <v>1239</v>
      </c>
    </row>
    <row r="11" spans="1:8" x14ac:dyDescent="0.2">
      <c r="A11" s="64" t="s">
        <v>1246</v>
      </c>
      <c r="B11" s="552" t="s">
        <v>1236</v>
      </c>
      <c r="C11">
        <v>6.6E-3</v>
      </c>
      <c r="D11">
        <v>1.6299999999999999E-2</v>
      </c>
      <c r="E11" t="s">
        <v>1237</v>
      </c>
      <c r="F11" t="s">
        <v>1238</v>
      </c>
      <c r="G11" s="137" t="s">
        <v>1239</v>
      </c>
    </row>
    <row r="12" spans="1:8" x14ac:dyDescent="0.2">
      <c r="A12" s="64"/>
      <c r="B12" s="552" t="s">
        <v>1240</v>
      </c>
      <c r="C12">
        <v>1.5699999999999999E-2</v>
      </c>
      <c r="D12">
        <v>1.4800000000000001E-2</v>
      </c>
      <c r="E12" t="s">
        <v>1237</v>
      </c>
      <c r="F12" t="s">
        <v>1238</v>
      </c>
      <c r="G12" s="137" t="s">
        <v>1239</v>
      </c>
    </row>
    <row r="13" spans="1:8" x14ac:dyDescent="0.2">
      <c r="A13" s="64"/>
      <c r="B13" s="552" t="s">
        <v>1241</v>
      </c>
      <c r="C13">
        <v>8.7099999999999997E-2</v>
      </c>
      <c r="D13">
        <v>4.5199999999999997E-2</v>
      </c>
      <c r="E13" t="s">
        <v>1237</v>
      </c>
      <c r="F13" t="s">
        <v>1238</v>
      </c>
      <c r="G13" s="137" t="s">
        <v>1239</v>
      </c>
    </row>
    <row r="14" spans="1:8" x14ac:dyDescent="0.2">
      <c r="A14" s="64"/>
      <c r="B14" s="552" t="s">
        <v>1242</v>
      </c>
      <c r="C14">
        <v>0.1056</v>
      </c>
      <c r="D14">
        <v>7.7600000000000002E-2</v>
      </c>
      <c r="E14" t="s">
        <v>1237</v>
      </c>
      <c r="F14" t="s">
        <v>1238</v>
      </c>
      <c r="G14" s="137" t="s">
        <v>1239</v>
      </c>
    </row>
    <row r="15" spans="1:8" x14ac:dyDescent="0.2">
      <c r="A15" s="64"/>
      <c r="B15" s="552" t="s">
        <v>1243</v>
      </c>
      <c r="C15">
        <v>6.3899999999999998E-2</v>
      </c>
      <c r="D15">
        <v>0.15160000000000001</v>
      </c>
      <c r="E15" t="s">
        <v>1237</v>
      </c>
      <c r="F15" t="s">
        <v>1238</v>
      </c>
      <c r="G15" s="137" t="s">
        <v>1239</v>
      </c>
    </row>
    <row r="16" spans="1:8" x14ac:dyDescent="0.2">
      <c r="A16" s="64"/>
      <c r="B16" s="552" t="s">
        <v>1244</v>
      </c>
      <c r="C16">
        <v>2.18E-2</v>
      </c>
      <c r="D16">
        <v>0.1908</v>
      </c>
      <c r="E16" t="s">
        <v>1237</v>
      </c>
      <c r="F16" t="s">
        <v>1238</v>
      </c>
      <c r="G16" s="137" t="s">
        <v>1239</v>
      </c>
    </row>
    <row r="17" spans="1:7" x14ac:dyDescent="0.2">
      <c r="A17" s="64"/>
      <c r="B17" s="552" t="s">
        <v>1245</v>
      </c>
      <c r="C17">
        <v>2.1999999999999999E-2</v>
      </c>
      <c r="D17">
        <v>0.2024</v>
      </c>
      <c r="E17" t="s">
        <v>1237</v>
      </c>
      <c r="F17" t="s">
        <v>1238</v>
      </c>
      <c r="G17" s="137" t="s">
        <v>1239</v>
      </c>
    </row>
    <row r="18" spans="1:7" x14ac:dyDescent="0.2">
      <c r="A18" s="64" t="s">
        <v>1247</v>
      </c>
      <c r="B18" s="552" t="s">
        <v>1236</v>
      </c>
      <c r="C18">
        <v>1.34E-2</v>
      </c>
      <c r="D18">
        <v>3.3300000000000003E-2</v>
      </c>
      <c r="E18" t="s">
        <v>1237</v>
      </c>
      <c r="F18" t="s">
        <v>1238</v>
      </c>
      <c r="G18" s="137" t="s">
        <v>1239</v>
      </c>
    </row>
    <row r="19" spans="1:7" x14ac:dyDescent="0.2">
      <c r="A19" s="64"/>
      <c r="B19" s="552" t="s">
        <v>1240</v>
      </c>
      <c r="C19">
        <v>3.2000000000000001E-2</v>
      </c>
      <c r="D19">
        <v>3.0300000000000001E-2</v>
      </c>
      <c r="E19" t="s">
        <v>1237</v>
      </c>
      <c r="F19" t="s">
        <v>1238</v>
      </c>
      <c r="G19" s="137" t="s">
        <v>1239</v>
      </c>
    </row>
    <row r="20" spans="1:7" x14ac:dyDescent="0.2">
      <c r="A20" s="64"/>
      <c r="B20" s="552" t="s">
        <v>1241</v>
      </c>
      <c r="C20">
        <v>0.17499999999999999</v>
      </c>
      <c r="D20">
        <v>6.5500000000000003E-2</v>
      </c>
      <c r="E20" t="s">
        <v>1237</v>
      </c>
      <c r="F20" t="s">
        <v>1238</v>
      </c>
      <c r="G20" s="137" t="s">
        <v>1239</v>
      </c>
    </row>
    <row r="21" spans="1:7" x14ac:dyDescent="0.2">
      <c r="A21" s="64"/>
      <c r="B21" s="552" t="s">
        <v>1242</v>
      </c>
      <c r="C21">
        <v>0.2135</v>
      </c>
      <c r="D21">
        <v>0.26300000000000001</v>
      </c>
      <c r="E21" t="s">
        <v>1237</v>
      </c>
      <c r="F21" t="s">
        <v>1238</v>
      </c>
      <c r="G21" s="137" t="s">
        <v>1239</v>
      </c>
    </row>
    <row r="22" spans="1:7" x14ac:dyDescent="0.2">
      <c r="A22" s="64"/>
      <c r="B22" s="552" t="s">
        <v>1243</v>
      </c>
      <c r="C22">
        <v>0.13170000000000001</v>
      </c>
      <c r="D22">
        <v>0.2356</v>
      </c>
      <c r="E22" t="s">
        <v>1237</v>
      </c>
      <c r="F22" t="s">
        <v>1238</v>
      </c>
      <c r="G22" s="137" t="s">
        <v>1239</v>
      </c>
    </row>
    <row r="23" spans="1:7" x14ac:dyDescent="0.2">
      <c r="A23" s="64"/>
      <c r="B23" s="552" t="s">
        <v>1244</v>
      </c>
      <c r="C23">
        <v>4.7300000000000002E-2</v>
      </c>
      <c r="D23">
        <v>0.41810000000000003</v>
      </c>
      <c r="E23" t="s">
        <v>1237</v>
      </c>
      <c r="F23" t="s">
        <v>1238</v>
      </c>
      <c r="G23" s="137" t="s">
        <v>1239</v>
      </c>
    </row>
    <row r="24" spans="1:7" x14ac:dyDescent="0.2">
      <c r="A24" s="64"/>
      <c r="B24" s="552" t="s">
        <v>1245</v>
      </c>
      <c r="C24">
        <v>4.9700000000000001E-2</v>
      </c>
      <c r="D24">
        <v>0.46039999999999998</v>
      </c>
      <c r="E24" t="s">
        <v>1237</v>
      </c>
      <c r="F24" t="s">
        <v>1238</v>
      </c>
      <c r="G24" s="137" t="s">
        <v>1239</v>
      </c>
    </row>
    <row r="25" spans="1:7" x14ac:dyDescent="0.2">
      <c r="A25" s="64" t="s">
        <v>1248</v>
      </c>
      <c r="B25" s="552" t="s">
        <v>1249</v>
      </c>
      <c r="C25">
        <v>1E-3</v>
      </c>
      <c r="D25">
        <v>5.0000000000000001E-4</v>
      </c>
      <c r="E25" t="s">
        <v>1237</v>
      </c>
      <c r="F25" t="s">
        <v>1238</v>
      </c>
      <c r="G25" s="137" t="s">
        <v>1239</v>
      </c>
    </row>
    <row r="26" spans="1:7" x14ac:dyDescent="0.2">
      <c r="A26" s="64"/>
      <c r="B26" s="552" t="s">
        <v>1250</v>
      </c>
      <c r="C26">
        <v>1E-3</v>
      </c>
      <c r="D26">
        <v>5.0000000000000001E-4</v>
      </c>
      <c r="E26" t="s">
        <v>1237</v>
      </c>
      <c r="F26" t="s">
        <v>1238</v>
      </c>
      <c r="G26" s="137" t="s">
        <v>1239</v>
      </c>
    </row>
    <row r="27" spans="1:7" x14ac:dyDescent="0.2">
      <c r="A27" s="64"/>
      <c r="B27" s="552" t="s">
        <v>1245</v>
      </c>
      <c r="C27">
        <v>1.1999999999999999E-3</v>
      </c>
      <c r="D27">
        <v>5.9999999999999995E-4</v>
      </c>
      <c r="E27" t="s">
        <v>1237</v>
      </c>
      <c r="F27" t="s">
        <v>1238</v>
      </c>
      <c r="G27" s="137" t="s">
        <v>1239</v>
      </c>
    </row>
    <row r="28" spans="1:7" x14ac:dyDescent="0.2">
      <c r="A28" s="64" t="s">
        <v>1251</v>
      </c>
      <c r="B28" s="552" t="s">
        <v>1249</v>
      </c>
      <c r="C28">
        <v>1.5E-3</v>
      </c>
      <c r="D28">
        <v>1E-3</v>
      </c>
      <c r="E28" t="s">
        <v>1237</v>
      </c>
      <c r="F28" t="s">
        <v>1238</v>
      </c>
      <c r="G28" s="137" t="s">
        <v>1239</v>
      </c>
    </row>
    <row r="29" spans="1:7" x14ac:dyDescent="0.2">
      <c r="A29" s="64"/>
      <c r="B29" s="552" t="s">
        <v>1250</v>
      </c>
      <c r="C29">
        <v>1.4E-3</v>
      </c>
      <c r="D29">
        <v>8.9999999999999998E-4</v>
      </c>
      <c r="E29" t="s">
        <v>1237</v>
      </c>
      <c r="F29" t="s">
        <v>1238</v>
      </c>
      <c r="G29" s="137" t="s">
        <v>1239</v>
      </c>
    </row>
    <row r="30" spans="1:7" x14ac:dyDescent="0.2">
      <c r="A30" s="64"/>
      <c r="B30" s="552" t="s">
        <v>1245</v>
      </c>
      <c r="C30">
        <v>1.6999999999999999E-3</v>
      </c>
      <c r="D30">
        <v>1.1000000000000001E-3</v>
      </c>
      <c r="E30" t="s">
        <v>1237</v>
      </c>
      <c r="F30" t="s">
        <v>1238</v>
      </c>
      <c r="G30" s="137" t="s">
        <v>1239</v>
      </c>
    </row>
    <row r="31" spans="1:7" x14ac:dyDescent="0.2">
      <c r="A31" s="64" t="s">
        <v>1252</v>
      </c>
      <c r="B31" s="552" t="s">
        <v>1253</v>
      </c>
      <c r="C31">
        <v>4.7999999999999996E-3</v>
      </c>
      <c r="D31">
        <v>5.1000000000000004E-3</v>
      </c>
      <c r="E31" t="s">
        <v>1237</v>
      </c>
      <c r="F31" t="s">
        <v>1238</v>
      </c>
      <c r="G31" s="137" t="s">
        <v>1239</v>
      </c>
    </row>
    <row r="32" spans="1:7" x14ac:dyDescent="0.2">
      <c r="A32" s="64"/>
      <c r="B32" s="552" t="s">
        <v>1249</v>
      </c>
      <c r="C32">
        <v>4.7999999999999996E-3</v>
      </c>
      <c r="D32">
        <v>5.1000000000000004E-3</v>
      </c>
      <c r="E32" t="s">
        <v>1237</v>
      </c>
      <c r="F32" t="s">
        <v>1238</v>
      </c>
      <c r="G32" s="137" t="s">
        <v>1239</v>
      </c>
    </row>
    <row r="33" spans="1:7" x14ac:dyDescent="0.2">
      <c r="A33" s="64"/>
      <c r="B33" s="552" t="s">
        <v>1250</v>
      </c>
      <c r="C33">
        <v>4.7999999999999996E-3</v>
      </c>
      <c r="D33">
        <v>5.1000000000000004E-3</v>
      </c>
      <c r="E33" t="s">
        <v>1237</v>
      </c>
      <c r="F33" t="s">
        <v>1238</v>
      </c>
      <c r="G33" s="137" t="s">
        <v>1239</v>
      </c>
    </row>
    <row r="34" spans="1:7" x14ac:dyDescent="0.2">
      <c r="A34" s="64"/>
      <c r="B34" s="552" t="s">
        <v>1245</v>
      </c>
      <c r="C34">
        <v>4.7999999999999996E-3</v>
      </c>
      <c r="D34">
        <v>5.1000000000000004E-3</v>
      </c>
      <c r="E34" t="s">
        <v>1237</v>
      </c>
      <c r="F34" t="s">
        <v>1238</v>
      </c>
      <c r="G34" s="137" t="s">
        <v>1239</v>
      </c>
    </row>
    <row r="35" spans="1:7" x14ac:dyDescent="0.2">
      <c r="A35" s="64" t="s">
        <v>1254</v>
      </c>
      <c r="B35" s="552" t="s">
        <v>1244</v>
      </c>
      <c r="C35">
        <v>6.8999999999999999E-3</v>
      </c>
      <c r="D35">
        <v>6.7199999999999996E-2</v>
      </c>
      <c r="E35" t="s">
        <v>1237</v>
      </c>
      <c r="F35" t="s">
        <v>1238</v>
      </c>
      <c r="G35" s="137" t="s">
        <v>1239</v>
      </c>
    </row>
    <row r="36" spans="1:7" x14ac:dyDescent="0.2">
      <c r="A36" s="64"/>
      <c r="B36" s="552" t="s">
        <v>1245</v>
      </c>
      <c r="C36">
        <v>8.6999999999999994E-3</v>
      </c>
      <c r="D36">
        <v>8.9899999999999994E-2</v>
      </c>
      <c r="E36" t="s">
        <v>1237</v>
      </c>
      <c r="F36" t="s">
        <v>1238</v>
      </c>
      <c r="G36" s="137" t="s">
        <v>1239</v>
      </c>
    </row>
    <row r="37" spans="1:7" x14ac:dyDescent="0.2">
      <c r="A37" s="64"/>
      <c r="B37" s="552"/>
    </row>
    <row r="38" spans="1:7" x14ac:dyDescent="0.2">
      <c r="A38" s="64" t="s">
        <v>1255</v>
      </c>
      <c r="B38" s="552" t="s">
        <v>1256</v>
      </c>
      <c r="C38">
        <v>6.7000000000000004E-2</v>
      </c>
      <c r="D38">
        <v>1.7999999999999999E-2</v>
      </c>
      <c r="E38" t="s">
        <v>1237</v>
      </c>
      <c r="F38" t="s">
        <v>1257</v>
      </c>
      <c r="G38" s="137" t="s">
        <v>1258</v>
      </c>
    </row>
    <row r="39" spans="1:7" x14ac:dyDescent="0.2">
      <c r="A39" s="64"/>
      <c r="B39" s="552" t="s">
        <v>264</v>
      </c>
      <c r="C39">
        <v>0.05</v>
      </c>
      <c r="D39">
        <v>0.73699999999999999</v>
      </c>
      <c r="E39" t="s">
        <v>1237</v>
      </c>
      <c r="F39" t="s">
        <v>1257</v>
      </c>
      <c r="G39" s="137" t="s">
        <v>1258</v>
      </c>
    </row>
    <row r="40" spans="1:7" x14ac:dyDescent="0.2">
      <c r="A40" s="64"/>
      <c r="B40" s="552" t="s">
        <v>202</v>
      </c>
      <c r="C40">
        <v>6.7000000000000004E-2</v>
      </c>
      <c r="D40">
        <v>3.6999999999999998E-2</v>
      </c>
      <c r="E40" t="s">
        <v>1237</v>
      </c>
      <c r="F40" t="s">
        <v>1257</v>
      </c>
      <c r="G40" s="137" t="s">
        <v>1258</v>
      </c>
    </row>
    <row r="41" spans="1:7" x14ac:dyDescent="0.2">
      <c r="A41" s="64"/>
      <c r="B41" s="552" t="s">
        <v>1259</v>
      </c>
      <c r="C41">
        <v>6.7000000000000004E-2</v>
      </c>
      <c r="D41">
        <v>5.5E-2</v>
      </c>
      <c r="E41" t="s">
        <v>1237</v>
      </c>
      <c r="F41" t="s">
        <v>1257</v>
      </c>
      <c r="G41" s="137" t="s">
        <v>1258</v>
      </c>
    </row>
    <row r="42" spans="1:7" x14ac:dyDescent="0.2">
      <c r="A42" s="64"/>
      <c r="B42" s="552" t="s">
        <v>1260</v>
      </c>
      <c r="C42">
        <v>1E-3</v>
      </c>
      <c r="D42">
        <v>5.0000000000000001E-4</v>
      </c>
      <c r="E42" t="s">
        <v>1237</v>
      </c>
      <c r="F42" t="s">
        <v>1257</v>
      </c>
      <c r="G42" s="137" t="s">
        <v>1258</v>
      </c>
    </row>
    <row r="43" spans="1:7" x14ac:dyDescent="0.2">
      <c r="A43" s="64" t="s">
        <v>1261</v>
      </c>
      <c r="B43" s="552" t="s">
        <v>1256</v>
      </c>
      <c r="C43">
        <v>0.17499999999999999</v>
      </c>
      <c r="D43">
        <v>6.6000000000000003E-2</v>
      </c>
      <c r="E43" t="s">
        <v>1237</v>
      </c>
      <c r="F43" t="s">
        <v>1257</v>
      </c>
      <c r="G43" s="137" t="s">
        <v>1258</v>
      </c>
    </row>
    <row r="44" spans="1:7" x14ac:dyDescent="0.2">
      <c r="A44" s="64"/>
      <c r="B44" s="552" t="s">
        <v>264</v>
      </c>
      <c r="C44">
        <v>0.17499999999999999</v>
      </c>
      <c r="D44">
        <v>1.966</v>
      </c>
      <c r="E44" t="s">
        <v>1237</v>
      </c>
      <c r="F44" t="s">
        <v>1257</v>
      </c>
      <c r="G44" s="137" t="s">
        <v>1258</v>
      </c>
    </row>
    <row r="45" spans="1:7" x14ac:dyDescent="0.2">
      <c r="A45" s="64"/>
      <c r="B45" s="552" t="s">
        <v>1262</v>
      </c>
      <c r="C45">
        <v>0.17499999999999999</v>
      </c>
      <c r="D45">
        <v>1.966</v>
      </c>
      <c r="E45" t="s">
        <v>1237</v>
      </c>
      <c r="F45" t="s">
        <v>1257</v>
      </c>
      <c r="G45" s="137" t="s">
        <v>1258</v>
      </c>
    </row>
    <row r="46" spans="1:7" x14ac:dyDescent="0.2">
      <c r="A46" s="64"/>
      <c r="B46" s="552" t="s">
        <v>202</v>
      </c>
      <c r="C46">
        <v>0.17499999999999999</v>
      </c>
      <c r="D46">
        <v>6.6000000000000003E-2</v>
      </c>
      <c r="E46" t="s">
        <v>1237</v>
      </c>
      <c r="F46" t="s">
        <v>1257</v>
      </c>
      <c r="G46" s="137" t="s">
        <v>1258</v>
      </c>
    </row>
    <row r="47" spans="1:7" x14ac:dyDescent="0.2">
      <c r="A47" s="64"/>
      <c r="B47" s="552" t="s">
        <v>1259</v>
      </c>
      <c r="C47">
        <v>0.17499999999999999</v>
      </c>
      <c r="D47">
        <v>0.19700000000000001</v>
      </c>
      <c r="E47" t="s">
        <v>1237</v>
      </c>
      <c r="F47" t="s">
        <v>1257</v>
      </c>
      <c r="G47" s="137" t="s">
        <v>1258</v>
      </c>
    </row>
    <row r="48" spans="1:7" x14ac:dyDescent="0.2">
      <c r="A48" s="64"/>
      <c r="B48" s="552" t="s">
        <v>1260</v>
      </c>
      <c r="C48">
        <v>5.0000000000000001E-3</v>
      </c>
      <c r="D48">
        <v>5.0000000000000001E-3</v>
      </c>
      <c r="E48" t="s">
        <v>1237</v>
      </c>
      <c r="F48" t="s">
        <v>1257</v>
      </c>
      <c r="G48" s="137" t="s">
        <v>1258</v>
      </c>
    </row>
    <row r="49" spans="1:7" x14ac:dyDescent="0.2">
      <c r="A49" s="64" t="s">
        <v>1263</v>
      </c>
      <c r="B49" s="552" t="s">
        <v>1256</v>
      </c>
      <c r="C49">
        <v>0.17499999999999999</v>
      </c>
      <c r="D49">
        <v>6.6000000000000003E-2</v>
      </c>
      <c r="E49" t="s">
        <v>1237</v>
      </c>
      <c r="F49" t="s">
        <v>1257</v>
      </c>
      <c r="G49" s="137" t="s">
        <v>1258</v>
      </c>
    </row>
    <row r="50" spans="1:7" x14ac:dyDescent="0.2">
      <c r="A50" s="64"/>
      <c r="B50" s="552" t="s">
        <v>264</v>
      </c>
      <c r="C50">
        <v>0.17499999999999999</v>
      </c>
      <c r="D50">
        <v>1.966</v>
      </c>
      <c r="E50" t="s">
        <v>1237</v>
      </c>
      <c r="F50" t="s">
        <v>1257</v>
      </c>
      <c r="G50" s="137" t="s">
        <v>1258</v>
      </c>
    </row>
    <row r="51" spans="1:7" x14ac:dyDescent="0.2">
      <c r="A51" s="64"/>
      <c r="B51" s="552" t="s">
        <v>1259</v>
      </c>
      <c r="C51">
        <v>0.17499999999999999</v>
      </c>
      <c r="D51">
        <v>0.19700000000000001</v>
      </c>
      <c r="E51" t="s">
        <v>1237</v>
      </c>
      <c r="F51" t="s">
        <v>1257</v>
      </c>
      <c r="G51" s="137" t="s">
        <v>1258</v>
      </c>
    </row>
    <row r="52" spans="1:7" x14ac:dyDescent="0.2">
      <c r="A52" s="64"/>
      <c r="B52" s="552" t="s">
        <v>1260</v>
      </c>
      <c r="C52">
        <v>5.0000000000000001E-3</v>
      </c>
      <c r="D52">
        <v>5.0000000000000001E-3</v>
      </c>
      <c r="E52" t="s">
        <v>1237</v>
      </c>
      <c r="F52" t="s">
        <v>1257</v>
      </c>
      <c r="G52" s="137" t="s">
        <v>1258</v>
      </c>
    </row>
    <row r="53" spans="1:7" x14ac:dyDescent="0.2">
      <c r="A53" s="64"/>
      <c r="B53" s="552"/>
    </row>
    <row r="54" spans="1:7" x14ac:dyDescent="0.2">
      <c r="A54" s="64" t="s">
        <v>1264</v>
      </c>
      <c r="B54" s="552" t="s">
        <v>1265</v>
      </c>
      <c r="C54">
        <v>0.16</v>
      </c>
      <c r="D54">
        <v>0.03</v>
      </c>
      <c r="E54" t="s">
        <v>1266</v>
      </c>
      <c r="F54" t="s">
        <v>1267</v>
      </c>
      <c r="G54" s="137" t="s">
        <v>1268</v>
      </c>
    </row>
    <row r="55" spans="1:7" x14ac:dyDescent="0.2">
      <c r="A55" s="64"/>
      <c r="B55" s="552" t="s">
        <v>235</v>
      </c>
      <c r="C55">
        <v>0.08</v>
      </c>
      <c r="D55">
        <v>0.23</v>
      </c>
      <c r="E55" t="s">
        <v>1266</v>
      </c>
      <c r="F55" t="s">
        <v>1267</v>
      </c>
      <c r="G55" s="137" t="s">
        <v>1268</v>
      </c>
    </row>
    <row r="56" spans="1:7" x14ac:dyDescent="0.2">
      <c r="A56" s="64"/>
      <c r="B56" s="552" t="s">
        <v>484</v>
      </c>
      <c r="C56">
        <v>0.14000000000000001</v>
      </c>
      <c r="D56">
        <v>0.02</v>
      </c>
      <c r="E56" t="s">
        <v>1266</v>
      </c>
      <c r="F56" t="s">
        <v>1267</v>
      </c>
      <c r="G56" s="137" t="s">
        <v>1268</v>
      </c>
    </row>
    <row r="57" spans="1:7" x14ac:dyDescent="0.2">
      <c r="A57" s="64" t="s">
        <v>1269</v>
      </c>
      <c r="B57" s="552" t="s">
        <v>484</v>
      </c>
      <c r="C57">
        <v>0.08</v>
      </c>
      <c r="D57">
        <v>0.25</v>
      </c>
      <c r="E57" t="s">
        <v>1266</v>
      </c>
      <c r="F57" t="s">
        <v>1267</v>
      </c>
      <c r="G57" s="137" t="s">
        <v>1268</v>
      </c>
    </row>
    <row r="58" spans="1:7" x14ac:dyDescent="0.2">
      <c r="A58" s="64" t="s">
        <v>1270</v>
      </c>
      <c r="B58" s="552" t="s">
        <v>235</v>
      </c>
      <c r="C58">
        <v>0.08</v>
      </c>
      <c r="D58">
        <v>0.45</v>
      </c>
      <c r="E58" t="s">
        <v>1266</v>
      </c>
      <c r="F58" t="s">
        <v>1267</v>
      </c>
      <c r="G58" s="137" t="s">
        <v>1268</v>
      </c>
    </row>
    <row r="59" spans="1:7" x14ac:dyDescent="0.2">
      <c r="A59" s="64"/>
      <c r="B59" s="552" t="s">
        <v>484</v>
      </c>
      <c r="C59">
        <v>0.08</v>
      </c>
      <c r="D59">
        <v>0.45</v>
      </c>
      <c r="E59" t="s">
        <v>1266</v>
      </c>
      <c r="F59" t="s">
        <v>1267</v>
      </c>
      <c r="G59" s="137" t="s">
        <v>1268</v>
      </c>
    </row>
    <row r="60" spans="1:7" x14ac:dyDescent="0.2">
      <c r="A60" s="64" t="s">
        <v>1271</v>
      </c>
      <c r="B60" s="552" t="s">
        <v>235</v>
      </c>
      <c r="C60">
        <v>0.08</v>
      </c>
      <c r="D60">
        <v>0.18</v>
      </c>
      <c r="E60" t="s">
        <v>1266</v>
      </c>
      <c r="F60" t="s">
        <v>1267</v>
      </c>
      <c r="G60" s="137" t="s">
        <v>1268</v>
      </c>
    </row>
    <row r="61" spans="1:7" x14ac:dyDescent="0.2">
      <c r="A61" s="64"/>
      <c r="B61" s="552" t="s">
        <v>484</v>
      </c>
      <c r="C61">
        <v>0.08</v>
      </c>
      <c r="D61">
        <v>0.18</v>
      </c>
      <c r="E61" t="s">
        <v>1266</v>
      </c>
      <c r="F61" t="s">
        <v>1267</v>
      </c>
      <c r="G61" s="137" t="s">
        <v>1268</v>
      </c>
    </row>
    <row r="62" spans="1:7" x14ac:dyDescent="0.2">
      <c r="A62" s="64" t="s">
        <v>1272</v>
      </c>
      <c r="B62" s="552"/>
      <c r="C62">
        <v>0.08</v>
      </c>
      <c r="D62">
        <v>0.18</v>
      </c>
      <c r="E62" t="s">
        <v>1266</v>
      </c>
      <c r="F62" t="s">
        <v>1267</v>
      </c>
      <c r="G62" s="137" t="s">
        <v>1268</v>
      </c>
    </row>
    <row r="63" spans="1:7" x14ac:dyDescent="0.2">
      <c r="A63" s="64" t="s">
        <v>1273</v>
      </c>
      <c r="B63" s="552" t="s">
        <v>1274</v>
      </c>
      <c r="C63">
        <v>0.1</v>
      </c>
      <c r="D63">
        <v>0</v>
      </c>
      <c r="E63" t="s">
        <v>1266</v>
      </c>
      <c r="F63" t="s">
        <v>1267</v>
      </c>
      <c r="G63" s="137" t="s">
        <v>1268</v>
      </c>
    </row>
    <row r="64" spans="1:7" x14ac:dyDescent="0.2">
      <c r="A64" s="64"/>
      <c r="B64" s="552" t="s">
        <v>1275</v>
      </c>
      <c r="C64">
        <v>0.04</v>
      </c>
      <c r="D64">
        <v>2.64</v>
      </c>
      <c r="E64" t="s">
        <v>1266</v>
      </c>
      <c r="F64" t="s">
        <v>1267</v>
      </c>
      <c r="G64" s="137" t="s">
        <v>1268</v>
      </c>
    </row>
  </sheetData>
  <mergeCells count="1">
    <mergeCell ref="C2:F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143"/>
  <sheetViews>
    <sheetView workbookViewId="0">
      <pane ySplit="2" topLeftCell="A3" activePane="bottomLeft" state="frozen"/>
      <selection activeCell="F46" sqref="F46"/>
      <selection pane="bottomLeft" activeCell="E96" sqref="E96"/>
    </sheetView>
  </sheetViews>
  <sheetFormatPr defaultColWidth="8.85546875" defaultRowHeight="12" x14ac:dyDescent="0.2"/>
  <cols>
    <col min="1" max="1" width="25.5703125" style="140" customWidth="1"/>
    <col min="2" max="2" width="12.7109375" customWidth="1"/>
    <col min="3" max="3" width="14.5703125" style="222" bestFit="1" customWidth="1"/>
    <col min="4" max="4" width="11.28515625" bestFit="1" customWidth="1"/>
    <col min="5" max="5" width="40.7109375" style="71" customWidth="1"/>
    <col min="6" max="6" width="40.7109375" customWidth="1"/>
    <col min="7" max="7" width="60.7109375" customWidth="1"/>
    <col min="8" max="8" width="21.7109375" bestFit="1" customWidth="1"/>
    <col min="9" max="9" width="11" customWidth="1"/>
    <col min="10" max="10" width="12.42578125" customWidth="1"/>
  </cols>
  <sheetData>
    <row r="1" spans="1:6" s="15" customFormat="1" ht="27.75" customHeight="1" x14ac:dyDescent="0.2">
      <c r="A1" s="145" t="s">
        <v>307</v>
      </c>
      <c r="B1" s="14"/>
      <c r="C1" s="217"/>
      <c r="E1" s="68"/>
    </row>
    <row r="2" spans="1:6" s="64" customFormat="1" x14ac:dyDescent="0.2">
      <c r="A2" s="146" t="s">
        <v>478</v>
      </c>
      <c r="B2" s="64" t="s">
        <v>284</v>
      </c>
      <c r="C2" s="77" t="s">
        <v>487</v>
      </c>
      <c r="D2" s="64" t="s">
        <v>486</v>
      </c>
      <c r="E2" s="69" t="s">
        <v>512</v>
      </c>
      <c r="F2" s="64" t="s">
        <v>306</v>
      </c>
    </row>
    <row r="3" spans="1:6" x14ac:dyDescent="0.2">
      <c r="A3" s="147" t="s">
        <v>346</v>
      </c>
      <c r="B3" s="20"/>
      <c r="C3" s="72"/>
      <c r="D3" s="20"/>
      <c r="E3" s="70"/>
    </row>
    <row r="4" spans="1:6" x14ac:dyDescent="0.2">
      <c r="A4" s="148" t="s">
        <v>449</v>
      </c>
      <c r="B4" s="59" t="s">
        <v>287</v>
      </c>
      <c r="C4" s="218">
        <f>(massC+2*massO)/massC</f>
        <v>3.6640912818506139</v>
      </c>
      <c r="D4" s="59" t="s">
        <v>450</v>
      </c>
    </row>
    <row r="5" spans="1:6" x14ac:dyDescent="0.2">
      <c r="A5" s="148" t="s">
        <v>211</v>
      </c>
      <c r="B5" s="59" t="s">
        <v>212</v>
      </c>
      <c r="C5" s="218">
        <f>massCO2/massCH4</f>
        <v>2.7432647817634086</v>
      </c>
      <c r="D5" s="59" t="s">
        <v>450</v>
      </c>
    </row>
    <row r="6" spans="1:6" x14ac:dyDescent="0.2">
      <c r="A6" s="148" t="s">
        <v>309</v>
      </c>
      <c r="B6" s="59" t="s">
        <v>310</v>
      </c>
      <c r="C6" s="218">
        <f>(massC+4*massH)/massC</f>
        <v>1.3356681083826276</v>
      </c>
      <c r="D6" s="59" t="s">
        <v>450</v>
      </c>
    </row>
    <row r="7" spans="1:6" x14ac:dyDescent="0.2">
      <c r="A7" s="148" t="s">
        <v>451</v>
      </c>
      <c r="B7" s="59" t="s">
        <v>288</v>
      </c>
      <c r="C7" s="218">
        <f>(massS+2*massO)/massS</f>
        <v>1.9979043223351838</v>
      </c>
      <c r="D7" s="59" t="s">
        <v>450</v>
      </c>
    </row>
    <row r="8" spans="1:6" x14ac:dyDescent="0.2">
      <c r="A8" s="148" t="s">
        <v>452</v>
      </c>
      <c r="B8" s="59" t="s">
        <v>289</v>
      </c>
      <c r="C8" s="219">
        <f>2*massH/(2*massH+massO)</f>
        <v>0.11189834407236524</v>
      </c>
      <c r="D8" s="59" t="s">
        <v>450</v>
      </c>
    </row>
    <row r="9" spans="1:6" x14ac:dyDescent="0.2">
      <c r="A9" s="148"/>
      <c r="B9" s="59"/>
      <c r="C9" s="220"/>
      <c r="D9" s="59"/>
    </row>
    <row r="10" spans="1:6" x14ac:dyDescent="0.2">
      <c r="A10" s="147" t="s">
        <v>347</v>
      </c>
      <c r="B10" s="20"/>
      <c r="C10" s="72"/>
      <c r="D10" s="20"/>
      <c r="E10" s="70"/>
    </row>
    <row r="11" spans="1:6" x14ac:dyDescent="0.2">
      <c r="A11" s="148" t="s">
        <v>453</v>
      </c>
      <c r="B11" s="59" t="s">
        <v>290</v>
      </c>
      <c r="C11" s="221">
        <f>9/5</f>
        <v>1.8</v>
      </c>
      <c r="D11" s="59" t="s">
        <v>450</v>
      </c>
    </row>
    <row r="12" spans="1:6" x14ac:dyDescent="0.2">
      <c r="A12" s="148" t="s">
        <v>454</v>
      </c>
      <c r="B12" s="59" t="s">
        <v>454</v>
      </c>
      <c r="C12" s="220">
        <v>32</v>
      </c>
      <c r="D12" s="61" t="s">
        <v>455</v>
      </c>
    </row>
    <row r="13" spans="1:6" x14ac:dyDescent="0.2">
      <c r="A13" s="148" t="s">
        <v>456</v>
      </c>
      <c r="B13" s="59" t="s">
        <v>456</v>
      </c>
      <c r="C13" s="220">
        <v>0</v>
      </c>
      <c r="D13" s="59" t="s">
        <v>457</v>
      </c>
    </row>
    <row r="14" spans="1:6" x14ac:dyDescent="0.2">
      <c r="A14" s="149"/>
      <c r="B14" s="62"/>
      <c r="D14" s="62"/>
    </row>
    <row r="15" spans="1:6" x14ac:dyDescent="0.2">
      <c r="A15" s="147" t="s">
        <v>348</v>
      </c>
      <c r="B15" s="20"/>
      <c r="C15" s="72"/>
      <c r="D15" s="20"/>
      <c r="E15" s="70"/>
    </row>
    <row r="16" spans="1:6" x14ac:dyDescent="0.2">
      <c r="A16" s="124" t="s">
        <v>458</v>
      </c>
      <c r="B16" s="63" t="s">
        <v>291</v>
      </c>
      <c r="C16" s="223">
        <v>12.011150000000001</v>
      </c>
      <c r="D16" s="63" t="s">
        <v>459</v>
      </c>
      <c r="E16" s="63" t="s">
        <v>197</v>
      </c>
    </row>
    <row r="17" spans="1:5" x14ac:dyDescent="0.2">
      <c r="A17" s="124" t="s">
        <v>460</v>
      </c>
      <c r="B17" s="63" t="s">
        <v>292</v>
      </c>
      <c r="C17" s="223">
        <v>1.0079400000000001</v>
      </c>
      <c r="D17" s="63" t="s">
        <v>459</v>
      </c>
      <c r="E17" s="63" t="s">
        <v>197</v>
      </c>
    </row>
    <row r="18" spans="1:5" x14ac:dyDescent="0.2">
      <c r="A18" s="124" t="s">
        <v>555</v>
      </c>
      <c r="B18" s="63" t="s">
        <v>293</v>
      </c>
      <c r="C18" s="223">
        <v>14.006740000000001</v>
      </c>
      <c r="D18" s="63" t="s">
        <v>459</v>
      </c>
      <c r="E18" s="63" t="s">
        <v>197</v>
      </c>
    </row>
    <row r="19" spans="1:5" x14ac:dyDescent="0.2">
      <c r="A19" s="124" t="s">
        <v>461</v>
      </c>
      <c r="B19" s="63" t="s">
        <v>294</v>
      </c>
      <c r="C19" s="224">
        <v>15.9994</v>
      </c>
      <c r="D19" s="63" t="s">
        <v>459</v>
      </c>
      <c r="E19" s="63" t="s">
        <v>197</v>
      </c>
    </row>
    <row r="20" spans="1:5" x14ac:dyDescent="0.2">
      <c r="A20" s="124" t="s">
        <v>462</v>
      </c>
      <c r="B20" s="63" t="s">
        <v>295</v>
      </c>
      <c r="C20" s="225">
        <v>32.066000000000003</v>
      </c>
      <c r="D20" s="63" t="s">
        <v>459</v>
      </c>
      <c r="E20" s="63" t="s">
        <v>197</v>
      </c>
    </row>
    <row r="21" spans="1:5" x14ac:dyDescent="0.2">
      <c r="A21" s="124"/>
      <c r="B21" s="63"/>
      <c r="C21" s="226"/>
      <c r="D21" s="63"/>
      <c r="E21" s="63"/>
    </row>
    <row r="22" spans="1:5" x14ac:dyDescent="0.2">
      <c r="A22" s="147" t="s">
        <v>349</v>
      </c>
      <c r="B22" s="20"/>
      <c r="C22" s="72"/>
      <c r="D22" s="20"/>
      <c r="E22" s="72"/>
    </row>
    <row r="23" spans="1:5" ht="13.5" x14ac:dyDescent="0.25">
      <c r="A23" s="124" t="s">
        <v>466</v>
      </c>
      <c r="B23" s="63" t="s">
        <v>299</v>
      </c>
      <c r="C23" s="227">
        <f>3*massC+8*massH</f>
        <v>44.096969999999999</v>
      </c>
      <c r="D23" s="63" t="s">
        <v>459</v>
      </c>
      <c r="E23" s="63"/>
    </row>
    <row r="24" spans="1:5" ht="13.5" x14ac:dyDescent="0.25">
      <c r="A24" s="124" t="s">
        <v>508</v>
      </c>
      <c r="B24" s="63" t="s">
        <v>509</v>
      </c>
      <c r="C24" s="227">
        <f>massC+4*massH</f>
        <v>16.042909999999999</v>
      </c>
      <c r="D24" s="63" t="s">
        <v>459</v>
      </c>
      <c r="E24" s="63"/>
    </row>
    <row r="25" spans="1:5" x14ac:dyDescent="0.2">
      <c r="A25" s="124" t="s">
        <v>465</v>
      </c>
      <c r="B25" s="63" t="s">
        <v>298</v>
      </c>
      <c r="C25" s="227">
        <f>massC+massO</f>
        <v>28.010550000000002</v>
      </c>
      <c r="D25" s="63" t="s">
        <v>459</v>
      </c>
      <c r="E25" s="63"/>
    </row>
    <row r="26" spans="1:5" ht="13.5" x14ac:dyDescent="0.25">
      <c r="A26" s="124" t="s">
        <v>506</v>
      </c>
      <c r="B26" s="63" t="s">
        <v>507</v>
      </c>
      <c r="C26" s="227">
        <f>massC+2*massO</f>
        <v>44.009950000000003</v>
      </c>
      <c r="D26" s="63" t="s">
        <v>459</v>
      </c>
      <c r="E26" s="63"/>
    </row>
    <row r="27" spans="1:5" ht="13.5" x14ac:dyDescent="0.25">
      <c r="A27" s="124" t="s">
        <v>513</v>
      </c>
      <c r="B27" s="63" t="s">
        <v>514</v>
      </c>
      <c r="C27" s="227">
        <f>2*massN+massO</f>
        <v>44.012880000000003</v>
      </c>
      <c r="D27" s="63" t="s">
        <v>459</v>
      </c>
      <c r="E27" s="63"/>
    </row>
    <row r="28" spans="1:5" ht="13.5" x14ac:dyDescent="0.25">
      <c r="A28" s="124" t="s">
        <v>463</v>
      </c>
      <c r="B28" s="63" t="s">
        <v>296</v>
      </c>
      <c r="C28" s="227">
        <f>massN+2*massO</f>
        <v>46.005539999999996</v>
      </c>
      <c r="D28" s="63" t="s">
        <v>459</v>
      </c>
      <c r="E28" s="63"/>
    </row>
    <row r="29" spans="1:5" ht="13.5" x14ac:dyDescent="0.25">
      <c r="A29" s="124" t="s">
        <v>464</v>
      </c>
      <c r="B29" s="63" t="s">
        <v>297</v>
      </c>
      <c r="C29" s="227">
        <f>massS+2*massO</f>
        <v>64.064800000000005</v>
      </c>
      <c r="D29" s="63" t="s">
        <v>459</v>
      </c>
      <c r="E29" s="63"/>
    </row>
    <row r="30" spans="1:5" x14ac:dyDescent="0.2">
      <c r="A30" s="124"/>
      <c r="B30" s="63"/>
      <c r="C30" s="227"/>
      <c r="D30" s="63"/>
      <c r="E30" s="63"/>
    </row>
    <row r="31" spans="1:5" x14ac:dyDescent="0.2">
      <c r="A31" s="147" t="s">
        <v>467</v>
      </c>
      <c r="B31" s="20"/>
      <c r="C31" s="72"/>
      <c r="D31" s="20"/>
      <c r="E31" s="72"/>
    </row>
    <row r="32" spans="1:5" x14ac:dyDescent="0.2">
      <c r="A32" s="124" t="s">
        <v>468</v>
      </c>
      <c r="B32" s="63" t="s">
        <v>305</v>
      </c>
      <c r="C32" s="228">
        <v>8.20578E-2</v>
      </c>
      <c r="D32" s="63" t="s">
        <v>469</v>
      </c>
      <c r="E32" s="63" t="s">
        <v>197</v>
      </c>
    </row>
    <row r="33" spans="1:6" x14ac:dyDescent="0.2">
      <c r="A33" s="124" t="s">
        <v>322</v>
      </c>
      <c r="B33" s="63" t="s">
        <v>318</v>
      </c>
      <c r="C33" s="228">
        <v>273.14999999999998</v>
      </c>
      <c r="D33" s="63" t="s">
        <v>470</v>
      </c>
      <c r="E33" s="63" t="s">
        <v>197</v>
      </c>
    </row>
    <row r="34" spans="1:6" x14ac:dyDescent="0.2">
      <c r="A34" s="124" t="s">
        <v>323</v>
      </c>
      <c r="B34" s="63" t="s">
        <v>319</v>
      </c>
      <c r="C34" s="228">
        <v>288.14999999999998</v>
      </c>
      <c r="D34" s="63" t="s">
        <v>470</v>
      </c>
      <c r="E34" s="63" t="s">
        <v>197</v>
      </c>
      <c r="F34" t="s">
        <v>333</v>
      </c>
    </row>
    <row r="35" spans="1:6" x14ac:dyDescent="0.2">
      <c r="A35" s="124" t="s">
        <v>324</v>
      </c>
      <c r="B35" s="63" t="s">
        <v>320</v>
      </c>
      <c r="C35" s="227">
        <f>(60-freezeF)/F.C+K0degC</f>
        <v>288.70555555555552</v>
      </c>
      <c r="D35" s="63" t="s">
        <v>470</v>
      </c>
      <c r="F35" s="63" t="s">
        <v>535</v>
      </c>
    </row>
    <row r="36" spans="1:6" x14ac:dyDescent="0.2">
      <c r="A36" s="124" t="s">
        <v>327</v>
      </c>
      <c r="B36" s="63" t="s">
        <v>321</v>
      </c>
      <c r="C36" s="227">
        <f>gasconstant*K0degC</f>
        <v>22.414088069999998</v>
      </c>
      <c r="D36" s="63" t="s">
        <v>471</v>
      </c>
      <c r="E36" s="63"/>
      <c r="F36" s="63" t="s">
        <v>334</v>
      </c>
    </row>
    <row r="37" spans="1:6" x14ac:dyDescent="0.2">
      <c r="A37" s="124" t="s">
        <v>328</v>
      </c>
      <c r="B37" s="63" t="s">
        <v>330</v>
      </c>
      <c r="C37" s="227">
        <f>gasconstant*K15degC</f>
        <v>23.644955069999998</v>
      </c>
      <c r="D37" s="63" t="s">
        <v>471</v>
      </c>
      <c r="E37" s="63"/>
      <c r="F37" s="63" t="s">
        <v>334</v>
      </c>
    </row>
    <row r="38" spans="1:6" x14ac:dyDescent="0.2">
      <c r="A38" s="124" t="s">
        <v>329</v>
      </c>
      <c r="B38" s="63" t="s">
        <v>331</v>
      </c>
      <c r="C38" s="227">
        <f>gasconstant*K60degF</f>
        <v>23.690542736666664</v>
      </c>
      <c r="D38" s="63" t="s">
        <v>471</v>
      </c>
      <c r="E38" s="63"/>
      <c r="F38" s="63" t="s">
        <v>334</v>
      </c>
    </row>
    <row r="39" spans="1:6" x14ac:dyDescent="0.2">
      <c r="A39" s="124"/>
      <c r="B39" s="63"/>
      <c r="C39" s="226"/>
      <c r="D39" s="63"/>
      <c r="E39" s="63"/>
    </row>
    <row r="40" spans="1:6" x14ac:dyDescent="0.2">
      <c r="A40" s="147" t="s">
        <v>332</v>
      </c>
      <c r="B40" s="20"/>
      <c r="C40" s="72"/>
      <c r="D40" s="20"/>
      <c r="E40" s="72"/>
    </row>
    <row r="41" spans="1:6" ht="13.5" x14ac:dyDescent="0.25">
      <c r="A41" s="124" t="s">
        <v>466</v>
      </c>
      <c r="B41" s="63" t="s">
        <v>516</v>
      </c>
      <c r="C41" s="227">
        <f t="shared" ref="C41:C47" si="0">C23/molVol15degC</f>
        <v>1.8649631546963223</v>
      </c>
      <c r="D41" s="63" t="s">
        <v>479</v>
      </c>
      <c r="E41" s="63"/>
      <c r="F41" s="63" t="s">
        <v>317</v>
      </c>
    </row>
    <row r="42" spans="1:6" ht="13.5" x14ac:dyDescent="0.25">
      <c r="A42" s="124" t="s">
        <v>508</v>
      </c>
      <c r="B42" s="63" t="s">
        <v>517</v>
      </c>
      <c r="C42" s="227">
        <f t="shared" si="0"/>
        <v>0.67849187924043708</v>
      </c>
      <c r="D42" s="63" t="s">
        <v>479</v>
      </c>
      <c r="E42" s="63"/>
    </row>
    <row r="43" spans="1:6" x14ac:dyDescent="0.2">
      <c r="A43" s="124" t="s">
        <v>465</v>
      </c>
      <c r="B43" s="63" t="s">
        <v>518</v>
      </c>
      <c r="C43" s="227">
        <f t="shared" si="0"/>
        <v>1.1846311366241054</v>
      </c>
      <c r="D43" s="63" t="s">
        <v>479</v>
      </c>
      <c r="E43" s="63"/>
    </row>
    <row r="44" spans="1:6" ht="13.5" x14ac:dyDescent="0.25">
      <c r="A44" s="124" t="s">
        <v>506</v>
      </c>
      <c r="B44" s="63" t="s">
        <v>519</v>
      </c>
      <c r="C44" s="227">
        <f t="shared" si="0"/>
        <v>1.8612828770327625</v>
      </c>
      <c r="D44" s="63" t="s">
        <v>479</v>
      </c>
      <c r="E44" s="63"/>
    </row>
    <row r="45" spans="1:6" ht="13.5" x14ac:dyDescent="0.25">
      <c r="A45" s="124" t="s">
        <v>513</v>
      </c>
      <c r="B45" s="63" t="s">
        <v>520</v>
      </c>
      <c r="C45" s="227">
        <f t="shared" si="0"/>
        <v>1.8614067935295935</v>
      </c>
      <c r="D45" s="63" t="s">
        <v>479</v>
      </c>
      <c r="E45" s="63"/>
    </row>
    <row r="46" spans="1:6" ht="13.5" x14ac:dyDescent="0.25">
      <c r="A46" s="124" t="s">
        <v>463</v>
      </c>
      <c r="B46" s="63" t="s">
        <v>315</v>
      </c>
      <c r="C46" s="227">
        <f t="shared" si="0"/>
        <v>1.9456810073777822</v>
      </c>
      <c r="D46" s="63" t="s">
        <v>479</v>
      </c>
      <c r="E46" s="63"/>
    </row>
    <row r="47" spans="1:6" ht="13.5" x14ac:dyDescent="0.25">
      <c r="A47" s="124" t="s">
        <v>464</v>
      </c>
      <c r="B47" s="63" t="s">
        <v>316</v>
      </c>
      <c r="C47" s="227">
        <f t="shared" si="0"/>
        <v>2.709449005520991</v>
      </c>
      <c r="D47" s="63" t="s">
        <v>479</v>
      </c>
      <c r="E47" s="63"/>
    </row>
    <row r="48" spans="1:6" x14ac:dyDescent="0.2">
      <c r="A48" s="124"/>
      <c r="B48" s="63"/>
      <c r="C48" s="227"/>
      <c r="D48" s="63"/>
      <c r="E48" s="63"/>
    </row>
    <row r="49" spans="1:6" x14ac:dyDescent="0.2">
      <c r="A49" s="147" t="s">
        <v>335</v>
      </c>
      <c r="B49" s="20"/>
      <c r="C49" s="72"/>
      <c r="D49" s="20"/>
      <c r="E49" s="72"/>
    </row>
    <row r="50" spans="1:6" ht="13.5" x14ac:dyDescent="0.25">
      <c r="A50" s="124" t="s">
        <v>466</v>
      </c>
      <c r="B50" s="63" t="s">
        <v>336</v>
      </c>
      <c r="C50" s="227">
        <f t="shared" ref="C50:C56" si="1">C23/molVol60degF</f>
        <v>1.8613744096182991</v>
      </c>
      <c r="D50" s="63" t="s">
        <v>479</v>
      </c>
      <c r="E50" s="63"/>
      <c r="F50" s="63"/>
    </row>
    <row r="51" spans="1:6" ht="13.5" x14ac:dyDescent="0.25">
      <c r="A51" s="124" t="s">
        <v>508</v>
      </c>
      <c r="B51" s="63" t="s">
        <v>337</v>
      </c>
      <c r="C51" s="227">
        <f t="shared" si="1"/>
        <v>0.67718625859802861</v>
      </c>
      <c r="D51" s="63" t="s">
        <v>479</v>
      </c>
      <c r="E51" s="63"/>
    </row>
    <row r="52" spans="1:6" x14ac:dyDescent="0.2">
      <c r="A52" s="124" t="s">
        <v>465</v>
      </c>
      <c r="B52" s="63" t="s">
        <v>338</v>
      </c>
      <c r="C52" s="227">
        <f t="shared" si="1"/>
        <v>1.1823515531641711</v>
      </c>
      <c r="D52" s="63" t="s">
        <v>479</v>
      </c>
      <c r="E52" s="63"/>
    </row>
    <row r="53" spans="1:6" ht="13.5" x14ac:dyDescent="0.25">
      <c r="A53" s="124" t="s">
        <v>506</v>
      </c>
      <c r="B53" s="63" t="s">
        <v>557</v>
      </c>
      <c r="C53" s="227">
        <f t="shared" si="1"/>
        <v>1.8577012139061</v>
      </c>
      <c r="D53" s="63" t="s">
        <v>479</v>
      </c>
      <c r="E53" s="63"/>
    </row>
    <row r="54" spans="1:6" ht="13.5" x14ac:dyDescent="0.25">
      <c r="A54" s="124" t="s">
        <v>513</v>
      </c>
      <c r="B54" s="63" t="s">
        <v>558</v>
      </c>
      <c r="C54" s="227">
        <f t="shared" si="1"/>
        <v>1.8578248919506499</v>
      </c>
      <c r="D54" s="63" t="s">
        <v>479</v>
      </c>
      <c r="E54" s="63"/>
    </row>
    <row r="55" spans="1:6" ht="13.5" x14ac:dyDescent="0.25">
      <c r="A55" s="124" t="s">
        <v>463</v>
      </c>
      <c r="B55" s="63" t="s">
        <v>559</v>
      </c>
      <c r="C55" s="227">
        <f t="shared" si="1"/>
        <v>1.9419369370882182</v>
      </c>
      <c r="D55" s="63" t="s">
        <v>479</v>
      </c>
      <c r="E55" s="63"/>
    </row>
    <row r="56" spans="1:6" ht="13.5" x14ac:dyDescent="0.25">
      <c r="A56" s="124" t="s">
        <v>464</v>
      </c>
      <c r="B56" s="63" t="s">
        <v>560</v>
      </c>
      <c r="C56" s="227">
        <f t="shared" si="1"/>
        <v>2.7042352179143925</v>
      </c>
      <c r="D56" s="63" t="s">
        <v>479</v>
      </c>
      <c r="E56" s="63"/>
    </row>
    <row r="57" spans="1:6" x14ac:dyDescent="0.2">
      <c r="A57" s="124"/>
      <c r="B57" s="63"/>
      <c r="C57" s="227"/>
      <c r="D57" s="63"/>
      <c r="E57" s="63"/>
    </row>
    <row r="58" spans="1:6" x14ac:dyDescent="0.2">
      <c r="A58" s="147" t="s">
        <v>345</v>
      </c>
      <c r="B58" s="20"/>
      <c r="C58" s="72"/>
      <c r="D58" s="20"/>
      <c r="E58" s="72"/>
    </row>
    <row r="59" spans="1:6" ht="13.5" x14ac:dyDescent="0.2">
      <c r="A59" s="148" t="s">
        <v>472</v>
      </c>
      <c r="B59" s="63" t="s">
        <v>300</v>
      </c>
      <c r="C59" s="229">
        <v>0.78083999999999998</v>
      </c>
      <c r="D59" s="60" t="s">
        <v>473</v>
      </c>
      <c r="E59" s="73" t="s">
        <v>197</v>
      </c>
    </row>
    <row r="60" spans="1:6" ht="13.5" x14ac:dyDescent="0.2">
      <c r="A60" s="148" t="s">
        <v>474</v>
      </c>
      <c r="B60" s="63" t="s">
        <v>301</v>
      </c>
      <c r="C60" s="229">
        <v>0.20946999999999999</v>
      </c>
      <c r="D60" s="60" t="s">
        <v>473</v>
      </c>
      <c r="E60" s="73" t="s">
        <v>197</v>
      </c>
    </row>
    <row r="61" spans="1:6" x14ac:dyDescent="0.2">
      <c r="A61" s="148" t="s">
        <v>475</v>
      </c>
      <c r="B61" s="63" t="s">
        <v>302</v>
      </c>
      <c r="C61" s="229">
        <v>9.3399999999999993E-3</v>
      </c>
      <c r="D61" s="60" t="s">
        <v>473</v>
      </c>
      <c r="E61" s="73" t="s">
        <v>197</v>
      </c>
    </row>
    <row r="62" spans="1:6" ht="13.5" x14ac:dyDescent="0.2">
      <c r="A62" s="148" t="s">
        <v>476</v>
      </c>
      <c r="B62" s="63" t="s">
        <v>303</v>
      </c>
      <c r="C62" s="229">
        <v>3.3E-4</v>
      </c>
      <c r="D62" s="60" t="s">
        <v>473</v>
      </c>
      <c r="E62" s="73" t="s">
        <v>197</v>
      </c>
    </row>
    <row r="63" spans="1:6" x14ac:dyDescent="0.2">
      <c r="A63" s="148" t="s">
        <v>477</v>
      </c>
      <c r="B63" s="63" t="s">
        <v>304</v>
      </c>
      <c r="C63" s="230">
        <v>2.0000000000000002E-5</v>
      </c>
      <c r="D63" s="60" t="s">
        <v>473</v>
      </c>
      <c r="E63" s="73"/>
    </row>
    <row r="65" spans="1:6" x14ac:dyDescent="0.2">
      <c r="A65" s="147" t="s">
        <v>266</v>
      </c>
      <c r="B65" s="20"/>
      <c r="C65" s="72"/>
      <c r="D65" s="20"/>
      <c r="E65" s="72"/>
    </row>
    <row r="66" spans="1:6" ht="13.5" x14ac:dyDescent="0.2">
      <c r="A66" s="148" t="s">
        <v>508</v>
      </c>
      <c r="B66" s="63" t="s">
        <v>510</v>
      </c>
      <c r="C66" s="220">
        <v>21</v>
      </c>
      <c r="D66" s="59" t="s">
        <v>450</v>
      </c>
      <c r="E66" s="73" t="s">
        <v>238</v>
      </c>
      <c r="F66" s="59" t="s">
        <v>267</v>
      </c>
    </row>
    <row r="67" spans="1:6" ht="13.5" x14ac:dyDescent="0.2">
      <c r="A67" s="148" t="s">
        <v>513</v>
      </c>
      <c r="B67" s="63" t="s">
        <v>511</v>
      </c>
      <c r="C67" s="220">
        <v>310</v>
      </c>
      <c r="D67" s="59" t="s">
        <v>450</v>
      </c>
      <c r="E67" s="73" t="s">
        <v>238</v>
      </c>
    </row>
    <row r="68" spans="1:6" x14ac:dyDescent="0.2">
      <c r="A68" s="148" t="s">
        <v>268</v>
      </c>
      <c r="B68" s="63" t="s">
        <v>281</v>
      </c>
      <c r="C68" s="231">
        <v>11700</v>
      </c>
      <c r="D68" s="59" t="s">
        <v>450</v>
      </c>
      <c r="E68" s="73" t="s">
        <v>238</v>
      </c>
    </row>
    <row r="69" spans="1:6" x14ac:dyDescent="0.2">
      <c r="A69" s="148" t="s">
        <v>269</v>
      </c>
      <c r="B69" s="63" t="s">
        <v>196</v>
      </c>
      <c r="C69" s="231">
        <v>650</v>
      </c>
      <c r="D69" s="59" t="s">
        <v>450</v>
      </c>
      <c r="E69" s="73" t="s">
        <v>238</v>
      </c>
    </row>
    <row r="70" spans="1:6" x14ac:dyDescent="0.2">
      <c r="A70" s="148" t="s">
        <v>270</v>
      </c>
      <c r="B70" s="63" t="s">
        <v>283</v>
      </c>
      <c r="C70" s="231">
        <v>2800</v>
      </c>
      <c r="D70" s="59" t="s">
        <v>450</v>
      </c>
      <c r="E70" s="73" t="s">
        <v>238</v>
      </c>
    </row>
    <row r="71" spans="1:6" x14ac:dyDescent="0.2">
      <c r="A71" s="148" t="s">
        <v>271</v>
      </c>
      <c r="B71" s="63" t="s">
        <v>282</v>
      </c>
      <c r="C71" s="231">
        <v>1300</v>
      </c>
      <c r="D71" s="59" t="s">
        <v>450</v>
      </c>
      <c r="E71" s="73" t="s">
        <v>238</v>
      </c>
    </row>
    <row r="72" spans="1:6" x14ac:dyDescent="0.2">
      <c r="A72" s="148" t="s">
        <v>272</v>
      </c>
      <c r="B72" s="63" t="s">
        <v>187</v>
      </c>
      <c r="C72" s="231">
        <v>3800</v>
      </c>
      <c r="D72" s="59" t="s">
        <v>450</v>
      </c>
      <c r="E72" s="73" t="s">
        <v>238</v>
      </c>
    </row>
    <row r="73" spans="1:6" x14ac:dyDescent="0.2">
      <c r="A73" s="148" t="s">
        <v>273</v>
      </c>
      <c r="B73" s="63" t="s">
        <v>188</v>
      </c>
      <c r="C73" s="231">
        <v>140</v>
      </c>
      <c r="D73" s="59" t="s">
        <v>450</v>
      </c>
      <c r="E73" s="73" t="s">
        <v>238</v>
      </c>
    </row>
    <row r="74" spans="1:6" x14ac:dyDescent="0.2">
      <c r="A74" s="148" t="s">
        <v>274</v>
      </c>
      <c r="B74" s="63" t="s">
        <v>189</v>
      </c>
      <c r="C74" s="231">
        <v>2900</v>
      </c>
      <c r="D74" s="59" t="s">
        <v>450</v>
      </c>
      <c r="E74" s="73" t="s">
        <v>238</v>
      </c>
    </row>
    <row r="75" spans="1:6" x14ac:dyDescent="0.2">
      <c r="A75" s="148" t="s">
        <v>275</v>
      </c>
      <c r="B75" s="63" t="s">
        <v>190</v>
      </c>
      <c r="C75" s="231">
        <v>6300</v>
      </c>
      <c r="D75" s="59" t="s">
        <v>450</v>
      </c>
      <c r="E75" s="73" t="s">
        <v>238</v>
      </c>
    </row>
    <row r="76" spans="1:6" x14ac:dyDescent="0.2">
      <c r="A76" s="148" t="s">
        <v>276</v>
      </c>
      <c r="B76" s="63" t="s">
        <v>191</v>
      </c>
      <c r="C76" s="231">
        <v>560</v>
      </c>
      <c r="D76" s="59" t="s">
        <v>450</v>
      </c>
      <c r="E76" s="73" t="s">
        <v>238</v>
      </c>
    </row>
    <row r="77" spans="1:6" x14ac:dyDescent="0.2">
      <c r="A77" s="148" t="s">
        <v>277</v>
      </c>
      <c r="B77" s="63" t="s">
        <v>192</v>
      </c>
      <c r="C77" s="231">
        <v>9200</v>
      </c>
      <c r="D77" s="59" t="s">
        <v>450</v>
      </c>
      <c r="E77" s="73" t="s">
        <v>238</v>
      </c>
    </row>
    <row r="78" spans="1:6" x14ac:dyDescent="0.2">
      <c r="A78" s="148" t="s">
        <v>278</v>
      </c>
      <c r="B78" s="63" t="s">
        <v>193</v>
      </c>
      <c r="C78" s="231">
        <v>7000</v>
      </c>
      <c r="D78" s="59" t="s">
        <v>450</v>
      </c>
      <c r="E78" s="73" t="s">
        <v>238</v>
      </c>
    </row>
    <row r="79" spans="1:6" x14ac:dyDescent="0.2">
      <c r="A79" s="148" t="s">
        <v>279</v>
      </c>
      <c r="B79" s="63" t="s">
        <v>194</v>
      </c>
      <c r="C79" s="231">
        <v>7000</v>
      </c>
      <c r="D79" s="59" t="s">
        <v>450</v>
      </c>
      <c r="E79" s="73" t="s">
        <v>238</v>
      </c>
    </row>
    <row r="80" spans="1:6" x14ac:dyDescent="0.2">
      <c r="A80" s="148" t="s">
        <v>280</v>
      </c>
      <c r="B80" s="63" t="s">
        <v>195</v>
      </c>
      <c r="C80" s="231">
        <v>23900</v>
      </c>
      <c r="D80" s="59" t="s">
        <v>450</v>
      </c>
      <c r="E80" s="73" t="s">
        <v>238</v>
      </c>
    </row>
    <row r="81" spans="1:10" x14ac:dyDescent="0.2">
      <c r="A81" s="148"/>
      <c r="B81" s="63"/>
      <c r="C81" s="231"/>
      <c r="D81" s="59"/>
      <c r="E81" s="73"/>
    </row>
    <row r="82" spans="1:10" x14ac:dyDescent="0.2">
      <c r="A82" s="142"/>
      <c r="B82" s="63"/>
      <c r="D82" s="59"/>
      <c r="E82" s="233"/>
    </row>
    <row r="83" spans="1:10" s="5" customFormat="1" ht="12.75" thickBot="1" x14ac:dyDescent="0.25">
      <c r="A83" s="152" t="s">
        <v>183</v>
      </c>
      <c r="B83" s="126"/>
      <c r="C83" s="11"/>
      <c r="D83" s="11"/>
      <c r="E83" s="11"/>
      <c r="F83"/>
      <c r="G83"/>
      <c r="H83"/>
    </row>
    <row r="84" spans="1:10" ht="12.75" thickTop="1" x14ac:dyDescent="0.2">
      <c r="A84" s="663" t="s">
        <v>1072</v>
      </c>
      <c r="B84" s="216" t="s">
        <v>1541</v>
      </c>
      <c r="C84" s="103">
        <v>717000</v>
      </c>
      <c r="D84" s="214" t="s">
        <v>167</v>
      </c>
      <c r="E84" s="1541" t="s">
        <v>1589</v>
      </c>
      <c r="H84" s="371"/>
      <c r="I84" s="371">
        <v>2011</v>
      </c>
      <c r="J84" s="371">
        <v>2015</v>
      </c>
    </row>
    <row r="85" spans="1:10" s="5" customFormat="1" x14ac:dyDescent="0.2">
      <c r="A85" s="663" t="s">
        <v>1162</v>
      </c>
      <c r="B85" s="216" t="s">
        <v>1542</v>
      </c>
      <c r="C85" s="103">
        <v>757600</v>
      </c>
      <c r="D85" s="214" t="s">
        <v>167</v>
      </c>
      <c r="E85" s="1541" t="s">
        <v>1589</v>
      </c>
      <c r="F85"/>
      <c r="G85"/>
      <c r="H85" s="448" t="s">
        <v>1576</v>
      </c>
      <c r="I85" s="440"/>
      <c r="J85" s="440"/>
    </row>
    <row r="86" spans="1:10" s="5" customFormat="1" x14ac:dyDescent="0.2">
      <c r="A86" s="160" t="s">
        <v>127</v>
      </c>
      <c r="B86" s="127" t="s">
        <v>1577</v>
      </c>
      <c r="C86" s="139">
        <v>83715</v>
      </c>
      <c r="D86" s="214" t="s">
        <v>167</v>
      </c>
      <c r="E86" s="1541" t="s">
        <v>1589</v>
      </c>
      <c r="F86"/>
      <c r="G86"/>
      <c r="H86" s="451" t="s">
        <v>724</v>
      </c>
      <c r="I86" s="440">
        <f>popSno11</f>
        <v>717000</v>
      </c>
      <c r="J86" s="440">
        <f>popSno15</f>
        <v>757600</v>
      </c>
    </row>
    <row r="87" spans="1:10" s="5" customFormat="1" x14ac:dyDescent="0.2">
      <c r="A87" s="160" t="s">
        <v>1072</v>
      </c>
      <c r="B87" s="127" t="s">
        <v>1578</v>
      </c>
      <c r="C87" s="139">
        <v>76403</v>
      </c>
      <c r="D87" s="214" t="s">
        <v>167</v>
      </c>
      <c r="E87" s="1541" t="s">
        <v>1589</v>
      </c>
      <c r="F87"/>
      <c r="G87"/>
      <c r="H87" s="451"/>
      <c r="I87" s="440"/>
      <c r="J87" s="440"/>
    </row>
    <row r="88" spans="1:10" s="5" customFormat="1" x14ac:dyDescent="0.2">
      <c r="A88" s="160" t="s">
        <v>1162</v>
      </c>
      <c r="B88" s="127" t="s">
        <v>1579</v>
      </c>
      <c r="C88" s="139">
        <v>92350</v>
      </c>
      <c r="D88" s="214" t="s">
        <v>167</v>
      </c>
      <c r="E88" s="1541" t="s">
        <v>1589</v>
      </c>
      <c r="F88"/>
      <c r="G88"/>
      <c r="H88" s="451" t="s">
        <v>725</v>
      </c>
      <c r="I88" s="440">
        <f>popSea15</f>
        <v>139407</v>
      </c>
      <c r="J88" s="440">
        <f>C91</f>
        <v>155334</v>
      </c>
    </row>
    <row r="89" spans="1:10" s="5" customFormat="1" ht="12.75" x14ac:dyDescent="0.2">
      <c r="A89" s="160" t="s">
        <v>127</v>
      </c>
      <c r="B89" s="127" t="s">
        <v>1580</v>
      </c>
      <c r="C89" s="973">
        <v>217214</v>
      </c>
      <c r="D89" s="214" t="s">
        <v>167</v>
      </c>
      <c r="E89" s="1541" t="s">
        <v>1589</v>
      </c>
      <c r="F89"/>
      <c r="G89"/>
      <c r="H89" s="451" t="s">
        <v>726</v>
      </c>
      <c r="I89" s="440">
        <f>popSea03</f>
        <v>76403</v>
      </c>
      <c r="J89" s="440">
        <f>___pop05</f>
        <v>92350</v>
      </c>
    </row>
    <row r="90" spans="1:10" s="5" customFormat="1" ht="12.75" x14ac:dyDescent="0.2">
      <c r="A90" s="160" t="s">
        <v>1072</v>
      </c>
      <c r="B90" s="127" t="s">
        <v>1581</v>
      </c>
      <c r="C90" s="973">
        <v>139407</v>
      </c>
      <c r="D90" s="214" t="s">
        <v>167</v>
      </c>
      <c r="E90" s="1541" t="s">
        <v>1589</v>
      </c>
      <c r="F90"/>
      <c r="G90"/>
      <c r="H90" s="451"/>
      <c r="I90" s="440"/>
      <c r="J90" s="440"/>
    </row>
    <row r="91" spans="1:10" s="5" customFormat="1" ht="12.75" x14ac:dyDescent="0.2">
      <c r="A91" s="160" t="s">
        <v>1162</v>
      </c>
      <c r="B91" s="127" t="s">
        <v>1582</v>
      </c>
      <c r="C91" s="973">
        <v>155334</v>
      </c>
      <c r="D91" s="214" t="s">
        <v>167</v>
      </c>
      <c r="E91" s="1541" t="s">
        <v>1589</v>
      </c>
      <c r="F91"/>
      <c r="G91"/>
      <c r="H91" s="451"/>
      <c r="I91" s="440"/>
      <c r="J91" s="440"/>
    </row>
    <row r="92" spans="1:10" s="5" customFormat="1" x14ac:dyDescent="0.2">
      <c r="A92" s="160" t="s">
        <v>127</v>
      </c>
      <c r="B92" s="127" t="s">
        <v>1583</v>
      </c>
      <c r="C92" s="139">
        <v>600388</v>
      </c>
      <c r="D92" s="214" t="s">
        <v>167</v>
      </c>
      <c r="E92" s="1541" t="s">
        <v>1589</v>
      </c>
      <c r="F92"/>
      <c r="G92"/>
      <c r="H92" s="448" t="s">
        <v>177</v>
      </c>
      <c r="I92" s="440"/>
      <c r="J92" s="440"/>
    </row>
    <row r="93" spans="1:10" s="5" customFormat="1" x14ac:dyDescent="0.2">
      <c r="A93" s="160" t="s">
        <v>1072</v>
      </c>
      <c r="B93" s="127" t="s">
        <v>1584</v>
      </c>
      <c r="C93" s="139">
        <v>484157</v>
      </c>
      <c r="D93" s="214" t="s">
        <v>167</v>
      </c>
      <c r="E93" s="1541" t="s">
        <v>1589</v>
      </c>
      <c r="F93"/>
      <c r="G93"/>
      <c r="H93" s="448"/>
      <c r="I93" s="440"/>
      <c r="J93" s="440"/>
    </row>
    <row r="94" spans="1:10" s="5" customFormat="1" x14ac:dyDescent="0.2">
      <c r="A94" s="160" t="s">
        <v>1162</v>
      </c>
      <c r="B94" s="127" t="s">
        <v>1585</v>
      </c>
      <c r="C94" s="139">
        <v>568733</v>
      </c>
      <c r="D94" s="214" t="s">
        <v>167</v>
      </c>
      <c r="E94" s="1541" t="s">
        <v>1589</v>
      </c>
      <c r="F94"/>
      <c r="G94"/>
      <c r="H94" s="448"/>
      <c r="I94" s="440"/>
      <c r="J94" s="440"/>
    </row>
    <row r="95" spans="1:10" s="5" customFormat="1" x14ac:dyDescent="0.2">
      <c r="A95" s="160" t="s">
        <v>127</v>
      </c>
      <c r="B95" s="127" t="s">
        <v>1586</v>
      </c>
      <c r="C95" s="139">
        <v>1921999</v>
      </c>
      <c r="D95" s="214" t="s">
        <v>167</v>
      </c>
      <c r="E95" s="1541" t="s">
        <v>1589</v>
      </c>
      <c r="F95"/>
      <c r="G95"/>
      <c r="H95" s="448"/>
      <c r="I95" s="440"/>
      <c r="J95" s="440"/>
    </row>
    <row r="96" spans="1:10" s="5" customFormat="1" x14ac:dyDescent="0.2">
      <c r="A96" s="160" t="s">
        <v>1072</v>
      </c>
      <c r="B96" s="127" t="s">
        <v>1587</v>
      </c>
      <c r="C96" s="139">
        <v>1857856</v>
      </c>
      <c r="D96" s="214" t="s">
        <v>167</v>
      </c>
      <c r="E96" s="1541" t="s">
        <v>1589</v>
      </c>
      <c r="F96"/>
      <c r="G96"/>
      <c r="H96" s="451" t="s">
        <v>724</v>
      </c>
      <c r="I96" s="440">
        <f>popWA14</f>
        <v>6968170</v>
      </c>
      <c r="J96" s="440">
        <f>popWA15</f>
        <v>7061410</v>
      </c>
    </row>
    <row r="97" spans="1:10" s="5" customFormat="1" ht="10.5" customHeight="1" x14ac:dyDescent="0.2">
      <c r="A97" s="160" t="s">
        <v>1162</v>
      </c>
      <c r="B97" s="127" t="s">
        <v>1588</v>
      </c>
      <c r="C97" s="232">
        <v>2019721</v>
      </c>
      <c r="D97" s="214" t="s">
        <v>167</v>
      </c>
      <c r="E97" s="1541" t="s">
        <v>1589</v>
      </c>
      <c r="F97"/>
      <c r="G97"/>
      <c r="H97" s="451" t="s">
        <v>725</v>
      </c>
      <c r="I97" s="440">
        <f>empInd04</f>
        <v>1857856</v>
      </c>
      <c r="J97" s="440">
        <f>empCom08</f>
        <v>2019721</v>
      </c>
    </row>
    <row r="98" spans="1:10" s="5" customFormat="1" ht="12.75" thickBot="1" x14ac:dyDescent="0.25">
      <c r="A98" s="213"/>
      <c r="B98" s="179"/>
      <c r="C98" s="232"/>
      <c r="D98" s="214"/>
      <c r="E98" s="215"/>
      <c r="F98"/>
      <c r="G98"/>
      <c r="H98" s="855" t="s">
        <v>726</v>
      </c>
      <c r="I98" s="503">
        <f>C93</f>
        <v>484157</v>
      </c>
      <c r="J98" s="504">
        <f>C94</f>
        <v>568733</v>
      </c>
    </row>
    <row r="99" spans="1:10" s="5" customFormat="1" ht="12.75" thickTop="1" x14ac:dyDescent="0.2">
      <c r="A99" s="663" t="s">
        <v>913</v>
      </c>
      <c r="B99" s="216" t="s">
        <v>914</v>
      </c>
      <c r="C99" s="139">
        <v>6113262</v>
      </c>
      <c r="D99" s="214" t="s">
        <v>167</v>
      </c>
      <c r="E99" s="154" t="s">
        <v>1392</v>
      </c>
      <c r="F99"/>
      <c r="G99"/>
      <c r="H99"/>
    </row>
    <row r="100" spans="1:10" s="5" customFormat="1" x14ac:dyDescent="0.2">
      <c r="A100" s="663" t="s">
        <v>910</v>
      </c>
      <c r="B100" s="216" t="s">
        <v>912</v>
      </c>
      <c r="C100" s="139">
        <v>6464979</v>
      </c>
      <c r="D100" s="214" t="s">
        <v>167</v>
      </c>
      <c r="E100" s="154" t="s">
        <v>1392</v>
      </c>
      <c r="F100"/>
      <c r="G100"/>
      <c r="H100"/>
    </row>
    <row r="101" spans="1:10" s="5" customFormat="1" x14ac:dyDescent="0.2">
      <c r="A101" s="663" t="s">
        <v>909</v>
      </c>
      <c r="B101" s="216" t="s">
        <v>911</v>
      </c>
      <c r="C101" s="139">
        <v>6566073</v>
      </c>
      <c r="D101" s="214" t="s">
        <v>167</v>
      </c>
      <c r="E101" s="154" t="s">
        <v>1392</v>
      </c>
      <c r="F101"/>
      <c r="G101"/>
      <c r="H101"/>
    </row>
    <row r="102" spans="1:10" s="5" customFormat="1" x14ac:dyDescent="0.2">
      <c r="A102" s="160" t="s">
        <v>1088</v>
      </c>
      <c r="B102" s="127" t="s">
        <v>1089</v>
      </c>
      <c r="C102" s="139">
        <v>6742950</v>
      </c>
      <c r="D102" s="214" t="s">
        <v>167</v>
      </c>
      <c r="E102" s="154" t="s">
        <v>1392</v>
      </c>
      <c r="F102"/>
      <c r="G102"/>
      <c r="H102"/>
    </row>
    <row r="103" spans="1:10" s="5" customFormat="1" x14ac:dyDescent="0.2">
      <c r="A103" s="160" t="s">
        <v>1382</v>
      </c>
      <c r="B103" s="127" t="s">
        <v>1387</v>
      </c>
      <c r="C103" s="139">
        <v>6767900</v>
      </c>
      <c r="D103" s="214" t="s">
        <v>167</v>
      </c>
      <c r="E103" s="154" t="s">
        <v>1393</v>
      </c>
      <c r="F103"/>
      <c r="G103"/>
      <c r="H103"/>
    </row>
    <row r="104" spans="1:10" s="5" customFormat="1" x14ac:dyDescent="0.2">
      <c r="A104" s="160" t="s">
        <v>1383</v>
      </c>
      <c r="B104" s="127" t="s">
        <v>1388</v>
      </c>
      <c r="C104" s="139">
        <v>6817770</v>
      </c>
      <c r="D104" s="214" t="s">
        <v>167</v>
      </c>
      <c r="E104" s="154" t="s">
        <v>1393</v>
      </c>
      <c r="F104"/>
      <c r="G104"/>
      <c r="H104"/>
    </row>
    <row r="105" spans="1:10" s="5" customFormat="1" x14ac:dyDescent="0.2">
      <c r="A105" s="160" t="s">
        <v>1384</v>
      </c>
      <c r="B105" s="127" t="s">
        <v>1389</v>
      </c>
      <c r="C105" s="139">
        <v>6882400</v>
      </c>
      <c r="D105" s="214" t="s">
        <v>167</v>
      </c>
      <c r="E105" s="154" t="s">
        <v>1393</v>
      </c>
      <c r="F105"/>
      <c r="G105"/>
      <c r="H105"/>
    </row>
    <row r="106" spans="1:10" s="5" customFormat="1" x14ac:dyDescent="0.2">
      <c r="A106" s="160" t="s">
        <v>1385</v>
      </c>
      <c r="B106" s="127" t="s">
        <v>1390</v>
      </c>
      <c r="C106" s="139">
        <v>6968170</v>
      </c>
      <c r="D106" s="214" t="s">
        <v>167</v>
      </c>
      <c r="E106" s="154" t="s">
        <v>1393</v>
      </c>
      <c r="F106"/>
      <c r="G106"/>
      <c r="H106"/>
    </row>
    <row r="107" spans="1:10" s="5" customFormat="1" x14ac:dyDescent="0.2">
      <c r="A107" s="160" t="s">
        <v>1386</v>
      </c>
      <c r="B107" s="127" t="s">
        <v>1391</v>
      </c>
      <c r="C107" s="139">
        <v>7061410</v>
      </c>
      <c r="D107" s="214" t="s">
        <v>167</v>
      </c>
      <c r="E107" s="154" t="s">
        <v>1393</v>
      </c>
      <c r="F107"/>
      <c r="G107"/>
      <c r="H107"/>
    </row>
    <row r="108" spans="1:10" x14ac:dyDescent="0.2">
      <c r="A108" s="160"/>
      <c r="B108" s="127"/>
      <c r="C108" s="139"/>
      <c r="D108" s="214"/>
      <c r="E108" s="154"/>
    </row>
    <row r="109" spans="1:10" x14ac:dyDescent="0.2">
      <c r="A109" s="153" t="s">
        <v>148</v>
      </c>
      <c r="B109" s="127"/>
      <c r="C109" s="139"/>
      <c r="D109" s="66"/>
      <c r="E109" s="154"/>
    </row>
    <row r="110" spans="1:10" x14ac:dyDescent="0.2">
      <c r="A110" s="153" t="s">
        <v>730</v>
      </c>
      <c r="B110" s="127" t="s">
        <v>1067</v>
      </c>
      <c r="C110" s="139">
        <v>290326418</v>
      </c>
      <c r="D110" s="66" t="s">
        <v>167</v>
      </c>
      <c r="E110" s="154" t="s">
        <v>1381</v>
      </c>
    </row>
    <row r="111" spans="1:10" x14ac:dyDescent="0.2">
      <c r="A111" s="153" t="s">
        <v>796</v>
      </c>
      <c r="B111" s="127" t="s">
        <v>1068</v>
      </c>
      <c r="C111" s="139">
        <v>293045739</v>
      </c>
      <c r="D111" s="66" t="s">
        <v>167</v>
      </c>
      <c r="E111" s="154" t="s">
        <v>1381</v>
      </c>
    </row>
    <row r="112" spans="1:10" x14ac:dyDescent="0.2">
      <c r="A112" s="153" t="s">
        <v>481</v>
      </c>
      <c r="B112" s="127" t="s">
        <v>149</v>
      </c>
      <c r="C112" s="139">
        <v>295753151</v>
      </c>
      <c r="D112" s="66" t="s">
        <v>167</v>
      </c>
      <c r="E112" s="154" t="s">
        <v>1381</v>
      </c>
    </row>
    <row r="113" spans="1:5" x14ac:dyDescent="0.2">
      <c r="A113" s="153" t="s">
        <v>797</v>
      </c>
      <c r="B113" s="127" t="s">
        <v>1065</v>
      </c>
      <c r="C113" s="139">
        <v>298593212</v>
      </c>
      <c r="D113" s="66" t="s">
        <v>167</v>
      </c>
      <c r="E113" s="154" t="s">
        <v>1381</v>
      </c>
    </row>
    <row r="114" spans="1:5" x14ac:dyDescent="0.2">
      <c r="A114" s="153" t="s">
        <v>798</v>
      </c>
      <c r="B114" s="127" t="s">
        <v>1066</v>
      </c>
      <c r="C114" s="139">
        <v>301579895</v>
      </c>
      <c r="D114" s="66" t="s">
        <v>167</v>
      </c>
      <c r="E114" s="154" t="s">
        <v>1381</v>
      </c>
    </row>
    <row r="115" spans="1:5" x14ac:dyDescent="0.2">
      <c r="A115" s="512">
        <v>2008</v>
      </c>
      <c r="B115" s="216" t="s">
        <v>118</v>
      </c>
      <c r="C115" s="139">
        <v>304374846</v>
      </c>
      <c r="D115" s="66" t="s">
        <v>167</v>
      </c>
      <c r="E115" s="154" t="s">
        <v>1381</v>
      </c>
    </row>
    <row r="116" spans="1:5" x14ac:dyDescent="0.2">
      <c r="A116" s="512">
        <v>2015</v>
      </c>
      <c r="B116" s="216" t="s">
        <v>1395</v>
      </c>
      <c r="C116" s="989">
        <v>320896618</v>
      </c>
      <c r="D116" s="66" t="s">
        <v>1396</v>
      </c>
      <c r="E116" s="154" t="s">
        <v>1381</v>
      </c>
    </row>
    <row r="117" spans="1:5" x14ac:dyDescent="0.2">
      <c r="A117"/>
      <c r="C117" s="5"/>
      <c r="E117"/>
    </row>
    <row r="118" spans="1:5" x14ac:dyDescent="0.2">
      <c r="A118"/>
      <c r="C118" s="5"/>
      <c r="E118"/>
    </row>
    <row r="119" spans="1:5" x14ac:dyDescent="0.2">
      <c r="A119"/>
      <c r="C119" s="5"/>
      <c r="E119"/>
    </row>
    <row r="120" spans="1:5" x14ac:dyDescent="0.2">
      <c r="A120"/>
      <c r="C120" s="5"/>
      <c r="E120"/>
    </row>
    <row r="121" spans="1:5" x14ac:dyDescent="0.2">
      <c r="A121"/>
      <c r="C121" s="5"/>
      <c r="E121"/>
    </row>
    <row r="122" spans="1:5" x14ac:dyDescent="0.2">
      <c r="A122"/>
      <c r="C122" s="5"/>
      <c r="E122"/>
    </row>
    <row r="123" spans="1:5" x14ac:dyDescent="0.2">
      <c r="A123"/>
      <c r="C123" s="5"/>
      <c r="E123"/>
    </row>
    <row r="124" spans="1:5" x14ac:dyDescent="0.2">
      <c r="A124"/>
      <c r="C124" s="5"/>
      <c r="E124"/>
    </row>
    <row r="125" spans="1:5" x14ac:dyDescent="0.2">
      <c r="A125"/>
      <c r="C125" s="5"/>
      <c r="E125"/>
    </row>
    <row r="126" spans="1:5" x14ac:dyDescent="0.2">
      <c r="A126"/>
      <c r="C126" s="5"/>
      <c r="E126"/>
    </row>
    <row r="127" spans="1:5" x14ac:dyDescent="0.2">
      <c r="A127"/>
      <c r="C127" s="5"/>
      <c r="E127"/>
    </row>
    <row r="128" spans="1:5" x14ac:dyDescent="0.2">
      <c r="A128"/>
      <c r="C128" s="5"/>
      <c r="E128"/>
    </row>
    <row r="129" spans="1:5" x14ac:dyDescent="0.2">
      <c r="A129"/>
      <c r="C129" s="5"/>
      <c r="E129"/>
    </row>
    <row r="130" spans="1:5" x14ac:dyDescent="0.2">
      <c r="A130"/>
      <c r="C130" s="5"/>
      <c r="E130"/>
    </row>
    <row r="131" spans="1:5" x14ac:dyDescent="0.2">
      <c r="A131"/>
      <c r="C131" s="5"/>
      <c r="E131"/>
    </row>
    <row r="132" spans="1:5" x14ac:dyDescent="0.2">
      <c r="A132"/>
      <c r="C132" s="5"/>
      <c r="E132"/>
    </row>
    <row r="133" spans="1:5" x14ac:dyDescent="0.2">
      <c r="A133"/>
      <c r="C133" s="5"/>
      <c r="E133"/>
    </row>
    <row r="134" spans="1:5" x14ac:dyDescent="0.2">
      <c r="A134"/>
      <c r="C134" s="5"/>
      <c r="E134"/>
    </row>
    <row r="135" spans="1:5" x14ac:dyDescent="0.2">
      <c r="A135"/>
      <c r="C135" s="5"/>
      <c r="E135"/>
    </row>
    <row r="136" spans="1:5" x14ac:dyDescent="0.2">
      <c r="A136"/>
      <c r="C136" s="5"/>
      <c r="E136"/>
    </row>
    <row r="137" spans="1:5" x14ac:dyDescent="0.2">
      <c r="A137"/>
      <c r="C137" s="5"/>
      <c r="E137"/>
    </row>
    <row r="138" spans="1:5" x14ac:dyDescent="0.2">
      <c r="A138"/>
      <c r="C138" s="5"/>
      <c r="E138"/>
    </row>
    <row r="139" spans="1:5" x14ac:dyDescent="0.2">
      <c r="A139"/>
      <c r="C139" s="5"/>
      <c r="E139"/>
    </row>
    <row r="140" spans="1:5" x14ac:dyDescent="0.2">
      <c r="A140"/>
      <c r="C140" s="5"/>
      <c r="E140"/>
    </row>
    <row r="141" spans="1:5" x14ac:dyDescent="0.2">
      <c r="A141"/>
      <c r="C141" s="5"/>
      <c r="E141"/>
    </row>
    <row r="142" spans="1:5" x14ac:dyDescent="0.2">
      <c r="A142"/>
      <c r="C142" s="5"/>
      <c r="E142"/>
    </row>
    <row r="143" spans="1:5" x14ac:dyDescent="0.2">
      <c r="A143"/>
      <c r="C143" s="5"/>
      <c r="E143"/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14"/>
  <sheetViews>
    <sheetView workbookViewId="0">
      <pane ySplit="3" topLeftCell="A4" activePane="bottomLeft" state="frozen"/>
      <selection activeCell="F46" sqref="F46"/>
      <selection pane="bottomLeft" activeCell="F26" sqref="F26"/>
    </sheetView>
  </sheetViews>
  <sheetFormatPr defaultColWidth="8.85546875" defaultRowHeight="12" x14ac:dyDescent="0.2"/>
  <cols>
    <col min="1" max="2" width="14.7109375" style="15" customWidth="1"/>
    <col min="3" max="3" width="24.7109375" style="15" customWidth="1"/>
    <col min="4" max="4" width="12.7109375" style="15" customWidth="1"/>
    <col min="5" max="5" width="40.7109375" style="81" customWidth="1"/>
    <col min="6" max="6" width="12.7109375" style="15" customWidth="1"/>
    <col min="7" max="7" width="8.85546875" style="15"/>
    <col min="8" max="8" width="10.7109375" style="15" customWidth="1"/>
    <col min="9" max="16384" width="8.85546875" style="15"/>
  </cols>
  <sheetData>
    <row r="1" spans="1:9" ht="27.75" customHeight="1" x14ac:dyDescent="0.2">
      <c r="A1" s="13" t="s">
        <v>491</v>
      </c>
      <c r="B1" s="14"/>
    </row>
    <row r="2" spans="1:9" x14ac:dyDescent="0.2">
      <c r="A2" s="17" t="s">
        <v>492</v>
      </c>
      <c r="B2" s="17"/>
      <c r="D2" s="18" t="s">
        <v>493</v>
      </c>
      <c r="E2" s="82"/>
    </row>
    <row r="3" spans="1:9" x14ac:dyDescent="0.2">
      <c r="A3" s="19" t="s">
        <v>494</v>
      </c>
      <c r="B3" s="19" t="s">
        <v>495</v>
      </c>
      <c r="C3" s="16" t="s">
        <v>496</v>
      </c>
      <c r="D3" s="19" t="s">
        <v>497</v>
      </c>
      <c r="E3" s="82" t="s">
        <v>214</v>
      </c>
    </row>
    <row r="5" spans="1:9" s="21" customFormat="1" x14ac:dyDescent="0.2">
      <c r="A5" s="20"/>
      <c r="B5" s="20"/>
      <c r="C5" s="20" t="s">
        <v>350</v>
      </c>
      <c r="D5" s="20"/>
      <c r="E5" s="81"/>
      <c r="F5" s="15"/>
      <c r="G5" s="15"/>
      <c r="H5" s="15"/>
      <c r="I5" s="15"/>
    </row>
    <row r="6" spans="1:9" x14ac:dyDescent="0.2">
      <c r="A6" s="15" t="s">
        <v>498</v>
      </c>
      <c r="B6" s="15" t="s">
        <v>499</v>
      </c>
      <c r="C6" s="15" t="s">
        <v>500</v>
      </c>
      <c r="D6" s="22">
        <f>1/D8</f>
        <v>0.39370078740157477</v>
      </c>
    </row>
    <row r="7" spans="1:9" x14ac:dyDescent="0.2">
      <c r="A7" s="15" t="s">
        <v>501</v>
      </c>
      <c r="B7" s="15" t="s">
        <v>502</v>
      </c>
      <c r="C7" s="15" t="s">
        <v>503</v>
      </c>
      <c r="D7" s="23">
        <v>0.30480000000000002</v>
      </c>
    </row>
    <row r="8" spans="1:9" x14ac:dyDescent="0.2">
      <c r="A8" s="15" t="s">
        <v>499</v>
      </c>
      <c r="B8" s="15" t="s">
        <v>498</v>
      </c>
      <c r="C8" s="15" t="s">
        <v>504</v>
      </c>
      <c r="D8" s="24">
        <f>D9/10</f>
        <v>2.54</v>
      </c>
    </row>
    <row r="9" spans="1:9" x14ac:dyDescent="0.2">
      <c r="A9" s="15" t="s">
        <v>499</v>
      </c>
      <c r="B9" s="15" t="s">
        <v>635</v>
      </c>
      <c r="C9" s="15" t="s">
        <v>636</v>
      </c>
      <c r="D9" s="23">
        <v>25.4</v>
      </c>
    </row>
    <row r="10" spans="1:9" x14ac:dyDescent="0.2">
      <c r="A10" s="15" t="s">
        <v>637</v>
      </c>
      <c r="B10" s="15" t="s">
        <v>638</v>
      </c>
      <c r="C10" s="15" t="s">
        <v>639</v>
      </c>
      <c r="D10" s="22">
        <f>1/D11</f>
        <v>0.62150403977625857</v>
      </c>
    </row>
    <row r="11" spans="1:9" x14ac:dyDescent="0.2">
      <c r="A11" s="15" t="s">
        <v>638</v>
      </c>
      <c r="B11" s="15" t="s">
        <v>637</v>
      </c>
      <c r="C11" s="15" t="s">
        <v>640</v>
      </c>
      <c r="D11" s="23">
        <v>1.609</v>
      </c>
    </row>
    <row r="12" spans="1:9" x14ac:dyDescent="0.2">
      <c r="A12" s="15" t="s">
        <v>635</v>
      </c>
      <c r="B12" s="15" t="s">
        <v>499</v>
      </c>
      <c r="C12" s="15" t="s">
        <v>641</v>
      </c>
      <c r="D12" s="25">
        <f>1/D9</f>
        <v>3.937007874015748E-2</v>
      </c>
    </row>
    <row r="14" spans="1:9" x14ac:dyDescent="0.2">
      <c r="A14" s="20"/>
      <c r="B14" s="20"/>
      <c r="C14" s="20" t="s">
        <v>351</v>
      </c>
      <c r="D14" s="20"/>
    </row>
    <row r="15" spans="1:9" x14ac:dyDescent="0.2">
      <c r="A15" s="15" t="s">
        <v>642</v>
      </c>
      <c r="B15" s="15" t="s">
        <v>643</v>
      </c>
      <c r="C15" s="15" t="s">
        <v>644</v>
      </c>
      <c r="D15" s="23">
        <v>2.2049999999999999E-3</v>
      </c>
    </row>
    <row r="16" spans="1:9" x14ac:dyDescent="0.2">
      <c r="A16" s="15" t="s">
        <v>645</v>
      </c>
      <c r="B16" s="15" t="s">
        <v>642</v>
      </c>
      <c r="C16" s="15" t="s">
        <v>646</v>
      </c>
      <c r="D16" s="23">
        <v>1000</v>
      </c>
    </row>
    <row r="17" spans="1:9" x14ac:dyDescent="0.2">
      <c r="A17" s="15" t="s">
        <v>645</v>
      </c>
      <c r="B17" s="15" t="s">
        <v>643</v>
      </c>
      <c r="C17" s="15" t="s">
        <v>647</v>
      </c>
      <c r="D17" s="24">
        <f>1/D19</f>
        <v>2.204585537918871</v>
      </c>
    </row>
    <row r="18" spans="1:9" x14ac:dyDescent="0.2">
      <c r="A18" s="15" t="s">
        <v>643</v>
      </c>
      <c r="B18" s="15" t="s">
        <v>642</v>
      </c>
      <c r="C18" s="15" t="s">
        <v>648</v>
      </c>
      <c r="D18" s="26">
        <f>lbTOkg*1000</f>
        <v>453.6</v>
      </c>
    </row>
    <row r="19" spans="1:9" x14ac:dyDescent="0.2">
      <c r="A19" s="15" t="s">
        <v>643</v>
      </c>
      <c r="B19" s="15" t="s">
        <v>645</v>
      </c>
      <c r="C19" s="15" t="s">
        <v>649</v>
      </c>
      <c r="D19" s="23">
        <v>0.4536</v>
      </c>
    </row>
    <row r="20" spans="1:9" x14ac:dyDescent="0.2">
      <c r="A20" s="15" t="s">
        <v>643</v>
      </c>
      <c r="B20" s="15" t="s">
        <v>650</v>
      </c>
      <c r="C20" s="15" t="s">
        <v>651</v>
      </c>
      <c r="D20" s="27">
        <f>lbTOkg/1000</f>
        <v>4.5360000000000002E-4</v>
      </c>
    </row>
    <row r="21" spans="1:9" x14ac:dyDescent="0.2">
      <c r="A21" s="15" t="s">
        <v>643</v>
      </c>
      <c r="B21" s="15" t="s">
        <v>652</v>
      </c>
      <c r="C21" s="15" t="s">
        <v>653</v>
      </c>
      <c r="D21" s="27">
        <f>1/D25</f>
        <v>5.0000000000000001E-4</v>
      </c>
    </row>
    <row r="22" spans="1:9" x14ac:dyDescent="0.2">
      <c r="A22" s="15" t="s">
        <v>650</v>
      </c>
      <c r="B22" s="15" t="s">
        <v>652</v>
      </c>
      <c r="C22" s="15" t="s">
        <v>654</v>
      </c>
      <c r="D22" s="24">
        <f>1/D27</f>
        <v>1.1023170704821534</v>
      </c>
    </row>
    <row r="23" spans="1:9" x14ac:dyDescent="0.2">
      <c r="A23" s="15" t="s">
        <v>643</v>
      </c>
      <c r="B23" s="15" t="s">
        <v>314</v>
      </c>
      <c r="C23" s="15" t="s">
        <v>152</v>
      </c>
      <c r="D23" s="23">
        <v>16</v>
      </c>
    </row>
    <row r="24" spans="1:9" x14ac:dyDescent="0.2">
      <c r="A24" s="15" t="s">
        <v>314</v>
      </c>
      <c r="B24" s="15" t="s">
        <v>645</v>
      </c>
      <c r="C24" s="15" t="s">
        <v>153</v>
      </c>
      <c r="D24" s="55">
        <f>lbTOkg/lbTOoz</f>
        <v>2.835E-2</v>
      </c>
    </row>
    <row r="25" spans="1:9" x14ac:dyDescent="0.2">
      <c r="A25" s="15" t="s">
        <v>652</v>
      </c>
      <c r="B25" s="15" t="s">
        <v>643</v>
      </c>
      <c r="C25" s="15" t="s">
        <v>655</v>
      </c>
      <c r="D25" s="23">
        <v>2000</v>
      </c>
    </row>
    <row r="26" spans="1:9" x14ac:dyDescent="0.2">
      <c r="A26" s="15" t="s">
        <v>652</v>
      </c>
      <c r="B26" s="15" t="s">
        <v>645</v>
      </c>
      <c r="C26" s="15" t="s">
        <v>396</v>
      </c>
      <c r="D26" s="26">
        <f>tonTOMg*1000</f>
        <v>907.18</v>
      </c>
    </row>
    <row r="27" spans="1:9" x14ac:dyDescent="0.2">
      <c r="A27" s="15" t="s">
        <v>652</v>
      </c>
      <c r="B27" s="15" t="s">
        <v>650</v>
      </c>
      <c r="C27" s="15" t="s">
        <v>656</v>
      </c>
      <c r="D27" s="23">
        <v>0.90717999999999999</v>
      </c>
    </row>
    <row r="28" spans="1:9" x14ac:dyDescent="0.2">
      <c r="D28" s="25"/>
    </row>
    <row r="29" spans="1:9" s="28" customFormat="1" x14ac:dyDescent="0.2">
      <c r="A29" s="20"/>
      <c r="B29" s="20"/>
      <c r="C29" s="20" t="s">
        <v>352</v>
      </c>
      <c r="D29" s="20"/>
      <c r="E29" s="81"/>
      <c r="F29" s="15"/>
      <c r="G29" s="15"/>
      <c r="H29" s="15"/>
      <c r="I29" s="15"/>
    </row>
    <row r="30" spans="1:9" x14ac:dyDescent="0.2">
      <c r="A30" s="15" t="s">
        <v>658</v>
      </c>
      <c r="B30" s="15" t="s">
        <v>232</v>
      </c>
      <c r="C30" s="15" t="s">
        <v>234</v>
      </c>
      <c r="D30" s="50">
        <v>1440</v>
      </c>
      <c r="E30" s="81" t="s">
        <v>667</v>
      </c>
    </row>
    <row r="31" spans="1:9" x14ac:dyDescent="0.2">
      <c r="A31" s="15" t="s">
        <v>658</v>
      </c>
      <c r="B31" s="15" t="s">
        <v>662</v>
      </c>
      <c r="C31" s="15" t="s">
        <v>564</v>
      </c>
      <c r="D31" s="46">
        <f>1/D40</f>
        <v>2.7379257474537291E-3</v>
      </c>
    </row>
    <row r="32" spans="1:9" x14ac:dyDescent="0.2">
      <c r="A32" s="15" t="s">
        <v>657</v>
      </c>
      <c r="B32" s="15" t="s">
        <v>658</v>
      </c>
      <c r="C32" s="15" t="s">
        <v>659</v>
      </c>
      <c r="D32" s="29">
        <v>4.1669999999999999E-2</v>
      </c>
    </row>
    <row r="33" spans="1:5" x14ac:dyDescent="0.2">
      <c r="A33" s="15" t="s">
        <v>657</v>
      </c>
      <c r="B33" s="15" t="s">
        <v>660</v>
      </c>
      <c r="C33" s="15" t="s">
        <v>661</v>
      </c>
      <c r="D33" s="23">
        <v>3600</v>
      </c>
    </row>
    <row r="34" spans="1:5" x14ac:dyDescent="0.2">
      <c r="A34" s="15" t="s">
        <v>657</v>
      </c>
      <c r="B34" s="15" t="s">
        <v>662</v>
      </c>
      <c r="C34" s="15" t="s">
        <v>663</v>
      </c>
      <c r="D34" s="27">
        <f>1/D41</f>
        <v>1.1415525114155251E-4</v>
      </c>
    </row>
    <row r="35" spans="1:5" x14ac:dyDescent="0.2">
      <c r="A35" s="15" t="s">
        <v>232</v>
      </c>
      <c r="B35" s="15" t="s">
        <v>658</v>
      </c>
      <c r="C35" s="15" t="s">
        <v>233</v>
      </c>
      <c r="D35" s="15">
        <f>1/dayTOmin</f>
        <v>6.9444444444444447E-4</v>
      </c>
    </row>
    <row r="36" spans="1:5" x14ac:dyDescent="0.2">
      <c r="A36" s="15" t="s">
        <v>561</v>
      </c>
      <c r="B36" s="15" t="s">
        <v>658</v>
      </c>
      <c r="C36" s="15" t="s">
        <v>562</v>
      </c>
      <c r="D36" s="53">
        <f>yrTOday/yrTOmo</f>
        <v>30.436666666666667</v>
      </c>
    </row>
    <row r="37" spans="1:5" x14ac:dyDescent="0.2">
      <c r="A37" s="15" t="s">
        <v>561</v>
      </c>
      <c r="B37" s="15" t="s">
        <v>662</v>
      </c>
      <c r="C37" s="15" t="s">
        <v>565</v>
      </c>
      <c r="D37" s="55">
        <f>1/yrTOmo</f>
        <v>8.3333333333333329E-2</v>
      </c>
    </row>
    <row r="38" spans="1:5" x14ac:dyDescent="0.2">
      <c r="A38" s="15" t="s">
        <v>660</v>
      </c>
      <c r="B38" s="15" t="s">
        <v>658</v>
      </c>
      <c r="C38" s="15" t="s">
        <v>664</v>
      </c>
      <c r="D38" s="30">
        <v>1.1574E-5</v>
      </c>
      <c r="E38" s="83"/>
    </row>
    <row r="39" spans="1:5" x14ac:dyDescent="0.2">
      <c r="A39" s="15" t="s">
        <v>660</v>
      </c>
      <c r="B39" s="15" t="s">
        <v>657</v>
      </c>
      <c r="C39" s="15" t="s">
        <v>665</v>
      </c>
      <c r="D39" s="27">
        <f>1/D33</f>
        <v>2.7777777777777778E-4</v>
      </c>
    </row>
    <row r="40" spans="1:5" x14ac:dyDescent="0.2">
      <c r="A40" s="15" t="s">
        <v>662</v>
      </c>
      <c r="B40" s="15" t="s">
        <v>658</v>
      </c>
      <c r="C40" s="15" t="s">
        <v>311</v>
      </c>
      <c r="D40" s="31">
        <v>365.24</v>
      </c>
      <c r="E40" s="81" t="s">
        <v>667</v>
      </c>
    </row>
    <row r="41" spans="1:5" x14ac:dyDescent="0.2">
      <c r="A41" s="15" t="s">
        <v>662</v>
      </c>
      <c r="B41" s="15" t="s">
        <v>657</v>
      </c>
      <c r="C41" s="15" t="s">
        <v>521</v>
      </c>
      <c r="D41" s="23">
        <v>8760</v>
      </c>
    </row>
    <row r="42" spans="1:5" x14ac:dyDescent="0.2">
      <c r="A42" s="15" t="s">
        <v>662</v>
      </c>
      <c r="B42" s="15" t="s">
        <v>561</v>
      </c>
      <c r="C42" s="15" t="s">
        <v>563</v>
      </c>
      <c r="D42" s="23">
        <v>12</v>
      </c>
      <c r="E42" s="81" t="s">
        <v>667</v>
      </c>
    </row>
    <row r="44" spans="1:5" x14ac:dyDescent="0.2">
      <c r="A44" s="20"/>
      <c r="B44" s="20"/>
      <c r="C44" s="20" t="s">
        <v>353</v>
      </c>
      <c r="D44" s="20"/>
    </row>
    <row r="45" spans="1:5" x14ac:dyDescent="0.2">
      <c r="A45" s="15" t="s">
        <v>522</v>
      </c>
      <c r="B45" s="15" t="s">
        <v>523</v>
      </c>
      <c r="C45" s="15" t="s">
        <v>524</v>
      </c>
      <c r="D45" s="23">
        <v>43560</v>
      </c>
    </row>
    <row r="46" spans="1:5" x14ac:dyDescent="0.2">
      <c r="A46" s="15" t="s">
        <v>522</v>
      </c>
      <c r="B46" s="15" t="s">
        <v>525</v>
      </c>
      <c r="C46" s="15" t="s">
        <v>526</v>
      </c>
      <c r="D46" s="23">
        <v>0.40468700000000002</v>
      </c>
    </row>
    <row r="47" spans="1:5" x14ac:dyDescent="0.2">
      <c r="A47" s="15" t="s">
        <v>522</v>
      </c>
      <c r="B47" s="15" t="s">
        <v>527</v>
      </c>
      <c r="C47" s="15" t="s">
        <v>528</v>
      </c>
      <c r="D47" s="23">
        <v>4.0468600000000002E-3</v>
      </c>
    </row>
    <row r="48" spans="1:5" x14ac:dyDescent="0.2">
      <c r="A48" s="15" t="s">
        <v>522</v>
      </c>
      <c r="B48" s="15" t="s">
        <v>529</v>
      </c>
      <c r="C48" s="15" t="s">
        <v>530</v>
      </c>
      <c r="D48" s="23">
        <v>4046.856421</v>
      </c>
    </row>
    <row r="49" spans="1:5" x14ac:dyDescent="0.2">
      <c r="A49" s="15" t="s">
        <v>522</v>
      </c>
      <c r="B49" s="15" t="s">
        <v>531</v>
      </c>
      <c r="C49" s="15" t="s">
        <v>532</v>
      </c>
      <c r="D49" s="23">
        <v>1.5625000000000001E-3</v>
      </c>
    </row>
    <row r="50" spans="1:5" x14ac:dyDescent="0.2">
      <c r="A50" s="15" t="s">
        <v>523</v>
      </c>
      <c r="B50" s="15" t="s">
        <v>529</v>
      </c>
      <c r="C50" s="15" t="s">
        <v>533</v>
      </c>
      <c r="D50" s="23">
        <v>9.2899999999999996E-2</v>
      </c>
    </row>
    <row r="51" spans="1:5" x14ac:dyDescent="0.2">
      <c r="A51" s="15" t="s">
        <v>523</v>
      </c>
      <c r="B51" s="15" t="s">
        <v>226</v>
      </c>
      <c r="C51" s="15" t="s">
        <v>228</v>
      </c>
      <c r="D51" s="39">
        <f>1/D61</f>
        <v>0.1111111111111111</v>
      </c>
    </row>
    <row r="52" spans="1:5" x14ac:dyDescent="0.2">
      <c r="A52" s="15" t="s">
        <v>525</v>
      </c>
      <c r="B52" s="15" t="s">
        <v>522</v>
      </c>
      <c r="C52" s="15" t="s">
        <v>534</v>
      </c>
      <c r="D52" s="24">
        <f>1/D46</f>
        <v>2.4710455240716898</v>
      </c>
    </row>
    <row r="53" spans="1:5" x14ac:dyDescent="0.2">
      <c r="A53" s="15" t="s">
        <v>525</v>
      </c>
      <c r="B53" s="15" t="s">
        <v>527</v>
      </c>
      <c r="C53" s="15" t="s">
        <v>666</v>
      </c>
      <c r="D53" s="31">
        <v>0.01</v>
      </c>
      <c r="E53" s="81" t="s">
        <v>667</v>
      </c>
    </row>
    <row r="54" spans="1:5" x14ac:dyDescent="0.2">
      <c r="A54" s="15" t="s">
        <v>527</v>
      </c>
      <c r="B54" s="15" t="s">
        <v>522</v>
      </c>
      <c r="C54" s="15" t="s">
        <v>668</v>
      </c>
      <c r="D54" s="26">
        <f>1/acreTOkm2</f>
        <v>247.10516301527602</v>
      </c>
    </row>
    <row r="55" spans="1:5" x14ac:dyDescent="0.2">
      <c r="A55" s="15" t="s">
        <v>527</v>
      </c>
      <c r="B55" s="15" t="s">
        <v>529</v>
      </c>
      <c r="C55" s="15" t="s">
        <v>669</v>
      </c>
      <c r="D55" s="32">
        <v>1000000</v>
      </c>
    </row>
    <row r="56" spans="1:5" x14ac:dyDescent="0.2">
      <c r="A56" s="15" t="s">
        <v>527</v>
      </c>
      <c r="B56" s="15" t="s">
        <v>531</v>
      </c>
      <c r="C56" s="15" t="s">
        <v>670</v>
      </c>
      <c r="D56" s="33">
        <v>0.3861</v>
      </c>
    </row>
    <row r="57" spans="1:5" x14ac:dyDescent="0.2">
      <c r="A57" s="15" t="s">
        <v>529</v>
      </c>
      <c r="B57" s="15" t="s">
        <v>522</v>
      </c>
      <c r="C57" s="15" t="s">
        <v>671</v>
      </c>
      <c r="D57" s="27">
        <f>1/D48</f>
        <v>2.4710538155265082E-4</v>
      </c>
    </row>
    <row r="58" spans="1:5" x14ac:dyDescent="0.2">
      <c r="A58" s="15" t="s">
        <v>529</v>
      </c>
      <c r="B58" s="15" t="s">
        <v>523</v>
      </c>
      <c r="C58" s="15" t="s">
        <v>672</v>
      </c>
      <c r="D58" s="34">
        <f>1/D50</f>
        <v>10.764262648008613</v>
      </c>
    </row>
    <row r="59" spans="1:5" x14ac:dyDescent="0.2">
      <c r="A59" s="15" t="s">
        <v>529</v>
      </c>
      <c r="B59" s="15" t="s">
        <v>527</v>
      </c>
      <c r="C59" s="15" t="s">
        <v>673</v>
      </c>
      <c r="D59" s="30">
        <v>9.9999999999999995E-7</v>
      </c>
    </row>
    <row r="60" spans="1:5" x14ac:dyDescent="0.2">
      <c r="A60" s="15" t="s">
        <v>531</v>
      </c>
      <c r="B60" s="15" t="s">
        <v>522</v>
      </c>
      <c r="C60" s="15" t="s">
        <v>536</v>
      </c>
      <c r="D60" s="35">
        <f>1/D49</f>
        <v>640</v>
      </c>
    </row>
    <row r="61" spans="1:5" x14ac:dyDescent="0.2">
      <c r="A61" s="15" t="s">
        <v>226</v>
      </c>
      <c r="B61" s="15" t="s">
        <v>523</v>
      </c>
      <c r="C61" s="15" t="s">
        <v>227</v>
      </c>
      <c r="D61" s="50">
        <v>9</v>
      </c>
      <c r="E61" s="81" t="s">
        <v>667</v>
      </c>
    </row>
    <row r="62" spans="1:5" x14ac:dyDescent="0.2">
      <c r="A62" s="15" t="s">
        <v>531</v>
      </c>
      <c r="B62" s="15" t="s">
        <v>527</v>
      </c>
      <c r="C62" s="15" t="s">
        <v>537</v>
      </c>
      <c r="D62" s="29">
        <v>2.5899899999999998</v>
      </c>
    </row>
    <row r="64" spans="1:5" x14ac:dyDescent="0.2">
      <c r="A64" s="20"/>
      <c r="B64" s="20"/>
      <c r="C64" s="20" t="s">
        <v>354</v>
      </c>
      <c r="D64" s="20"/>
    </row>
    <row r="65" spans="1:4" x14ac:dyDescent="0.2">
      <c r="A65" s="15" t="s">
        <v>538</v>
      </c>
      <c r="B65" s="15" t="s">
        <v>539</v>
      </c>
      <c r="C65" s="15" t="s">
        <v>540</v>
      </c>
      <c r="D65" s="36">
        <v>325900</v>
      </c>
    </row>
    <row r="66" spans="1:4" x14ac:dyDescent="0.2">
      <c r="A66" s="15" t="s">
        <v>538</v>
      </c>
      <c r="B66" s="15" t="s">
        <v>541</v>
      </c>
      <c r="C66" s="15" t="s">
        <v>542</v>
      </c>
      <c r="D66" s="37">
        <v>1233.482</v>
      </c>
    </row>
    <row r="67" spans="1:4" x14ac:dyDescent="0.2">
      <c r="A67" s="15" t="s">
        <v>543</v>
      </c>
      <c r="B67" s="15" t="s">
        <v>539</v>
      </c>
      <c r="C67" s="15" t="s">
        <v>544</v>
      </c>
      <c r="D67" s="23">
        <v>27154.286</v>
      </c>
    </row>
    <row r="68" spans="1:4" x14ac:dyDescent="0.2">
      <c r="A68" s="15" t="s">
        <v>244</v>
      </c>
      <c r="B68" s="15" t="s">
        <v>539</v>
      </c>
      <c r="C68" s="15" t="s">
        <v>246</v>
      </c>
      <c r="D68" s="80">
        <v>42</v>
      </c>
    </row>
    <row r="69" spans="1:4" x14ac:dyDescent="0.2">
      <c r="A69" s="15" t="s">
        <v>244</v>
      </c>
      <c r="B69" s="15" t="s">
        <v>404</v>
      </c>
      <c r="C69" s="15" t="s">
        <v>247</v>
      </c>
      <c r="D69" s="26">
        <f>bblTOgal*galTOL</f>
        <v>158.98680000000002</v>
      </c>
    </row>
    <row r="70" spans="1:4" x14ac:dyDescent="0.2">
      <c r="A70" s="15" t="s">
        <v>545</v>
      </c>
      <c r="B70" s="15" t="s">
        <v>539</v>
      </c>
      <c r="C70" s="15" t="s">
        <v>546</v>
      </c>
      <c r="D70" s="23">
        <v>7.4805200000000003</v>
      </c>
    </row>
    <row r="71" spans="1:4" x14ac:dyDescent="0.2">
      <c r="A71" s="15" t="s">
        <v>545</v>
      </c>
      <c r="B71" s="15" t="s">
        <v>404</v>
      </c>
      <c r="C71" s="15" t="s">
        <v>252</v>
      </c>
      <c r="D71" s="23">
        <v>28.316870000000002</v>
      </c>
    </row>
    <row r="72" spans="1:4" x14ac:dyDescent="0.2">
      <c r="A72" s="15" t="s">
        <v>545</v>
      </c>
      <c r="B72" s="15" t="s">
        <v>541</v>
      </c>
      <c r="C72" s="15" t="s">
        <v>548</v>
      </c>
      <c r="D72" s="23">
        <v>2.8320000000000001E-2</v>
      </c>
    </row>
    <row r="73" spans="1:4" x14ac:dyDescent="0.2">
      <c r="A73" s="15" t="s">
        <v>539</v>
      </c>
      <c r="B73" s="15" t="s">
        <v>538</v>
      </c>
      <c r="C73" s="15" t="s">
        <v>549</v>
      </c>
      <c r="D73" s="38">
        <f>1/D65</f>
        <v>3.068425897514575E-6</v>
      </c>
    </row>
    <row r="74" spans="1:4" x14ac:dyDescent="0.2">
      <c r="A74" s="15" t="s">
        <v>539</v>
      </c>
      <c r="B74" s="15" t="s">
        <v>543</v>
      </c>
      <c r="C74" s="15" t="s">
        <v>550</v>
      </c>
      <c r="D74" s="38">
        <f>1/D67</f>
        <v>3.6826598939114067E-5</v>
      </c>
    </row>
    <row r="75" spans="1:4" x14ac:dyDescent="0.2">
      <c r="A75" s="15" t="s">
        <v>539</v>
      </c>
      <c r="B75" s="15" t="s">
        <v>244</v>
      </c>
      <c r="C75" s="15" t="s">
        <v>245</v>
      </c>
      <c r="D75" s="55">
        <f>1/bblTOgal</f>
        <v>2.3809523809523808E-2</v>
      </c>
    </row>
    <row r="76" spans="1:4" x14ac:dyDescent="0.2">
      <c r="A76" s="15" t="s">
        <v>539</v>
      </c>
      <c r="B76" s="15" t="s">
        <v>404</v>
      </c>
      <c r="C76" s="15" t="s">
        <v>405</v>
      </c>
      <c r="D76" s="23">
        <v>3.7854000000000001</v>
      </c>
    </row>
    <row r="77" spans="1:4" x14ac:dyDescent="0.2">
      <c r="A77" s="15" t="s">
        <v>539</v>
      </c>
      <c r="B77" s="15" t="s">
        <v>541</v>
      </c>
      <c r="C77" s="15" t="s">
        <v>551</v>
      </c>
      <c r="D77" s="23">
        <v>3.7850000000000002E-3</v>
      </c>
    </row>
    <row r="78" spans="1:4" x14ac:dyDescent="0.2">
      <c r="A78" s="15" t="s">
        <v>404</v>
      </c>
      <c r="B78" s="15" t="s">
        <v>545</v>
      </c>
      <c r="C78" s="15" t="s">
        <v>253</v>
      </c>
      <c r="D78" s="23">
        <v>3.5310000000000001E-2</v>
      </c>
    </row>
    <row r="79" spans="1:4" x14ac:dyDescent="0.2">
      <c r="A79" s="15" t="s">
        <v>404</v>
      </c>
      <c r="B79" s="15" t="s">
        <v>539</v>
      </c>
      <c r="C79" s="15" t="s">
        <v>254</v>
      </c>
      <c r="D79" s="39">
        <f>1/galTOliter</f>
        <v>0.2641728747292228</v>
      </c>
    </row>
    <row r="80" spans="1:4" x14ac:dyDescent="0.2">
      <c r="A80" s="15" t="s">
        <v>404</v>
      </c>
      <c r="B80" s="15" t="s">
        <v>541</v>
      </c>
      <c r="C80" s="15" t="s">
        <v>255</v>
      </c>
      <c r="D80" s="23">
        <v>1E-3</v>
      </c>
    </row>
    <row r="81" spans="1:4" x14ac:dyDescent="0.2">
      <c r="A81" s="15" t="s">
        <v>541</v>
      </c>
      <c r="B81" s="15" t="s">
        <v>538</v>
      </c>
      <c r="C81" s="15" t="s">
        <v>552</v>
      </c>
      <c r="D81" s="27">
        <f>1/D66</f>
        <v>8.1071308701707845E-4</v>
      </c>
    </row>
    <row r="82" spans="1:4" x14ac:dyDescent="0.2">
      <c r="A82" s="15" t="s">
        <v>541</v>
      </c>
      <c r="B82" s="15" t="s">
        <v>545</v>
      </c>
      <c r="C82" s="15" t="s">
        <v>553</v>
      </c>
      <c r="D82" s="34">
        <f>1/D72</f>
        <v>35.310734463276837</v>
      </c>
    </row>
    <row r="83" spans="1:4" x14ac:dyDescent="0.2">
      <c r="A83" s="15" t="s">
        <v>541</v>
      </c>
      <c r="B83" s="15" t="s">
        <v>539</v>
      </c>
      <c r="C83" s="15" t="s">
        <v>554</v>
      </c>
      <c r="D83" s="35">
        <f>1/D77</f>
        <v>264.20079260237782</v>
      </c>
    </row>
    <row r="84" spans="1:4" x14ac:dyDescent="0.2">
      <c r="A84" s="15" t="s">
        <v>541</v>
      </c>
      <c r="B84" s="15" t="s">
        <v>547</v>
      </c>
      <c r="C84" s="15" t="s">
        <v>237</v>
      </c>
      <c r="D84" s="49">
        <f>1/LTOm3</f>
        <v>1000</v>
      </c>
    </row>
    <row r="85" spans="1:4" x14ac:dyDescent="0.2">
      <c r="A85" s="15" t="s">
        <v>325</v>
      </c>
      <c r="B85" s="15" t="s">
        <v>541</v>
      </c>
      <c r="C85" s="15" t="s">
        <v>326</v>
      </c>
      <c r="D85" s="23">
        <v>0.76454999999999995</v>
      </c>
    </row>
    <row r="86" spans="1:4" x14ac:dyDescent="0.2">
      <c r="D86" s="35"/>
    </row>
    <row r="87" spans="1:4" x14ac:dyDescent="0.2">
      <c r="A87" s="20"/>
      <c r="B87" s="20"/>
      <c r="C87" s="20" t="s">
        <v>355</v>
      </c>
      <c r="D87" s="20"/>
    </row>
    <row r="88" spans="1:4" x14ac:dyDescent="0.2">
      <c r="A88" s="15" t="s">
        <v>643</v>
      </c>
      <c r="B88" s="15" t="s">
        <v>555</v>
      </c>
      <c r="C88" s="15" t="s">
        <v>556</v>
      </c>
      <c r="D88" s="40">
        <v>4.4482200000000001</v>
      </c>
    </row>
    <row r="89" spans="1:4" x14ac:dyDescent="0.2">
      <c r="D89" s="35"/>
    </row>
    <row r="90" spans="1:4" x14ac:dyDescent="0.2">
      <c r="A90" s="20"/>
      <c r="B90" s="20"/>
      <c r="C90" s="20" t="s">
        <v>356</v>
      </c>
      <c r="D90" s="20"/>
    </row>
    <row r="91" spans="1:4" x14ac:dyDescent="0.2">
      <c r="A91" s="15" t="s">
        <v>580</v>
      </c>
      <c r="B91" s="15" t="s">
        <v>581</v>
      </c>
      <c r="C91" s="15" t="s">
        <v>582</v>
      </c>
      <c r="D91" s="41">
        <v>1.01325</v>
      </c>
    </row>
    <row r="92" spans="1:4" x14ac:dyDescent="0.2">
      <c r="A92" s="15" t="s">
        <v>580</v>
      </c>
      <c r="B92" s="15" t="s">
        <v>583</v>
      </c>
      <c r="C92" s="15" t="s">
        <v>584</v>
      </c>
      <c r="D92" s="42">
        <v>14.696</v>
      </c>
    </row>
    <row r="93" spans="1:4" x14ac:dyDescent="0.2">
      <c r="A93" s="15" t="s">
        <v>581</v>
      </c>
      <c r="B93" s="15" t="s">
        <v>585</v>
      </c>
      <c r="C93" s="15" t="s">
        <v>586</v>
      </c>
      <c r="D93" s="23">
        <v>100000</v>
      </c>
    </row>
    <row r="94" spans="1:4" x14ac:dyDescent="0.2">
      <c r="A94" s="15" t="s">
        <v>581</v>
      </c>
      <c r="B94" s="15" t="s">
        <v>583</v>
      </c>
      <c r="C94" s="15" t="s">
        <v>587</v>
      </c>
      <c r="D94" s="42">
        <v>14.5038</v>
      </c>
    </row>
    <row r="95" spans="1:4" x14ac:dyDescent="0.2">
      <c r="A95" s="15" t="s">
        <v>583</v>
      </c>
      <c r="B95" s="15" t="s">
        <v>585</v>
      </c>
      <c r="C95" s="15" t="s">
        <v>588</v>
      </c>
      <c r="D95" s="43">
        <v>6894.76</v>
      </c>
    </row>
    <row r="97" spans="1:6" x14ac:dyDescent="0.2">
      <c r="A97" s="20"/>
      <c r="B97" s="20"/>
      <c r="C97" s="20" t="s">
        <v>215</v>
      </c>
      <c r="D97" s="20"/>
    </row>
    <row r="98" spans="1:6" x14ac:dyDescent="0.2">
      <c r="A98" s="15" t="s">
        <v>589</v>
      </c>
      <c r="B98" s="15" t="s">
        <v>590</v>
      </c>
      <c r="C98" s="15" t="s">
        <v>591</v>
      </c>
      <c r="D98" s="37">
        <v>251.99600000000001</v>
      </c>
      <c r="F98" s="44"/>
    </row>
    <row r="99" spans="1:6" x14ac:dyDescent="0.2">
      <c r="A99" s="15" t="s">
        <v>589</v>
      </c>
      <c r="B99" s="15" t="s">
        <v>592</v>
      </c>
      <c r="C99" s="15" t="s">
        <v>593</v>
      </c>
      <c r="D99" s="45">
        <v>1054.18</v>
      </c>
      <c r="F99" s="44"/>
    </row>
    <row r="100" spans="1:6" x14ac:dyDescent="0.2">
      <c r="A100" s="15" t="s">
        <v>589</v>
      </c>
      <c r="B100" s="15" t="s">
        <v>594</v>
      </c>
      <c r="C100" s="15" t="s">
        <v>595</v>
      </c>
      <c r="D100" s="24">
        <f>D99/1000</f>
        <v>1.0541800000000001</v>
      </c>
      <c r="F100" s="44"/>
    </row>
    <row r="101" spans="1:6" x14ac:dyDescent="0.2">
      <c r="A101" s="15" t="s">
        <v>589</v>
      </c>
      <c r="B101" s="15" t="s">
        <v>600</v>
      </c>
      <c r="C101" s="15" t="s">
        <v>601</v>
      </c>
      <c r="D101" s="23">
        <v>2.92875E-4</v>
      </c>
      <c r="F101" s="44"/>
    </row>
    <row r="102" spans="1:6" x14ac:dyDescent="0.2">
      <c r="A102" s="15" t="s">
        <v>589</v>
      </c>
      <c r="B102" s="15" t="s">
        <v>602</v>
      </c>
      <c r="C102" s="15" t="s">
        <v>603</v>
      </c>
      <c r="D102" s="46">
        <f>D99/1000000</f>
        <v>1.05418E-3</v>
      </c>
      <c r="F102" s="47"/>
    </row>
    <row r="103" spans="1:6" x14ac:dyDescent="0.2">
      <c r="A103" s="15" t="s">
        <v>589</v>
      </c>
      <c r="B103" s="15" t="s">
        <v>604</v>
      </c>
      <c r="C103" s="15" t="s">
        <v>605</v>
      </c>
      <c r="D103" s="22">
        <f>D101*1000</f>
        <v>0.292875</v>
      </c>
    </row>
    <row r="104" spans="1:6" x14ac:dyDescent="0.2">
      <c r="A104" s="15" t="s">
        <v>590</v>
      </c>
      <c r="B104" s="15" t="s">
        <v>589</v>
      </c>
      <c r="C104" s="15" t="s">
        <v>606</v>
      </c>
      <c r="D104" s="46">
        <f>1/D98</f>
        <v>3.9683169574120224E-3</v>
      </c>
    </row>
    <row r="105" spans="1:6" x14ac:dyDescent="0.2">
      <c r="A105" s="15" t="s">
        <v>590</v>
      </c>
      <c r="B105" s="15" t="s">
        <v>592</v>
      </c>
      <c r="C105" s="15" t="s">
        <v>607</v>
      </c>
      <c r="D105" s="23">
        <v>4.1840000000000002</v>
      </c>
    </row>
    <row r="106" spans="1:6" x14ac:dyDescent="0.2">
      <c r="A106" s="15" t="s">
        <v>608</v>
      </c>
      <c r="B106" s="15" t="s">
        <v>609</v>
      </c>
      <c r="C106" s="15" t="s">
        <v>610</v>
      </c>
      <c r="D106" s="35">
        <f>1/D140</f>
        <v>277.82330993134985</v>
      </c>
    </row>
    <row r="107" spans="1:6" x14ac:dyDescent="0.2">
      <c r="A107" s="15" t="s">
        <v>482</v>
      </c>
      <c r="B107" s="15" t="s">
        <v>602</v>
      </c>
      <c r="C107" s="15" t="s">
        <v>483</v>
      </c>
      <c r="D107" s="35" t="e">
        <f>galTOL*HHVgasoline</f>
        <v>#REF!</v>
      </c>
    </row>
    <row r="108" spans="1:6" x14ac:dyDescent="0.2">
      <c r="A108" s="15" t="s">
        <v>611</v>
      </c>
      <c r="B108" s="15" t="s">
        <v>612</v>
      </c>
      <c r="C108" s="15" t="s">
        <v>613</v>
      </c>
      <c r="D108" s="22">
        <f>1/D130</f>
        <v>0.2778233099313499</v>
      </c>
    </row>
    <row r="109" spans="1:6" x14ac:dyDescent="0.2">
      <c r="A109" s="15" t="s">
        <v>611</v>
      </c>
      <c r="B109" s="15" t="s">
        <v>626</v>
      </c>
      <c r="C109" s="15" t="s">
        <v>340</v>
      </c>
      <c r="D109" s="22">
        <f>kJTOBtu</f>
        <v>0.94860460262953183</v>
      </c>
    </row>
    <row r="110" spans="1:6" x14ac:dyDescent="0.2">
      <c r="A110" s="15" t="s">
        <v>611</v>
      </c>
      <c r="B110" s="15" t="s">
        <v>505</v>
      </c>
      <c r="C110" s="15" t="s">
        <v>566</v>
      </c>
      <c r="D110" s="22">
        <f>GJTOmmBtu*mmBtuTOtherm</f>
        <v>9.4860460262953179</v>
      </c>
    </row>
    <row r="111" spans="1:6" x14ac:dyDescent="0.2">
      <c r="A111" s="15" t="s">
        <v>592</v>
      </c>
      <c r="B111" s="15" t="s">
        <v>589</v>
      </c>
      <c r="C111" s="15" t="s">
        <v>614</v>
      </c>
      <c r="D111" s="27">
        <f>1/D99</f>
        <v>9.4860460262953192E-4</v>
      </c>
    </row>
    <row r="112" spans="1:6" x14ac:dyDescent="0.2">
      <c r="A112" s="15" t="s">
        <v>592</v>
      </c>
      <c r="B112" s="15" t="s">
        <v>590</v>
      </c>
      <c r="C112" s="15" t="s">
        <v>615</v>
      </c>
      <c r="D112" s="22">
        <f>1/D105</f>
        <v>0.23900573613766729</v>
      </c>
    </row>
    <row r="113" spans="1:5" x14ac:dyDescent="0.2">
      <c r="A113" s="15" t="s">
        <v>592</v>
      </c>
      <c r="B113" s="15" t="s">
        <v>604</v>
      </c>
      <c r="C113" s="15" t="s">
        <v>616</v>
      </c>
      <c r="D113" s="27">
        <f>1/D143</f>
        <v>2.7782330993134986E-4</v>
      </c>
    </row>
    <row r="114" spans="1:5" x14ac:dyDescent="0.2">
      <c r="A114" s="15" t="s">
        <v>617</v>
      </c>
      <c r="B114" s="15" t="s">
        <v>602</v>
      </c>
      <c r="C114" s="15" t="s">
        <v>618</v>
      </c>
      <c r="D114" s="46">
        <f>D105/1000</f>
        <v>4.1840000000000002E-3</v>
      </c>
    </row>
    <row r="115" spans="1:5" x14ac:dyDescent="0.2">
      <c r="A115" s="15" t="s">
        <v>594</v>
      </c>
      <c r="B115" s="15" t="s">
        <v>589</v>
      </c>
      <c r="C115" s="15" t="s">
        <v>619</v>
      </c>
      <c r="D115" s="22">
        <f>1/D100</f>
        <v>0.94860460262953183</v>
      </c>
    </row>
    <row r="116" spans="1:5" x14ac:dyDescent="0.2">
      <c r="A116" s="15" t="s">
        <v>600</v>
      </c>
      <c r="B116" s="15" t="s">
        <v>589</v>
      </c>
      <c r="C116" s="15" t="s">
        <v>620</v>
      </c>
      <c r="D116" s="48">
        <f>1/D101</f>
        <v>3414.4259496372174</v>
      </c>
    </row>
    <row r="117" spans="1:5" x14ac:dyDescent="0.2">
      <c r="A117" s="15" t="s">
        <v>600</v>
      </c>
      <c r="B117" s="15" t="s">
        <v>602</v>
      </c>
      <c r="C117" s="15" t="s">
        <v>621</v>
      </c>
      <c r="D117" s="24">
        <f>D143/1000</f>
        <v>3.5994099999999998</v>
      </c>
    </row>
    <row r="118" spans="1:5" x14ac:dyDescent="0.2">
      <c r="A118" s="15" t="s">
        <v>602</v>
      </c>
      <c r="B118" s="15" t="s">
        <v>589</v>
      </c>
      <c r="C118" s="15" t="s">
        <v>622</v>
      </c>
      <c r="D118" s="35">
        <f>1000000/D99</f>
        <v>948.60460262953188</v>
      </c>
    </row>
    <row r="119" spans="1:5" x14ac:dyDescent="0.2">
      <c r="A119" s="15" t="s">
        <v>602</v>
      </c>
      <c r="B119" s="15" t="s">
        <v>600</v>
      </c>
      <c r="C119" s="15" t="s">
        <v>623</v>
      </c>
      <c r="D119" s="22">
        <f>1/D117</f>
        <v>0.2778233099313499</v>
      </c>
    </row>
    <row r="120" spans="1:5" x14ac:dyDescent="0.2">
      <c r="A120" s="15" t="s">
        <v>602</v>
      </c>
      <c r="B120" s="15" t="s">
        <v>617</v>
      </c>
      <c r="C120" s="15" t="s">
        <v>624</v>
      </c>
      <c r="D120" s="35">
        <f>1/D114</f>
        <v>239.0057361376673</v>
      </c>
    </row>
    <row r="121" spans="1:5" x14ac:dyDescent="0.2">
      <c r="A121" s="15" t="s">
        <v>602</v>
      </c>
      <c r="B121" s="15" t="s">
        <v>612</v>
      </c>
      <c r="C121" s="15" t="s">
        <v>625</v>
      </c>
      <c r="D121" s="27">
        <f>MJTOkWh/1000</f>
        <v>2.7782330993134991E-4</v>
      </c>
    </row>
    <row r="122" spans="1:5" x14ac:dyDescent="0.2">
      <c r="A122" s="15" t="s">
        <v>602</v>
      </c>
      <c r="B122" s="15" t="s">
        <v>505</v>
      </c>
      <c r="C122" s="15" t="s">
        <v>344</v>
      </c>
      <c r="D122" s="54">
        <f>GJTOtherm/1000</f>
        <v>9.4860460262953181E-3</v>
      </c>
    </row>
    <row r="123" spans="1:5" x14ac:dyDescent="0.2">
      <c r="A123" s="15" t="s">
        <v>626</v>
      </c>
      <c r="B123" s="15" t="s">
        <v>602</v>
      </c>
      <c r="C123" s="15" t="s">
        <v>627</v>
      </c>
      <c r="D123" s="49">
        <f>BtuTOJ</f>
        <v>1054.18</v>
      </c>
    </row>
    <row r="124" spans="1:5" x14ac:dyDescent="0.2">
      <c r="A124" s="15" t="s">
        <v>626</v>
      </c>
      <c r="B124" s="15" t="s">
        <v>612</v>
      </c>
      <c r="C124" s="15" t="s">
        <v>628</v>
      </c>
      <c r="D124" s="22">
        <f>D101*1000</f>
        <v>0.292875</v>
      </c>
    </row>
    <row r="125" spans="1:5" x14ac:dyDescent="0.2">
      <c r="A125" s="15" t="s">
        <v>626</v>
      </c>
      <c r="B125" s="15" t="s">
        <v>505</v>
      </c>
      <c r="C125" s="15" t="s">
        <v>341</v>
      </c>
      <c r="D125" s="31">
        <v>10</v>
      </c>
      <c r="E125" s="81" t="s">
        <v>667</v>
      </c>
    </row>
    <row r="126" spans="1:5" x14ac:dyDescent="0.2">
      <c r="A126" s="15" t="s">
        <v>626</v>
      </c>
      <c r="B126" s="15" t="s">
        <v>439</v>
      </c>
      <c r="C126" s="15" t="s">
        <v>231</v>
      </c>
      <c r="D126" s="54">
        <f>mmBtuTOMJ/1000000</f>
        <v>1.05418E-3</v>
      </c>
    </row>
    <row r="127" spans="1:5" x14ac:dyDescent="0.2">
      <c r="A127" s="15" t="s">
        <v>629</v>
      </c>
      <c r="B127" s="15" t="s">
        <v>445</v>
      </c>
      <c r="C127" s="15" t="s">
        <v>446</v>
      </c>
      <c r="D127" s="50">
        <v>11630</v>
      </c>
      <c r="E127" s="81">
        <v>10661</v>
      </c>
    </row>
    <row r="128" spans="1:5" x14ac:dyDescent="0.2">
      <c r="A128" s="15" t="s">
        <v>629</v>
      </c>
      <c r="B128" s="15" t="s">
        <v>626</v>
      </c>
      <c r="C128" s="15" t="s">
        <v>438</v>
      </c>
      <c r="D128" s="51">
        <v>39680000</v>
      </c>
      <c r="E128" s="81">
        <v>10661</v>
      </c>
    </row>
    <row r="129" spans="1:5" x14ac:dyDescent="0.2">
      <c r="A129" s="15" t="s">
        <v>629</v>
      </c>
      <c r="B129" s="15" t="s">
        <v>439</v>
      </c>
      <c r="C129" s="15" t="s">
        <v>440</v>
      </c>
      <c r="D129" s="50">
        <v>41868</v>
      </c>
      <c r="E129" s="81">
        <v>10661</v>
      </c>
    </row>
    <row r="130" spans="1:5" x14ac:dyDescent="0.2">
      <c r="A130" s="15" t="s">
        <v>612</v>
      </c>
      <c r="B130" s="15" t="s">
        <v>611</v>
      </c>
      <c r="C130" s="15" t="s">
        <v>441</v>
      </c>
      <c r="D130" s="24">
        <f>D117</f>
        <v>3.5994099999999998</v>
      </c>
    </row>
    <row r="131" spans="1:5" x14ac:dyDescent="0.2">
      <c r="A131" s="15" t="s">
        <v>612</v>
      </c>
      <c r="B131" s="15" t="s">
        <v>626</v>
      </c>
      <c r="C131" s="15" t="s">
        <v>357</v>
      </c>
      <c r="D131" s="24">
        <f>1/D124</f>
        <v>3.4144259496372174</v>
      </c>
    </row>
    <row r="132" spans="1:5" x14ac:dyDescent="0.2">
      <c r="A132" s="15" t="s">
        <v>612</v>
      </c>
      <c r="B132" s="15" t="s">
        <v>439</v>
      </c>
      <c r="C132" s="15" t="s">
        <v>210</v>
      </c>
      <c r="D132" s="46">
        <f>MWhTOGJ/1000</f>
        <v>3.5994099999999999E-3</v>
      </c>
    </row>
    <row r="133" spans="1:5" x14ac:dyDescent="0.2">
      <c r="A133" s="15" t="s">
        <v>358</v>
      </c>
      <c r="B133" s="15" t="s">
        <v>608</v>
      </c>
      <c r="C133" s="15" t="s">
        <v>359</v>
      </c>
      <c r="D133" s="24">
        <f>quadTOTWh*TWhTOEJ</f>
        <v>1.0541772037499999</v>
      </c>
    </row>
    <row r="134" spans="1:5" x14ac:dyDescent="0.2">
      <c r="A134" s="15" t="s">
        <v>358</v>
      </c>
      <c r="B134" s="15" t="s">
        <v>609</v>
      </c>
      <c r="C134" s="15" t="s">
        <v>360</v>
      </c>
      <c r="D134" s="26">
        <f>1/D141</f>
        <v>292.875</v>
      </c>
    </row>
    <row r="135" spans="1:5" x14ac:dyDescent="0.2">
      <c r="A135" s="15" t="s">
        <v>505</v>
      </c>
      <c r="B135" s="15" t="s">
        <v>589</v>
      </c>
      <c r="C135" s="15" t="s">
        <v>230</v>
      </c>
      <c r="D135" s="50">
        <v>100000</v>
      </c>
      <c r="E135" s="81" t="s">
        <v>667</v>
      </c>
    </row>
    <row r="136" spans="1:5" x14ac:dyDescent="0.2">
      <c r="A136" s="15" t="s">
        <v>505</v>
      </c>
      <c r="B136" s="15" t="s">
        <v>611</v>
      </c>
      <c r="C136" s="15" t="s">
        <v>213</v>
      </c>
      <c r="D136" s="54">
        <f>1/GJTOtherm</f>
        <v>0.10541800000000003</v>
      </c>
    </row>
    <row r="137" spans="1:5" x14ac:dyDescent="0.2">
      <c r="A137" s="15" t="s">
        <v>505</v>
      </c>
      <c r="B137" s="15" t="s">
        <v>600</v>
      </c>
      <c r="C137" s="15" t="s">
        <v>229</v>
      </c>
      <c r="D137" s="53">
        <f>thermTOBtu*BtuTOkWh</f>
        <v>29.287500000000001</v>
      </c>
    </row>
    <row r="138" spans="1:5" x14ac:dyDescent="0.2">
      <c r="A138" s="15" t="s">
        <v>505</v>
      </c>
      <c r="B138" s="15" t="s">
        <v>602</v>
      </c>
      <c r="C138" s="15" t="s">
        <v>343</v>
      </c>
      <c r="D138" s="26">
        <f>1/MJTOtherm</f>
        <v>105.41800000000002</v>
      </c>
    </row>
    <row r="139" spans="1:5" x14ac:dyDescent="0.2">
      <c r="A139" s="15" t="s">
        <v>505</v>
      </c>
      <c r="B139" s="15" t="s">
        <v>439</v>
      </c>
      <c r="C139" s="15" t="s">
        <v>397</v>
      </c>
      <c r="D139" s="15">
        <f>thermTOMJ/1000000</f>
        <v>1.0541800000000003E-4</v>
      </c>
    </row>
    <row r="140" spans="1:5" x14ac:dyDescent="0.2">
      <c r="A140" s="15" t="s">
        <v>609</v>
      </c>
      <c r="B140" s="15" t="s">
        <v>608</v>
      </c>
      <c r="C140" s="15" t="s">
        <v>361</v>
      </c>
      <c r="D140" s="46">
        <f>WhTOJ/1000000</f>
        <v>3.5994099999999999E-3</v>
      </c>
    </row>
    <row r="141" spans="1:5" x14ac:dyDescent="0.2">
      <c r="A141" s="15" t="s">
        <v>609</v>
      </c>
      <c r="B141" s="15" t="s">
        <v>358</v>
      </c>
      <c r="C141" s="15" t="s">
        <v>362</v>
      </c>
      <c r="D141" s="46">
        <f>D131/1000</f>
        <v>3.4144259496372174E-3</v>
      </c>
    </row>
    <row r="142" spans="1:5" x14ac:dyDescent="0.2">
      <c r="A142" s="15" t="s">
        <v>604</v>
      </c>
      <c r="B142" s="15" t="s">
        <v>589</v>
      </c>
      <c r="C142" s="15" t="s">
        <v>363</v>
      </c>
      <c r="D142" s="24">
        <f>1/D103</f>
        <v>3.4144259496372174</v>
      </c>
    </row>
    <row r="143" spans="1:5" x14ac:dyDescent="0.2">
      <c r="A143" s="15" t="s">
        <v>604</v>
      </c>
      <c r="B143" s="15" t="s">
        <v>592</v>
      </c>
      <c r="C143" s="15" t="s">
        <v>364</v>
      </c>
      <c r="D143" s="23">
        <v>3599.41</v>
      </c>
    </row>
    <row r="145" spans="1:4" x14ac:dyDescent="0.2">
      <c r="A145" s="20"/>
      <c r="B145" s="20"/>
      <c r="C145" s="20" t="s">
        <v>216</v>
      </c>
      <c r="D145" s="20"/>
    </row>
    <row r="146" spans="1:4" x14ac:dyDescent="0.2">
      <c r="A146" s="15" t="s">
        <v>365</v>
      </c>
      <c r="B146" s="15" t="s">
        <v>366</v>
      </c>
      <c r="C146" s="15" t="s">
        <v>367</v>
      </c>
      <c r="D146" s="22">
        <f>1000/D33</f>
        <v>0.27777777777777779</v>
      </c>
    </row>
    <row r="147" spans="1:4" x14ac:dyDescent="0.2">
      <c r="A147" s="15" t="s">
        <v>368</v>
      </c>
      <c r="B147" s="15" t="s">
        <v>369</v>
      </c>
      <c r="C147" s="15" t="s">
        <v>370</v>
      </c>
      <c r="D147" s="50">
        <v>1000000</v>
      </c>
    </row>
    <row r="148" spans="1:4" x14ac:dyDescent="0.2">
      <c r="A148" s="15" t="s">
        <v>368</v>
      </c>
      <c r="B148" s="15" t="s">
        <v>371</v>
      </c>
      <c r="C148" s="15" t="s">
        <v>372</v>
      </c>
      <c r="D148" s="25">
        <f>1/D155</f>
        <v>2.9910371318822026E-2</v>
      </c>
    </row>
    <row r="149" spans="1:4" x14ac:dyDescent="0.2">
      <c r="A149" s="15" t="s">
        <v>368</v>
      </c>
      <c r="B149" s="15" t="s">
        <v>373</v>
      </c>
      <c r="C149" s="15" t="s">
        <v>374</v>
      </c>
      <c r="D149" s="52">
        <f>1/D156</f>
        <v>8.76</v>
      </c>
    </row>
    <row r="150" spans="1:4" x14ac:dyDescent="0.2">
      <c r="A150" s="15" t="s">
        <v>375</v>
      </c>
      <c r="B150" s="15" t="s">
        <v>369</v>
      </c>
      <c r="C150" s="15" t="s">
        <v>376</v>
      </c>
      <c r="D150" s="23">
        <v>0.746</v>
      </c>
    </row>
    <row r="151" spans="1:4" x14ac:dyDescent="0.2">
      <c r="A151" s="15" t="s">
        <v>369</v>
      </c>
      <c r="B151" s="15" t="s">
        <v>375</v>
      </c>
      <c r="C151" s="15" t="s">
        <v>377</v>
      </c>
      <c r="D151" s="24">
        <f>1/D150</f>
        <v>1.3404825737265416</v>
      </c>
    </row>
    <row r="152" spans="1:4" x14ac:dyDescent="0.2">
      <c r="A152" s="15" t="s">
        <v>378</v>
      </c>
      <c r="B152" s="15" t="s">
        <v>369</v>
      </c>
      <c r="C152" s="15" t="s">
        <v>379</v>
      </c>
      <c r="D152" s="39">
        <f>GJ.hrTOMW</f>
        <v>0.27777777777777779</v>
      </c>
    </row>
    <row r="153" spans="1:4" x14ac:dyDescent="0.2">
      <c r="A153" s="15" t="s">
        <v>366</v>
      </c>
      <c r="B153" s="15" t="s">
        <v>365</v>
      </c>
      <c r="C153" s="15" t="s">
        <v>380</v>
      </c>
      <c r="D153" s="24">
        <f>1/D146</f>
        <v>3.5999999999999996</v>
      </c>
    </row>
    <row r="154" spans="1:4" x14ac:dyDescent="0.2">
      <c r="A154" s="15" t="s">
        <v>366</v>
      </c>
      <c r="B154" s="15" t="s">
        <v>369</v>
      </c>
      <c r="C154" s="15" t="s">
        <v>381</v>
      </c>
      <c r="D154" s="50">
        <v>1000</v>
      </c>
    </row>
    <row r="155" spans="1:4" x14ac:dyDescent="0.2">
      <c r="A155" s="15" t="s">
        <v>371</v>
      </c>
      <c r="B155" s="15" t="s">
        <v>368</v>
      </c>
      <c r="C155" s="15" t="s">
        <v>382</v>
      </c>
      <c r="D155" s="53">
        <f>quadTOTWh*hrTOyr*1000</f>
        <v>33.43321917808219</v>
      </c>
    </row>
    <row r="156" spans="1:4" x14ac:dyDescent="0.2">
      <c r="A156" s="15" t="s">
        <v>373</v>
      </c>
      <c r="B156" s="15" t="s">
        <v>368</v>
      </c>
      <c r="C156" s="15" t="s">
        <v>383</v>
      </c>
      <c r="D156" s="39">
        <f>1000*hrTOyr</f>
        <v>0.11415525114155251</v>
      </c>
    </row>
    <row r="158" spans="1:4" x14ac:dyDescent="0.2">
      <c r="A158" s="20"/>
      <c r="B158" s="20"/>
      <c r="C158" s="20" t="s">
        <v>217</v>
      </c>
      <c r="D158" s="20"/>
    </row>
    <row r="159" spans="1:4" x14ac:dyDescent="0.2">
      <c r="A159" s="15" t="s">
        <v>384</v>
      </c>
      <c r="B159" s="15" t="s">
        <v>385</v>
      </c>
      <c r="C159" s="15" t="s">
        <v>386</v>
      </c>
      <c r="D159" s="23">
        <v>6.3089999999999993E-2</v>
      </c>
    </row>
    <row r="160" spans="1:4" x14ac:dyDescent="0.2">
      <c r="A160" s="15" t="s">
        <v>256</v>
      </c>
      <c r="B160" s="15" t="s">
        <v>384</v>
      </c>
      <c r="C160" s="15" t="s">
        <v>257</v>
      </c>
      <c r="D160" s="34">
        <f>1/D159</f>
        <v>15.85037248375337</v>
      </c>
    </row>
    <row r="161" spans="1:4" ht="13.5" x14ac:dyDescent="0.2">
      <c r="A161" s="15" t="s">
        <v>447</v>
      </c>
      <c r="B161" s="15" t="s">
        <v>384</v>
      </c>
      <c r="C161" s="15" t="s">
        <v>387</v>
      </c>
      <c r="D161" s="39">
        <f>L.sTOgpm*38:38/LTOm3</f>
        <v>0.1834522111269615</v>
      </c>
    </row>
    <row r="163" spans="1:4" x14ac:dyDescent="0.2">
      <c r="A163" s="20"/>
      <c r="B163" s="20"/>
      <c r="C163" s="20" t="s">
        <v>218</v>
      </c>
      <c r="D163" s="20"/>
    </row>
    <row r="164" spans="1:4" x14ac:dyDescent="0.2">
      <c r="A164" s="15" t="s">
        <v>388</v>
      </c>
      <c r="B164" s="15" t="s">
        <v>389</v>
      </c>
      <c r="C164" s="15" t="s">
        <v>390</v>
      </c>
      <c r="D164" s="46">
        <f>1/(D150*1000)</f>
        <v>1.3404825737265416E-3</v>
      </c>
    </row>
    <row r="165" spans="1:4" x14ac:dyDescent="0.2">
      <c r="A165" s="15" t="s">
        <v>391</v>
      </c>
      <c r="B165" s="15" t="s">
        <v>389</v>
      </c>
      <c r="C165" s="15" t="s">
        <v>392</v>
      </c>
      <c r="D165" s="27">
        <f>1/D168</f>
        <v>9.4860460262953192E-4</v>
      </c>
    </row>
    <row r="166" spans="1:4" x14ac:dyDescent="0.2">
      <c r="A166" s="15" t="s">
        <v>393</v>
      </c>
      <c r="B166" s="15" t="s">
        <v>389</v>
      </c>
      <c r="C166" s="15" t="s">
        <v>394</v>
      </c>
      <c r="D166" s="22">
        <f>1/D169</f>
        <v>0.94860460262953183</v>
      </c>
    </row>
    <row r="167" spans="1:4" x14ac:dyDescent="0.2">
      <c r="A167" s="15" t="s">
        <v>389</v>
      </c>
      <c r="B167" s="15" t="s">
        <v>388</v>
      </c>
      <c r="C167" s="15" t="s">
        <v>395</v>
      </c>
      <c r="D167" s="35">
        <f>1/D164</f>
        <v>746</v>
      </c>
    </row>
    <row r="168" spans="1:4" x14ac:dyDescent="0.2">
      <c r="A168" s="15" t="s">
        <v>389</v>
      </c>
      <c r="B168" s="15" t="s">
        <v>391</v>
      </c>
      <c r="C168" s="15" t="s">
        <v>569</v>
      </c>
      <c r="D168" s="48">
        <f>D99</f>
        <v>1054.18</v>
      </c>
    </row>
    <row r="169" spans="1:4" x14ac:dyDescent="0.2">
      <c r="A169" s="15" t="s">
        <v>389</v>
      </c>
      <c r="B169" s="15" t="s">
        <v>393</v>
      </c>
      <c r="C169" s="15" t="s">
        <v>570</v>
      </c>
      <c r="D169" s="24">
        <f>D100</f>
        <v>1.0541800000000001</v>
      </c>
    </row>
    <row r="171" spans="1:4" x14ac:dyDescent="0.2">
      <c r="A171" s="20"/>
      <c r="B171" s="20"/>
      <c r="C171" s="20" t="s">
        <v>219</v>
      </c>
      <c r="D171" s="20"/>
    </row>
    <row r="172" spans="1:4" x14ac:dyDescent="0.2">
      <c r="A172" s="15" t="s">
        <v>571</v>
      </c>
      <c r="B172" s="15" t="s">
        <v>572</v>
      </c>
      <c r="C172" s="15" t="s">
        <v>573</v>
      </c>
      <c r="D172" s="24">
        <f>D17*D151</f>
        <v>2.9552084958698002</v>
      </c>
    </row>
    <row r="173" spans="1:4" x14ac:dyDescent="0.2">
      <c r="A173" s="15" t="s">
        <v>574</v>
      </c>
      <c r="B173" s="15" t="s">
        <v>572</v>
      </c>
      <c r="C173" s="15" t="s">
        <v>575</v>
      </c>
      <c r="D173" s="24">
        <f>D17</f>
        <v>2.204585537918871</v>
      </c>
    </row>
    <row r="174" spans="1:4" x14ac:dyDescent="0.2">
      <c r="A174" s="15" t="s">
        <v>576</v>
      </c>
      <c r="B174" s="15" t="s">
        <v>572</v>
      </c>
      <c r="C174" s="15" t="s">
        <v>577</v>
      </c>
      <c r="D174" s="24">
        <f>1/D180</f>
        <v>7.9352072310405646</v>
      </c>
    </row>
    <row r="175" spans="1:4" x14ac:dyDescent="0.2">
      <c r="A175" s="15" t="s">
        <v>578</v>
      </c>
      <c r="B175" s="15" t="s">
        <v>579</v>
      </c>
      <c r="C175" s="15" t="s">
        <v>406</v>
      </c>
      <c r="D175" s="27">
        <f>D20</f>
        <v>4.5360000000000002E-4</v>
      </c>
    </row>
    <row r="176" spans="1:4" x14ac:dyDescent="0.2">
      <c r="A176" s="15" t="s">
        <v>578</v>
      </c>
      <c r="B176" s="15" t="s">
        <v>407</v>
      </c>
      <c r="C176" s="15" t="s">
        <v>408</v>
      </c>
      <c r="D176" s="35">
        <f>1/D182</f>
        <v>430.28704775275571</v>
      </c>
    </row>
    <row r="177" spans="1:4" x14ac:dyDescent="0.2">
      <c r="A177" s="15" t="s">
        <v>578</v>
      </c>
      <c r="B177" s="15" t="s">
        <v>409</v>
      </c>
      <c r="C177" s="15" t="s">
        <v>410</v>
      </c>
      <c r="D177" s="22">
        <f>1/D183</f>
        <v>0.45360000000000006</v>
      </c>
    </row>
    <row r="178" spans="1:4" x14ac:dyDescent="0.2">
      <c r="A178" s="15" t="s">
        <v>572</v>
      </c>
      <c r="B178" s="15" t="s">
        <v>571</v>
      </c>
      <c r="C178" s="15" t="s">
        <v>411</v>
      </c>
      <c r="D178" s="22">
        <f>1/D172</f>
        <v>0.33838560000000006</v>
      </c>
    </row>
    <row r="179" spans="1:4" x14ac:dyDescent="0.2">
      <c r="A179" s="15" t="s">
        <v>572</v>
      </c>
      <c r="B179" s="15" t="s">
        <v>574</v>
      </c>
      <c r="C179" s="15" t="s">
        <v>412</v>
      </c>
      <c r="D179" s="15">
        <f>1/D173</f>
        <v>0.45360000000000006</v>
      </c>
    </row>
    <row r="180" spans="1:4" x14ac:dyDescent="0.2">
      <c r="A180" s="15" t="s">
        <v>572</v>
      </c>
      <c r="B180" s="15" t="s">
        <v>576</v>
      </c>
      <c r="C180" s="15" t="s">
        <v>413</v>
      </c>
      <c r="D180" s="22">
        <f>D19/D130</f>
        <v>0.12602065338486029</v>
      </c>
    </row>
    <row r="181" spans="1:4" x14ac:dyDescent="0.2">
      <c r="A181" s="15" t="s">
        <v>572</v>
      </c>
      <c r="B181" s="15" t="s">
        <v>414</v>
      </c>
      <c r="C181" s="15" t="s">
        <v>596</v>
      </c>
      <c r="D181" s="15">
        <f>1/D184</f>
        <v>0.5</v>
      </c>
    </row>
    <row r="182" spans="1:4" x14ac:dyDescent="0.2">
      <c r="A182" s="15" t="s">
        <v>407</v>
      </c>
      <c r="B182" s="15" t="s">
        <v>578</v>
      </c>
      <c r="C182" s="15" t="s">
        <v>597</v>
      </c>
      <c r="D182" s="46">
        <f>D17/(D111*1000000)</f>
        <v>2.3240299823633157E-3</v>
      </c>
    </row>
    <row r="183" spans="1:4" x14ac:dyDescent="0.2">
      <c r="A183" s="15" t="s">
        <v>409</v>
      </c>
      <c r="B183" s="15" t="s">
        <v>578</v>
      </c>
      <c r="C183" s="15" t="s">
        <v>598</v>
      </c>
      <c r="D183" s="24">
        <f>D17</f>
        <v>2.204585537918871</v>
      </c>
    </row>
    <row r="184" spans="1:4" x14ac:dyDescent="0.2">
      <c r="A184" s="15" t="s">
        <v>414</v>
      </c>
      <c r="B184" s="15" t="s">
        <v>572</v>
      </c>
      <c r="C184" s="15" t="s">
        <v>599</v>
      </c>
      <c r="D184" s="24">
        <f>2000/1000</f>
        <v>2</v>
      </c>
    </row>
    <row r="186" spans="1:4" x14ac:dyDescent="0.2">
      <c r="A186" s="20"/>
      <c r="B186" s="20"/>
      <c r="C186" s="20" t="s">
        <v>220</v>
      </c>
      <c r="D186" s="20"/>
    </row>
    <row r="187" spans="1:4" x14ac:dyDescent="0.2">
      <c r="A187" s="15" t="s">
        <v>417</v>
      </c>
      <c r="B187" s="15" t="s">
        <v>418</v>
      </c>
      <c r="C187" s="15" t="s">
        <v>419</v>
      </c>
      <c r="D187" s="54">
        <f>D100/(D19*1000)</f>
        <v>2.3240299823633157E-3</v>
      </c>
    </row>
    <row r="188" spans="1:4" x14ac:dyDescent="0.2">
      <c r="A188" s="15" t="s">
        <v>417</v>
      </c>
      <c r="B188" s="15" t="s">
        <v>420</v>
      </c>
      <c r="C188" s="15" t="s">
        <v>421</v>
      </c>
      <c r="D188" s="54">
        <f>1/D193</f>
        <v>2E-3</v>
      </c>
    </row>
    <row r="189" spans="1:4" x14ac:dyDescent="0.2">
      <c r="A189" s="15" t="s">
        <v>422</v>
      </c>
      <c r="B189" s="15" t="s">
        <v>418</v>
      </c>
      <c r="C189" s="15" t="s">
        <v>423</v>
      </c>
      <c r="D189" s="54">
        <f>D117/(D19*2000)</f>
        <v>3.9676036155202815E-3</v>
      </c>
    </row>
    <row r="190" spans="1:4" x14ac:dyDescent="0.2">
      <c r="A190" s="15" t="s">
        <v>418</v>
      </c>
      <c r="B190" s="15" t="s">
        <v>417</v>
      </c>
      <c r="C190" s="15" t="s">
        <v>424</v>
      </c>
      <c r="D190" s="35">
        <f>1/D187</f>
        <v>430.28704775275571</v>
      </c>
    </row>
    <row r="191" spans="1:4" x14ac:dyDescent="0.2">
      <c r="A191" s="15" t="s">
        <v>418</v>
      </c>
      <c r="B191" s="15" t="s">
        <v>422</v>
      </c>
      <c r="C191" s="15" t="s">
        <v>425</v>
      </c>
      <c r="D191" s="26">
        <f>1/D189</f>
        <v>252.04130676972062</v>
      </c>
    </row>
    <row r="192" spans="1:4" x14ac:dyDescent="0.2">
      <c r="A192" s="15" t="s">
        <v>418</v>
      </c>
      <c r="B192" s="15" t="s">
        <v>420</v>
      </c>
      <c r="C192" s="15" t="s">
        <v>426</v>
      </c>
      <c r="D192" s="39">
        <f>MJ.kgTOBtu.lb*Btu.lbTOmmBtu.ton</f>
        <v>0.86057409550551145</v>
      </c>
    </row>
    <row r="193" spans="1:4" x14ac:dyDescent="0.2">
      <c r="A193" s="15" t="s">
        <v>420</v>
      </c>
      <c r="B193" s="15" t="s">
        <v>417</v>
      </c>
      <c r="C193" s="15" t="s">
        <v>427</v>
      </c>
      <c r="D193" s="26">
        <f>1000000/D25</f>
        <v>500</v>
      </c>
    </row>
    <row r="194" spans="1:4" x14ac:dyDescent="0.2">
      <c r="D194" s="54"/>
    </row>
    <row r="195" spans="1:4" x14ac:dyDescent="0.2">
      <c r="A195" s="20"/>
      <c r="B195" s="20"/>
      <c r="C195" s="20" t="s">
        <v>221</v>
      </c>
      <c r="D195" s="20"/>
    </row>
    <row r="196" spans="1:4" x14ac:dyDescent="0.2">
      <c r="A196" s="15" t="s">
        <v>428</v>
      </c>
      <c r="B196" s="15" t="s">
        <v>429</v>
      </c>
      <c r="C196" s="15" t="s">
        <v>430</v>
      </c>
      <c r="D196" s="55">
        <f>BtuTOkJ/(1000*ft3TOm3)</f>
        <v>3.7223870056497181E-2</v>
      </c>
    </row>
    <row r="197" spans="1:4" x14ac:dyDescent="0.2">
      <c r="A197" s="15" t="s">
        <v>429</v>
      </c>
      <c r="B197" s="15" t="s">
        <v>428</v>
      </c>
      <c r="C197" s="15" t="s">
        <v>431</v>
      </c>
      <c r="D197" s="34">
        <f>1/D196</f>
        <v>26.864482346468339</v>
      </c>
    </row>
    <row r="198" spans="1:4" x14ac:dyDescent="0.2">
      <c r="D198" s="34"/>
    </row>
    <row r="199" spans="1:4" x14ac:dyDescent="0.2">
      <c r="A199" s="20"/>
      <c r="B199" s="20"/>
      <c r="C199" s="20" t="s">
        <v>222</v>
      </c>
      <c r="D199" s="20"/>
    </row>
    <row r="200" spans="1:4" x14ac:dyDescent="0.2">
      <c r="A200" s="15" t="s">
        <v>432</v>
      </c>
      <c r="B200" s="15" t="s">
        <v>433</v>
      </c>
      <c r="C200" s="15" t="s">
        <v>434</v>
      </c>
      <c r="D200" s="52">
        <f>kmTOmi*D76</f>
        <v>2.3526413921690494</v>
      </c>
    </row>
    <row r="201" spans="1:4" x14ac:dyDescent="0.2">
      <c r="D201" s="34"/>
    </row>
    <row r="202" spans="1:4" x14ac:dyDescent="0.2">
      <c r="A202" s="20"/>
      <c r="B202" s="20"/>
      <c r="C202" s="20" t="s">
        <v>223</v>
      </c>
      <c r="D202" s="20"/>
    </row>
    <row r="203" spans="1:4" x14ac:dyDescent="0.2">
      <c r="A203" s="15" t="s">
        <v>435</v>
      </c>
      <c r="B203" s="15" t="s">
        <v>442</v>
      </c>
      <c r="C203" s="15" t="s">
        <v>443</v>
      </c>
      <c r="D203" s="39">
        <f>MgTOton/haTOacre</f>
        <v>0.44609338830221129</v>
      </c>
    </row>
    <row r="205" spans="1:4" x14ac:dyDescent="0.2">
      <c r="D205" s="26"/>
    </row>
    <row r="206" spans="1:4" x14ac:dyDescent="0.2">
      <c r="A206" s="56" t="s">
        <v>444</v>
      </c>
    </row>
    <row r="207" spans="1:4" x14ac:dyDescent="0.2">
      <c r="A207" s="23" t="s">
        <v>165</v>
      </c>
    </row>
    <row r="208" spans="1:4" x14ac:dyDescent="0.2">
      <c r="A208" s="23" t="s">
        <v>448</v>
      </c>
    </row>
    <row r="209" spans="1:1" x14ac:dyDescent="0.2">
      <c r="A209" s="15" t="s">
        <v>265</v>
      </c>
    </row>
    <row r="210" spans="1:1" x14ac:dyDescent="0.2">
      <c r="A210" s="15" t="s">
        <v>286</v>
      </c>
    </row>
    <row r="211" spans="1:1" x14ac:dyDescent="0.2">
      <c r="A211" s="15" t="s">
        <v>151</v>
      </c>
    </row>
    <row r="212" spans="1:1" x14ac:dyDescent="0.2">
      <c r="A212" s="15" t="s">
        <v>207</v>
      </c>
    </row>
    <row r="213" spans="1:1" x14ac:dyDescent="0.2">
      <c r="A213" s="15" t="s">
        <v>258</v>
      </c>
    </row>
    <row r="214" spans="1:1" x14ac:dyDescent="0.2">
      <c r="A214" s="15" t="s">
        <v>285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0"/>
  <sheetViews>
    <sheetView workbookViewId="0">
      <selection activeCell="A2" sqref="A2"/>
    </sheetView>
  </sheetViews>
  <sheetFormatPr defaultColWidth="8.7109375" defaultRowHeight="12" x14ac:dyDescent="0.2"/>
  <cols>
    <col min="1" max="1" width="26.85546875" customWidth="1"/>
    <col min="2" max="2" width="17" style="1360" customWidth="1"/>
    <col min="3" max="3" width="22.7109375" style="1360" customWidth="1"/>
    <col min="4" max="4" width="26.5703125" style="1360" customWidth="1"/>
    <col min="5" max="5" width="32.42578125" style="1360" customWidth="1"/>
  </cols>
  <sheetData>
    <row r="1" spans="1:9" s="15" customFormat="1" ht="27.75" customHeight="1" x14ac:dyDescent="0.2">
      <c r="A1" s="65" t="s">
        <v>1853</v>
      </c>
      <c r="B1" s="1485"/>
      <c r="C1" s="1481"/>
      <c r="D1" s="1481"/>
      <c r="E1" s="1481"/>
      <c r="G1" s="68"/>
      <c r="H1" s="68"/>
      <c r="I1" s="121"/>
    </row>
    <row r="3" spans="1:9" s="71" customFormat="1" x14ac:dyDescent="0.2">
      <c r="A3" s="1374" t="s">
        <v>942</v>
      </c>
      <c r="B3" s="1486"/>
      <c r="C3" s="1484" t="s">
        <v>1439</v>
      </c>
      <c r="D3" s="1484" t="s">
        <v>485</v>
      </c>
      <c r="E3" s="1484" t="s">
        <v>1442</v>
      </c>
      <c r="F3" s="1483" t="s">
        <v>1441</v>
      </c>
      <c r="G3" s="1483" t="s">
        <v>1440</v>
      </c>
    </row>
    <row r="4" spans="1:9" ht="36" x14ac:dyDescent="0.2">
      <c r="A4" s="64" t="s">
        <v>398</v>
      </c>
      <c r="B4" s="1360" t="s">
        <v>399</v>
      </c>
    </row>
    <row r="5" spans="1:9" ht="60" x14ac:dyDescent="0.2">
      <c r="A5" s="64" t="s">
        <v>164</v>
      </c>
      <c r="B5" s="1360" t="s">
        <v>943</v>
      </c>
    </row>
    <row r="6" spans="1:9" ht="36" x14ac:dyDescent="0.2">
      <c r="A6" s="64" t="s">
        <v>1430</v>
      </c>
      <c r="B6" s="1360" t="s">
        <v>1069</v>
      </c>
    </row>
    <row r="7" spans="1:9" ht="48" x14ac:dyDescent="0.2">
      <c r="A7" s="1473" t="s">
        <v>675</v>
      </c>
      <c r="B7" s="1487" t="s">
        <v>712</v>
      </c>
    </row>
    <row r="8" spans="1:9" x14ac:dyDescent="0.2">
      <c r="A8" s="1474" t="s">
        <v>678</v>
      </c>
    </row>
    <row r="9" spans="1:9" x14ac:dyDescent="0.2">
      <c r="A9" s="1474" t="s">
        <v>630</v>
      </c>
    </row>
    <row r="10" spans="1:9" x14ac:dyDescent="0.2">
      <c r="A10" s="1474" t="s">
        <v>1019</v>
      </c>
    </row>
    <row r="11" spans="1:9" x14ac:dyDescent="0.2">
      <c r="A11" s="1474" t="s">
        <v>631</v>
      </c>
    </row>
    <row r="12" spans="1:9" x14ac:dyDescent="0.2">
      <c r="A12" s="1474" t="s">
        <v>632</v>
      </c>
    </row>
    <row r="13" spans="1:9" x14ac:dyDescent="0.2">
      <c r="A13" s="1475" t="s">
        <v>727</v>
      </c>
    </row>
    <row r="14" spans="1:9" x14ac:dyDescent="0.2">
      <c r="A14" s="1475" t="s">
        <v>728</v>
      </c>
    </row>
    <row r="15" spans="1:9" x14ac:dyDescent="0.2">
      <c r="A15" s="1475" t="s">
        <v>729</v>
      </c>
    </row>
    <row r="16" spans="1:9" x14ac:dyDescent="0.2">
      <c r="A16" s="1475" t="s">
        <v>923</v>
      </c>
    </row>
    <row r="17" spans="1:2" x14ac:dyDescent="0.2">
      <c r="A17" s="1477" t="s">
        <v>920</v>
      </c>
    </row>
    <row r="18" spans="1:2" x14ac:dyDescent="0.2">
      <c r="A18" s="1477" t="s">
        <v>921</v>
      </c>
    </row>
    <row r="19" spans="1:2" x14ac:dyDescent="0.2">
      <c r="A19" s="1477" t="s">
        <v>674</v>
      </c>
    </row>
    <row r="20" spans="1:2" hidden="1" x14ac:dyDescent="0.2">
      <c r="A20" s="1477" t="s">
        <v>922</v>
      </c>
    </row>
    <row r="21" spans="1:2" x14ac:dyDescent="0.2">
      <c r="A21" s="1478" t="s">
        <v>634</v>
      </c>
    </row>
    <row r="22" spans="1:2" x14ac:dyDescent="0.2">
      <c r="A22" s="1478" t="s">
        <v>633</v>
      </c>
    </row>
    <row r="23" spans="1:2" x14ac:dyDescent="0.2">
      <c r="A23" s="1479" t="s">
        <v>1431</v>
      </c>
    </row>
    <row r="24" spans="1:2" x14ac:dyDescent="0.2">
      <c r="A24" s="1479" t="s">
        <v>1432</v>
      </c>
    </row>
    <row r="25" spans="1:2" x14ac:dyDescent="0.2">
      <c r="A25" s="1476" t="s">
        <v>846</v>
      </c>
    </row>
    <row r="26" spans="1:2" x14ac:dyDescent="0.2">
      <c r="A26" s="1480" t="s">
        <v>991</v>
      </c>
    </row>
    <row r="27" spans="1:2" ht="24" x14ac:dyDescent="0.2">
      <c r="A27" s="189" t="s">
        <v>402</v>
      </c>
      <c r="B27" s="1360" t="s">
        <v>198</v>
      </c>
    </row>
    <row r="28" spans="1:2" ht="36" x14ac:dyDescent="0.2">
      <c r="A28" s="64" t="s">
        <v>400</v>
      </c>
      <c r="B28" s="1360" t="s">
        <v>157</v>
      </c>
    </row>
    <row r="29" spans="1:2" x14ac:dyDescent="0.2">
      <c r="A29" s="64" t="s">
        <v>486</v>
      </c>
      <c r="B29" s="1360" t="s">
        <v>199</v>
      </c>
    </row>
    <row r="30" spans="1:2" x14ac:dyDescent="0.2">
      <c r="A30" s="64"/>
    </row>
  </sheetData>
  <phoneticPr fontId="17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I25"/>
  <sheetViews>
    <sheetView workbookViewId="0">
      <pane ySplit="2" topLeftCell="A3" activePane="bottomLeft" state="frozen"/>
      <selection activeCell="A10" sqref="A10:D10"/>
      <selection pane="bottomLeft" activeCell="A16" sqref="A16"/>
    </sheetView>
  </sheetViews>
  <sheetFormatPr defaultColWidth="8.7109375" defaultRowHeight="12" x14ac:dyDescent="0.2"/>
  <cols>
    <col min="1" max="1" width="8.7109375" style="177"/>
    <col min="2" max="2" width="4.7109375" style="59" customWidth="1"/>
    <col min="3" max="3" width="26.85546875" style="59" customWidth="1"/>
    <col min="4" max="4" width="9.140625" style="59" bestFit="1" customWidth="1"/>
    <col min="5" max="6" width="60.7109375" style="59" customWidth="1"/>
    <col min="7" max="16384" width="8.7109375" style="59"/>
  </cols>
  <sheetData>
    <row r="1" spans="1:9" s="15" customFormat="1" ht="27.75" customHeight="1" x14ac:dyDescent="0.2">
      <c r="A1" s="65" t="s">
        <v>163</v>
      </c>
      <c r="B1" s="68"/>
      <c r="D1" s="65"/>
      <c r="E1" s="125"/>
      <c r="G1" s="68"/>
      <c r="H1" s="68"/>
      <c r="I1" s="121"/>
    </row>
    <row r="2" spans="1:9" s="64" customFormat="1" x14ac:dyDescent="0.2">
      <c r="A2" s="174" t="s">
        <v>158</v>
      </c>
      <c r="B2" s="175" t="s">
        <v>159</v>
      </c>
      <c r="C2" s="175" t="s">
        <v>160</v>
      </c>
      <c r="D2" s="175" t="s">
        <v>161</v>
      </c>
      <c r="E2" s="176" t="s">
        <v>162</v>
      </c>
      <c r="F2" s="175" t="s">
        <v>306</v>
      </c>
    </row>
    <row r="3" spans="1:9" x14ac:dyDescent="0.2">
      <c r="A3" s="599">
        <v>40471</v>
      </c>
      <c r="B3" s="350" t="s">
        <v>844</v>
      </c>
      <c r="E3" s="350" t="s">
        <v>845</v>
      </c>
    </row>
    <row r="4" spans="1:9" x14ac:dyDescent="0.2">
      <c r="A4" s="177">
        <v>40687</v>
      </c>
      <c r="B4" s="350" t="s">
        <v>844</v>
      </c>
      <c r="C4" s="350" t="s">
        <v>630</v>
      </c>
      <c r="D4" s="350" t="s">
        <v>1007</v>
      </c>
      <c r="E4" s="350" t="s">
        <v>1008</v>
      </c>
    </row>
    <row r="5" spans="1:9" x14ac:dyDescent="0.2">
      <c r="A5" s="177">
        <v>40687</v>
      </c>
      <c r="B5" s="350" t="s">
        <v>844</v>
      </c>
      <c r="C5" s="350" t="s">
        <v>727</v>
      </c>
      <c r="D5" s="350" t="s">
        <v>1010</v>
      </c>
      <c r="E5" s="350" t="s">
        <v>1011</v>
      </c>
    </row>
    <row r="6" spans="1:9" x14ac:dyDescent="0.2">
      <c r="A6" s="177">
        <v>40687</v>
      </c>
      <c r="B6" s="350" t="s">
        <v>844</v>
      </c>
      <c r="C6" s="350" t="s">
        <v>727</v>
      </c>
      <c r="D6" s="350" t="s">
        <v>803</v>
      </c>
      <c r="E6" s="350" t="s">
        <v>1009</v>
      </c>
    </row>
    <row r="7" spans="1:9" x14ac:dyDescent="0.2">
      <c r="A7" s="177">
        <v>40687</v>
      </c>
      <c r="B7" s="350" t="s">
        <v>844</v>
      </c>
      <c r="C7" s="350" t="s">
        <v>728</v>
      </c>
      <c r="D7" s="350" t="s">
        <v>1015</v>
      </c>
      <c r="E7" s="350" t="s">
        <v>1016</v>
      </c>
      <c r="F7" s="350" t="s">
        <v>1062</v>
      </c>
    </row>
    <row r="8" spans="1:9" x14ac:dyDescent="0.2">
      <c r="A8" s="177">
        <v>40687</v>
      </c>
      <c r="B8" s="350" t="s">
        <v>844</v>
      </c>
      <c r="C8" s="350" t="s">
        <v>728</v>
      </c>
      <c r="D8" s="350" t="s">
        <v>1018</v>
      </c>
      <c r="E8" s="350" t="s">
        <v>1017</v>
      </c>
    </row>
    <row r="9" spans="1:9" x14ac:dyDescent="0.2">
      <c r="A9" s="177">
        <v>40688</v>
      </c>
      <c r="B9" s="350" t="s">
        <v>844</v>
      </c>
      <c r="C9" s="350" t="s">
        <v>1141</v>
      </c>
      <c r="D9" s="350" t="s">
        <v>1064</v>
      </c>
      <c r="E9" s="350" t="s">
        <v>1142</v>
      </c>
    </row>
    <row r="10" spans="1:9" x14ac:dyDescent="0.2">
      <c r="A10" s="177">
        <v>40778</v>
      </c>
      <c r="B10" s="350" t="s">
        <v>1061</v>
      </c>
      <c r="C10" s="350" t="s">
        <v>1063</v>
      </c>
      <c r="D10" s="350" t="s">
        <v>1064</v>
      </c>
      <c r="E10" s="350" t="s">
        <v>1070</v>
      </c>
    </row>
    <row r="11" spans="1:9" ht="48" x14ac:dyDescent="0.2">
      <c r="A11" s="177">
        <v>40941</v>
      </c>
      <c r="B11" s="350" t="s">
        <v>844</v>
      </c>
      <c r="C11" s="1047" t="s">
        <v>1147</v>
      </c>
      <c r="D11" s="350" t="s">
        <v>1064</v>
      </c>
      <c r="E11" s="350" t="s">
        <v>1145</v>
      </c>
    </row>
    <row r="12" spans="1:9" ht="36" x14ac:dyDescent="0.2">
      <c r="A12" s="177">
        <v>40941</v>
      </c>
      <c r="B12" s="350" t="s">
        <v>844</v>
      </c>
      <c r="C12" s="1047" t="s">
        <v>1146</v>
      </c>
      <c r="D12" s="350" t="s">
        <v>1064</v>
      </c>
      <c r="E12" s="350" t="s">
        <v>1144</v>
      </c>
    </row>
    <row r="13" spans="1:9" x14ac:dyDescent="0.2">
      <c r="A13" s="177">
        <v>40941</v>
      </c>
      <c r="B13" s="350" t="s">
        <v>844</v>
      </c>
      <c r="C13" s="350" t="s">
        <v>1141</v>
      </c>
      <c r="D13" s="350" t="s">
        <v>1064</v>
      </c>
      <c r="E13" s="350" t="s">
        <v>1143</v>
      </c>
    </row>
    <row r="14" spans="1:9" ht="36" x14ac:dyDescent="0.2">
      <c r="A14" s="177">
        <v>40984</v>
      </c>
      <c r="B14" s="350" t="s">
        <v>844</v>
      </c>
      <c r="C14" s="1047" t="s">
        <v>1148</v>
      </c>
      <c r="D14" s="350" t="s">
        <v>1064</v>
      </c>
      <c r="E14" s="350" t="s">
        <v>1149</v>
      </c>
    </row>
    <row r="15" spans="1:9" x14ac:dyDescent="0.2">
      <c r="A15" s="177">
        <v>42767</v>
      </c>
      <c r="C15" s="1047" t="s">
        <v>1398</v>
      </c>
      <c r="E15" s="350" t="s">
        <v>1399</v>
      </c>
    </row>
    <row r="16" spans="1:9" x14ac:dyDescent="0.2">
      <c r="C16" s="350"/>
    </row>
    <row r="22" spans="3:3" x14ac:dyDescent="0.2">
      <c r="C22" s="1047"/>
    </row>
    <row r="25" spans="3:3" x14ac:dyDescent="0.2">
      <c r="C25" s="1047"/>
    </row>
  </sheetData>
  <phoneticPr fontId="17" type="noConversion"/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1"/>
  <sheetViews>
    <sheetView workbookViewId="0">
      <selection activeCell="D30" sqref="D30"/>
    </sheetView>
  </sheetViews>
  <sheetFormatPr defaultColWidth="9.140625" defaultRowHeight="12" outlineLevelCol="1" x14ac:dyDescent="0.2"/>
  <cols>
    <col min="1" max="1" width="3" style="1100" customWidth="1"/>
    <col min="2" max="5" width="10.42578125" style="1100" customWidth="1" outlineLevel="1"/>
    <col min="6" max="9" width="4.140625" style="1100" customWidth="1" outlineLevel="1"/>
    <col min="10" max="10" width="5" style="1100" customWidth="1" outlineLevel="1"/>
    <col min="11" max="11" width="3.28515625" style="1100" customWidth="1"/>
    <col min="12" max="13" width="3.7109375" style="1100" customWidth="1"/>
    <col min="14" max="14" width="36.42578125" style="1100" customWidth="1"/>
    <col min="15" max="15" width="14" style="1377" customWidth="1"/>
    <col min="16" max="16" width="9.140625" style="1100"/>
    <col min="17" max="18" width="3.7109375" style="1100" customWidth="1"/>
    <col min="19" max="19" width="36.42578125" style="1100" customWidth="1"/>
    <col min="20" max="20" width="8.140625" style="1377" customWidth="1"/>
    <col min="21" max="16384" width="9.140625" style="1100"/>
  </cols>
  <sheetData>
    <row r="2" spans="2:20" x14ac:dyDescent="0.2">
      <c r="B2" s="1375">
        <v>-2</v>
      </c>
      <c r="C2" s="1099" t="s">
        <v>1438</v>
      </c>
      <c r="L2" s="1376"/>
      <c r="Q2" s="1376"/>
    </row>
    <row r="3" spans="2:20" x14ac:dyDescent="0.2">
      <c r="B3" s="1378">
        <f>10^6</f>
        <v>1000000</v>
      </c>
      <c r="C3" s="1099" t="s">
        <v>1437</v>
      </c>
      <c r="L3" s="1376"/>
      <c r="Q3" s="1376"/>
    </row>
    <row r="4" spans="2:20" x14ac:dyDescent="0.2">
      <c r="B4" s="1100" t="s">
        <v>1418</v>
      </c>
      <c r="G4" s="1379" t="s">
        <v>1400</v>
      </c>
      <c r="H4" s="1379"/>
      <c r="I4" s="1379"/>
      <c r="J4" s="1380" t="s">
        <v>1417</v>
      </c>
    </row>
    <row r="5" spans="2:20" ht="13.5" x14ac:dyDescent="0.2">
      <c r="B5" s="1381">
        <v>2015</v>
      </c>
      <c r="C5" s="1759"/>
      <c r="D5" s="1759"/>
      <c r="E5" s="1759"/>
      <c r="G5" s="1100" t="s">
        <v>1413</v>
      </c>
      <c r="H5" s="1100" t="s">
        <v>1401</v>
      </c>
      <c r="I5" s="1100" t="s">
        <v>1414</v>
      </c>
      <c r="J5" s="1382"/>
      <c r="L5" s="1383" t="s">
        <v>1433</v>
      </c>
      <c r="M5" s="1383"/>
      <c r="N5" s="1383"/>
      <c r="O5" s="1384">
        <v>2015</v>
      </c>
      <c r="Q5" s="1383" t="s">
        <v>1434</v>
      </c>
      <c r="R5" s="1383"/>
      <c r="S5" s="1383"/>
      <c r="T5" s="1384">
        <v>2015</v>
      </c>
    </row>
    <row r="6" spans="2:20" ht="12.75" thickBot="1" x14ac:dyDescent="0.25">
      <c r="B6" s="1382"/>
      <c r="C6" s="1756"/>
      <c r="D6" s="1756"/>
      <c r="E6" s="1756"/>
      <c r="H6" s="1100">
        <v>1</v>
      </c>
      <c r="J6" s="1382"/>
      <c r="L6" s="1445" t="s">
        <v>1321</v>
      </c>
      <c r="M6" s="1408"/>
      <c r="N6" s="1408"/>
      <c r="O6" s="1409">
        <f>SUMIFS(O7:O$43,$H7:$H$43,$H6)</f>
        <v>1619500</v>
      </c>
      <c r="Q6" s="1445" t="s">
        <v>1321</v>
      </c>
      <c r="R6" s="1408"/>
      <c r="S6" s="1408"/>
      <c r="T6" s="1410">
        <f t="shared" ref="T6:T49" si="0">O6/$B$3</f>
        <v>1.6194999999999999</v>
      </c>
    </row>
    <row r="7" spans="2:20" ht="16.5" thickTop="1" x14ac:dyDescent="0.2">
      <c r="B7" s="1382"/>
      <c r="C7" s="1706"/>
      <c r="D7" s="1706"/>
      <c r="E7" s="1706"/>
      <c r="H7" s="1100">
        <v>1</v>
      </c>
      <c r="I7" s="1100">
        <v>0.1</v>
      </c>
      <c r="J7" s="1385">
        <v>12</v>
      </c>
      <c r="L7" s="1446" t="s">
        <v>1297</v>
      </c>
      <c r="M7" s="1463" t="s">
        <v>29</v>
      </c>
      <c r="N7" s="1411"/>
      <c r="O7" s="1386">
        <f>SUMIFS(O8:O$43,$I8:$I$43,$I7)</f>
        <v>709800</v>
      </c>
      <c r="P7" s="1753"/>
      <c r="Q7" s="1446" t="s">
        <v>1297</v>
      </c>
      <c r="R7" s="1411" t="s">
        <v>29</v>
      </c>
      <c r="S7" s="1411"/>
      <c r="T7" s="1387">
        <f t="shared" si="0"/>
        <v>0.70979999999999999</v>
      </c>
    </row>
    <row r="8" spans="2:20" x14ac:dyDescent="0.2">
      <c r="B8" s="1388">
        <f>Electricity!B20</f>
        <v>99661.784475426146</v>
      </c>
      <c r="C8" s="1756"/>
      <c r="D8" s="1756"/>
      <c r="E8" s="1756"/>
      <c r="G8" s="1100">
        <v>1</v>
      </c>
      <c r="I8" s="1100">
        <f>I7</f>
        <v>0.1</v>
      </c>
      <c r="J8" s="1382"/>
      <c r="L8" s="1447" t="s">
        <v>1297</v>
      </c>
      <c r="M8" s="1389"/>
      <c r="N8" s="1389" t="s">
        <v>678</v>
      </c>
      <c r="O8" s="1390">
        <f>ROUND(B8,$B$2)</f>
        <v>99700</v>
      </c>
      <c r="Q8" s="1447" t="s">
        <v>1297</v>
      </c>
      <c r="R8" s="1389"/>
      <c r="S8" s="1389" t="s">
        <v>678</v>
      </c>
      <c r="T8" s="1391">
        <f t="shared" si="0"/>
        <v>9.9699999999999997E-2</v>
      </c>
    </row>
    <row r="9" spans="2:20" x14ac:dyDescent="0.2">
      <c r="B9" s="1394">
        <f>'Res-Heat &amp; Hot Water'!B11</f>
        <v>453129.61647754995</v>
      </c>
      <c r="C9" s="1756"/>
      <c r="D9" s="1756"/>
      <c r="E9" s="1756"/>
      <c r="G9" s="1100">
        <v>1</v>
      </c>
      <c r="I9" s="1100">
        <f>I8</f>
        <v>0.1</v>
      </c>
      <c r="J9" s="1382"/>
      <c r="L9" s="1448"/>
      <c r="M9" s="1389"/>
      <c r="N9" s="1389" t="s">
        <v>1378</v>
      </c>
      <c r="O9" s="1390">
        <f>ROUND(B9,$B$2)</f>
        <v>453100</v>
      </c>
      <c r="P9" s="1754"/>
      <c r="Q9" s="1448"/>
      <c r="R9" s="1389"/>
      <c r="S9" s="1389" t="s">
        <v>1840</v>
      </c>
      <c r="T9" s="1391">
        <f t="shared" si="0"/>
        <v>0.4531</v>
      </c>
    </row>
    <row r="10" spans="2:20" x14ac:dyDescent="0.2">
      <c r="B10" s="1394">
        <f>'Res-Heat &amp; Hot Water'!B26</f>
        <v>13096.033688710093</v>
      </c>
      <c r="C10" s="1756"/>
      <c r="D10" s="1756"/>
      <c r="E10" s="1756"/>
      <c r="G10" s="1100">
        <v>2</v>
      </c>
      <c r="I10" s="1100">
        <f>I9</f>
        <v>0.1</v>
      </c>
      <c r="J10" s="1382"/>
      <c r="L10" s="1448"/>
      <c r="M10" s="1389"/>
      <c r="N10" s="1389" t="s">
        <v>900</v>
      </c>
      <c r="O10" s="1390">
        <f t="shared" ref="O10:O11" si="1">ROUND(B10,$B$2)</f>
        <v>13100</v>
      </c>
      <c r="Q10" s="1448"/>
      <c r="R10" s="1389"/>
      <c r="S10" s="1389" t="s">
        <v>1841</v>
      </c>
      <c r="T10" s="1391">
        <f t="shared" si="0"/>
        <v>1.3100000000000001E-2</v>
      </c>
    </row>
    <row r="11" spans="2:20" x14ac:dyDescent="0.2">
      <c r="B11" s="1755">
        <f>SUM('Res- Garden &amp; Rec'!B9,'Res- Garden &amp; Rec'!B13,'Res- Garden &amp; Rec'!B17)</f>
        <v>143932.36700000003</v>
      </c>
      <c r="C11" s="1756"/>
      <c r="D11" s="1756"/>
      <c r="E11" s="1756"/>
      <c r="G11" s="1100">
        <v>2</v>
      </c>
      <c r="I11" s="1100">
        <f>I10</f>
        <v>0.1</v>
      </c>
      <c r="J11" s="1382"/>
      <c r="L11" s="1448"/>
      <c r="M11" s="1389"/>
      <c r="N11" s="1389" t="s">
        <v>1344</v>
      </c>
      <c r="O11" s="1390">
        <f t="shared" si="1"/>
        <v>143900</v>
      </c>
      <c r="Q11" s="1448"/>
      <c r="R11" s="1389"/>
      <c r="S11" s="1389" t="s">
        <v>1842</v>
      </c>
      <c r="T11" s="1391">
        <f t="shared" si="0"/>
        <v>0.1439</v>
      </c>
    </row>
    <row r="12" spans="2:20" ht="15.75" x14ac:dyDescent="0.2">
      <c r="B12" s="1382"/>
      <c r="C12" s="1756"/>
      <c r="D12" s="1756"/>
      <c r="E12" s="1756"/>
      <c r="H12" s="1100">
        <v>1</v>
      </c>
      <c r="I12" s="1100">
        <v>0.2</v>
      </c>
      <c r="J12" s="1385">
        <v>12</v>
      </c>
      <c r="L12" s="1448"/>
      <c r="M12" s="1464" t="s">
        <v>30</v>
      </c>
      <c r="N12" s="1413"/>
      <c r="O12" s="1392">
        <f>SUMIFS(O13:O$43,$I13:$I$43,$I12)</f>
        <v>440100</v>
      </c>
      <c r="P12" s="1753"/>
      <c r="Q12" s="1448"/>
      <c r="R12" s="1413" t="s">
        <v>30</v>
      </c>
      <c r="S12" s="1413"/>
      <c r="T12" s="1393">
        <f t="shared" si="0"/>
        <v>0.44009999999999999</v>
      </c>
    </row>
    <row r="13" spans="2:20" x14ac:dyDescent="0.2">
      <c r="B13" s="1388">
        <f>Electricity!B23</f>
        <v>68956.087743544427</v>
      </c>
      <c r="C13" s="1756"/>
      <c r="D13" s="1756"/>
      <c r="E13" s="1756"/>
      <c r="G13" s="1100">
        <v>1</v>
      </c>
      <c r="I13" s="1100">
        <f>I12</f>
        <v>0.2</v>
      </c>
      <c r="J13" s="1382"/>
      <c r="L13" s="1448"/>
      <c r="M13" s="1389"/>
      <c r="N13" s="1389" t="s">
        <v>678</v>
      </c>
      <c r="O13" s="1390">
        <f>ROUND(B13,$B$2)</f>
        <v>69000</v>
      </c>
      <c r="Q13" s="1448"/>
      <c r="R13" s="1389"/>
      <c r="S13" s="1389" t="s">
        <v>678</v>
      </c>
      <c r="T13" s="1391">
        <f t="shared" si="0"/>
        <v>6.9000000000000006E-2</v>
      </c>
    </row>
    <row r="14" spans="2:20" x14ac:dyDescent="0.2">
      <c r="B14" s="1388">
        <f>'Commercial- Heat &amp; Hot Water'!B29</f>
        <v>219961.09169132999</v>
      </c>
      <c r="C14" s="1756"/>
      <c r="D14" s="1756"/>
      <c r="E14" s="1756"/>
      <c r="G14" s="1100">
        <v>1</v>
      </c>
      <c r="I14" s="1100">
        <f>I15</f>
        <v>0.2</v>
      </c>
      <c r="J14" s="1382"/>
      <c r="L14" s="1448"/>
      <c r="M14" s="1389"/>
      <c r="N14" s="1389" t="s">
        <v>928</v>
      </c>
      <c r="O14" s="1390">
        <f t="shared" ref="O14:O18" si="2">ROUND(B14,$B$2)</f>
        <v>220000</v>
      </c>
      <c r="Q14" s="1448"/>
      <c r="R14" s="1389"/>
      <c r="S14" s="1389" t="s">
        <v>1843</v>
      </c>
      <c r="T14" s="1391">
        <f t="shared" si="0"/>
        <v>0.22</v>
      </c>
    </row>
    <row r="15" spans="2:20" x14ac:dyDescent="0.2">
      <c r="B15" s="1388">
        <f>SUM('Commercial- Equip'!B8,'Commercial- Equip'!B20)</f>
        <v>40050.998999999996</v>
      </c>
      <c r="C15" s="1756"/>
      <c r="D15" s="1756"/>
      <c r="E15" s="1756"/>
      <c r="G15" s="1100">
        <v>1</v>
      </c>
      <c r="I15" s="1100">
        <f>I13</f>
        <v>0.2</v>
      </c>
      <c r="J15" s="1382"/>
      <c r="L15" s="1448"/>
      <c r="M15" s="1389"/>
      <c r="N15" s="1389" t="s">
        <v>1343</v>
      </c>
      <c r="O15" s="1390">
        <f t="shared" si="2"/>
        <v>40100</v>
      </c>
      <c r="Q15" s="1448"/>
      <c r="R15" s="1389"/>
      <c r="S15" s="1389" t="s">
        <v>1844</v>
      </c>
      <c r="T15" s="1391">
        <f t="shared" si="0"/>
        <v>4.0099999999999997E-2</v>
      </c>
    </row>
    <row r="16" spans="2:20" x14ac:dyDescent="0.2">
      <c r="B16" s="1388">
        <f>'Commercial- Heat &amp; Hot Water'!B38</f>
        <v>42929.493926988929</v>
      </c>
      <c r="C16" s="1756"/>
      <c r="D16" s="1756"/>
      <c r="E16" s="1756"/>
      <c r="G16" s="1100">
        <v>2</v>
      </c>
      <c r="I16" s="1100">
        <f>I17</f>
        <v>0.2</v>
      </c>
      <c r="J16" s="1382"/>
      <c r="L16" s="1448"/>
      <c r="M16" s="1389"/>
      <c r="N16" s="1389" t="s">
        <v>901</v>
      </c>
      <c r="O16" s="1390">
        <f t="shared" si="2"/>
        <v>42900</v>
      </c>
      <c r="Q16" s="1448"/>
      <c r="R16" s="1389"/>
      <c r="S16" s="1389" t="s">
        <v>1845</v>
      </c>
      <c r="T16" s="1391">
        <f t="shared" si="0"/>
        <v>4.2900000000000001E-2</v>
      </c>
    </row>
    <row r="17" spans="2:20" x14ac:dyDescent="0.2">
      <c r="B17" s="1394">
        <f>SUM('Commercial- Equip'!B12,'Commercial- Equip'!B16)</f>
        <v>68146.63900000001</v>
      </c>
      <c r="C17" s="1755"/>
      <c r="D17" s="1755"/>
      <c r="E17" s="1755"/>
      <c r="G17" s="1100">
        <v>2</v>
      </c>
      <c r="I17" s="1100">
        <f>I14</f>
        <v>0.2</v>
      </c>
      <c r="J17" s="1382"/>
      <c r="L17" s="1448"/>
      <c r="M17" s="1389"/>
      <c r="N17" s="1389" t="s">
        <v>1345</v>
      </c>
      <c r="O17" s="1390">
        <f t="shared" si="2"/>
        <v>68100</v>
      </c>
      <c r="Q17" s="1448"/>
      <c r="R17" s="1389"/>
      <c r="S17" s="1389" t="s">
        <v>1846</v>
      </c>
      <c r="T17" s="1391">
        <f t="shared" si="0"/>
        <v>6.8099999999999994E-2</v>
      </c>
    </row>
    <row r="18" spans="2:20" x14ac:dyDescent="0.2">
      <c r="B18" s="1756">
        <v>0</v>
      </c>
      <c r="C18" s="1756"/>
      <c r="D18" s="1756"/>
      <c r="E18" s="1756"/>
      <c r="G18" s="1100">
        <v>2</v>
      </c>
      <c r="I18" s="1100">
        <f>I16</f>
        <v>0.2</v>
      </c>
      <c r="J18" s="1382"/>
      <c r="L18" s="1448"/>
      <c r="M18" s="1389"/>
      <c r="N18" s="1389" t="s">
        <v>11</v>
      </c>
      <c r="O18" s="1390">
        <f t="shared" si="2"/>
        <v>0</v>
      </c>
      <c r="Q18" s="1448"/>
      <c r="R18" s="1389"/>
      <c r="S18" s="1389" t="s">
        <v>11</v>
      </c>
      <c r="T18" s="1391">
        <f t="shared" si="0"/>
        <v>0</v>
      </c>
    </row>
    <row r="19" spans="2:20" ht="15.75" x14ac:dyDescent="0.2">
      <c r="B19" s="1382"/>
      <c r="C19" s="1756"/>
      <c r="D19" s="1756"/>
      <c r="E19" s="1756"/>
      <c r="G19" s="1100">
        <v>2</v>
      </c>
      <c r="H19" s="1100">
        <v>1</v>
      </c>
      <c r="I19" s="1100">
        <v>0.3</v>
      </c>
      <c r="J19" s="1385">
        <v>12</v>
      </c>
      <c r="L19" s="1448"/>
      <c r="M19" s="1464" t="s">
        <v>31</v>
      </c>
      <c r="N19" s="1413"/>
      <c r="O19" s="1392">
        <f>SUMIFS(O20:O$43,$I20:$I$43,$I19)</f>
        <v>469600</v>
      </c>
      <c r="P19" s="1753"/>
      <c r="Q19" s="1448"/>
      <c r="R19" s="1413" t="s">
        <v>31</v>
      </c>
      <c r="S19" s="1413"/>
      <c r="T19" s="1393">
        <f t="shared" si="0"/>
        <v>0.46960000000000002</v>
      </c>
    </row>
    <row r="20" spans="2:20" x14ac:dyDescent="0.2">
      <c r="B20" s="1388">
        <f>Electricity!B26</f>
        <v>16183.099234488493</v>
      </c>
      <c r="C20" s="1756"/>
      <c r="D20" s="1756"/>
      <c r="E20" s="1756"/>
      <c r="I20" s="1100">
        <f>I19</f>
        <v>0.3</v>
      </c>
      <c r="J20" s="1382"/>
      <c r="L20" s="1448"/>
      <c r="M20" s="1413"/>
      <c r="N20" s="1413" t="s">
        <v>678</v>
      </c>
      <c r="O20" s="1390">
        <f>ROUND(B20,$B$2)</f>
        <v>16200</v>
      </c>
      <c r="P20" s="1753"/>
      <c r="Q20" s="1448"/>
      <c r="R20" s="1413"/>
      <c r="S20" s="1413" t="s">
        <v>678</v>
      </c>
      <c r="T20" s="1391">
        <f t="shared" si="0"/>
        <v>1.6199999999999999E-2</v>
      </c>
    </row>
    <row r="21" spans="2:20" x14ac:dyDescent="0.2">
      <c r="B21" s="1394">
        <f>'Ind- Process'!B47</f>
        <v>0</v>
      </c>
      <c r="C21" s="1756"/>
      <c r="D21" s="1756"/>
      <c r="E21" s="1756"/>
      <c r="I21" s="1100">
        <f>I20</f>
        <v>0.3</v>
      </c>
      <c r="J21" s="1382"/>
      <c r="L21" s="1448"/>
      <c r="M21" s="1389"/>
      <c r="N21" s="1389" t="s">
        <v>54</v>
      </c>
      <c r="O21" s="1390">
        <f>ROUND(B21,$B$2)</f>
        <v>0</v>
      </c>
      <c r="Q21" s="1448"/>
      <c r="R21" s="1389"/>
      <c r="S21" s="1389" t="s">
        <v>54</v>
      </c>
      <c r="T21" s="1391">
        <f t="shared" si="0"/>
        <v>0</v>
      </c>
    </row>
    <row r="22" spans="2:20" ht="12.75" thickBot="1" x14ac:dyDescent="0.25">
      <c r="B22" s="1388">
        <f>'Ind- Operations'!B44+'Ind- Small Equip'!B29</f>
        <v>453396.07498476846</v>
      </c>
      <c r="C22" s="1756"/>
      <c r="D22" s="1756"/>
      <c r="E22" s="1756"/>
      <c r="I22" s="1100">
        <f>I21</f>
        <v>0.3</v>
      </c>
      <c r="J22" s="1382"/>
      <c r="L22" s="1448"/>
      <c r="M22" s="1389"/>
      <c r="N22" s="1389" t="s">
        <v>1346</v>
      </c>
      <c r="O22" s="1390">
        <f t="shared" ref="O22" si="3">ROUND(B22,$B$2)</f>
        <v>453400</v>
      </c>
      <c r="Q22" s="1448"/>
      <c r="R22" s="1389"/>
      <c r="S22" s="1389" t="s">
        <v>1346</v>
      </c>
      <c r="T22" s="1391">
        <f t="shared" si="0"/>
        <v>0.45340000000000003</v>
      </c>
    </row>
    <row r="23" spans="2:20" ht="13.5" thickTop="1" thickBot="1" x14ac:dyDescent="0.25">
      <c r="B23" s="1382"/>
      <c r="C23" s="1756"/>
      <c r="D23" s="1756"/>
      <c r="E23" s="1756"/>
      <c r="H23" s="1100">
        <v>2</v>
      </c>
      <c r="J23" s="1382"/>
      <c r="L23" s="1450" t="s">
        <v>1303</v>
      </c>
      <c r="M23" s="1415"/>
      <c r="N23" s="1415"/>
      <c r="O23" s="1416">
        <f>SUMIFS(O24:O$43,$H24:$H$43,$H23)</f>
        <v>2703900</v>
      </c>
      <c r="Q23" s="1450" t="s">
        <v>1303</v>
      </c>
      <c r="R23" s="1415"/>
      <c r="S23" s="1415"/>
      <c r="T23" s="1417">
        <f t="shared" si="0"/>
        <v>2.7039</v>
      </c>
    </row>
    <row r="24" spans="2:20" ht="16.5" thickTop="1" x14ac:dyDescent="0.2">
      <c r="B24" s="1382"/>
      <c r="C24" s="1756"/>
      <c r="D24" s="1756"/>
      <c r="E24" s="1756"/>
      <c r="G24" s="1100">
        <v>1</v>
      </c>
      <c r="H24" s="1100">
        <v>2</v>
      </c>
      <c r="I24" s="1100">
        <v>0.4</v>
      </c>
      <c r="J24" s="1385">
        <v>12</v>
      </c>
      <c r="L24" s="1451"/>
      <c r="M24" s="1465" t="s">
        <v>1402</v>
      </c>
      <c r="N24" s="1399"/>
      <c r="O24" s="1386">
        <f>SUMIFS(O25:O$43,$I25:$I$43,$I24)</f>
        <v>2359100</v>
      </c>
      <c r="Q24" s="1451"/>
      <c r="R24" s="1399" t="s">
        <v>1402</v>
      </c>
      <c r="S24" s="1399"/>
      <c r="T24" s="1387">
        <f t="shared" si="0"/>
        <v>2.3591000000000002</v>
      </c>
    </row>
    <row r="25" spans="2:20" x14ac:dyDescent="0.2">
      <c r="B25" s="1388">
        <f>'Trans- Road'!B16</f>
        <v>1984986.5844903067</v>
      </c>
      <c r="C25" s="1756"/>
      <c r="D25" s="1756"/>
      <c r="E25" s="1757"/>
      <c r="F25" s="1100" t="s">
        <v>34</v>
      </c>
      <c r="I25" s="1100">
        <f>I24</f>
        <v>0.4</v>
      </c>
      <c r="J25" s="1382"/>
      <c r="L25" s="1448"/>
      <c r="M25" s="1466"/>
      <c r="N25" s="1413" t="s">
        <v>1403</v>
      </c>
      <c r="O25" s="1390">
        <f>ROUND(B25,$B$2)</f>
        <v>1985000</v>
      </c>
      <c r="Q25" s="1448"/>
      <c r="R25" s="1400"/>
      <c r="S25" s="1413" t="s">
        <v>1403</v>
      </c>
      <c r="T25" s="1391">
        <f t="shared" si="0"/>
        <v>1.9850000000000001</v>
      </c>
    </row>
    <row r="26" spans="2:20" x14ac:dyDescent="0.2">
      <c r="B26" s="1388">
        <f>SUM('Trans- Road'!B76,'Trans- Road'!B70)</f>
        <v>338477.99361628096</v>
      </c>
      <c r="C26" s="1756"/>
      <c r="D26" s="1756"/>
      <c r="E26" s="1757"/>
      <c r="F26" s="1100" t="s">
        <v>34</v>
      </c>
      <c r="I26" s="1100">
        <f>I27</f>
        <v>0.4</v>
      </c>
      <c r="J26" s="1382"/>
      <c r="L26" s="1448"/>
      <c r="M26" s="1466"/>
      <c r="N26" s="1413" t="s">
        <v>1404</v>
      </c>
      <c r="O26" s="1390">
        <f t="shared" ref="O26:O29" si="4">ROUND(B26,$B$2)</f>
        <v>338500</v>
      </c>
      <c r="Q26" s="1448"/>
      <c r="R26" s="1400"/>
      <c r="S26" s="1413" t="s">
        <v>1404</v>
      </c>
      <c r="T26" s="1391">
        <f t="shared" si="0"/>
        <v>0.33850000000000002</v>
      </c>
    </row>
    <row r="27" spans="2:20" x14ac:dyDescent="0.2">
      <c r="B27" s="1388">
        <f>SUM('Trans- Road'!B21,'Trans- Road'!$B$62)</f>
        <v>35649.180962324128</v>
      </c>
      <c r="C27" s="1756"/>
      <c r="D27" s="1756"/>
      <c r="E27" s="1757"/>
      <c r="F27" s="1100" t="s">
        <v>34</v>
      </c>
      <c r="I27" s="1100">
        <f>I25</f>
        <v>0.4</v>
      </c>
      <c r="J27" s="1382"/>
      <c r="L27" s="1448"/>
      <c r="M27" s="1466"/>
      <c r="N27" s="1413" t="s">
        <v>1405</v>
      </c>
      <c r="O27" s="1390">
        <f t="shared" si="4"/>
        <v>35600</v>
      </c>
      <c r="Q27" s="1448"/>
      <c r="R27" s="1400"/>
      <c r="S27" s="1413" t="s">
        <v>1405</v>
      </c>
      <c r="T27" s="1391">
        <f t="shared" si="0"/>
        <v>3.56E-2</v>
      </c>
    </row>
    <row r="28" spans="2:20" x14ac:dyDescent="0.2">
      <c r="B28" s="1388">
        <f>'Trans-Rail'!B18</f>
        <v>41114.225686735379</v>
      </c>
      <c r="C28" s="1756"/>
      <c r="D28" s="1756"/>
      <c r="E28" s="1756"/>
      <c r="G28" s="1100">
        <v>2</v>
      </c>
      <c r="H28" s="1100">
        <v>2</v>
      </c>
      <c r="J28" s="1382"/>
      <c r="L28" s="1448"/>
      <c r="M28" s="1466" t="s">
        <v>1847</v>
      </c>
      <c r="N28" s="1412"/>
      <c r="O28" s="1390">
        <f t="shared" si="4"/>
        <v>41100</v>
      </c>
      <c r="Q28" s="1448"/>
      <c r="R28" s="1412" t="s">
        <v>1848</v>
      </c>
      <c r="S28" s="1412"/>
      <c r="T28" s="1391">
        <f t="shared" si="0"/>
        <v>4.1099999999999998E-2</v>
      </c>
    </row>
    <row r="29" spans="2:20" x14ac:dyDescent="0.2">
      <c r="B29" s="1388">
        <f>'Trans- Marine'!B74</f>
        <v>265869.3980308639</v>
      </c>
      <c r="C29" s="1756"/>
      <c r="D29" s="1756"/>
      <c r="E29" s="1756"/>
      <c r="G29" s="1100">
        <v>2</v>
      </c>
      <c r="H29" s="1100">
        <v>2</v>
      </c>
      <c r="J29" s="1382"/>
      <c r="L29" s="1448"/>
      <c r="M29" s="1467" t="s">
        <v>1330</v>
      </c>
      <c r="N29" s="1412"/>
      <c r="O29" s="1390">
        <f t="shared" si="4"/>
        <v>265900</v>
      </c>
      <c r="Q29" s="1448"/>
      <c r="R29" s="1412" t="s">
        <v>1330</v>
      </c>
      <c r="S29" s="1412"/>
      <c r="T29" s="1391">
        <f t="shared" si="0"/>
        <v>0.26590000000000003</v>
      </c>
    </row>
    <row r="30" spans="2:20" ht="12.75" thickBot="1" x14ac:dyDescent="0.25">
      <c r="B30" s="1388">
        <f>SUM('Res- Garden &amp; Rec'!B10,'Res- Garden &amp; Rec'!B14,'Res- Garden &amp; Rec'!B18)</f>
        <v>37802.112999999998</v>
      </c>
      <c r="C30" s="1756"/>
      <c r="D30" s="1756"/>
      <c r="E30" s="1756"/>
      <c r="G30" s="1100">
        <v>2</v>
      </c>
      <c r="H30" s="1100">
        <v>2</v>
      </c>
      <c r="J30" s="1382"/>
      <c r="L30" s="1449"/>
      <c r="M30" s="1468" t="s">
        <v>1406</v>
      </c>
      <c r="N30" s="1414"/>
      <c r="O30" s="1390">
        <f>ROUND(B30,$B$2)</f>
        <v>37800</v>
      </c>
      <c r="Q30" s="1449"/>
      <c r="R30" s="1414" t="s">
        <v>1406</v>
      </c>
      <c r="S30" s="1414"/>
      <c r="T30" s="1398">
        <f t="shared" si="0"/>
        <v>3.78E-2</v>
      </c>
    </row>
    <row r="31" spans="2:20" ht="13.5" thickTop="1" thickBot="1" x14ac:dyDescent="0.25">
      <c r="B31" s="1388">
        <f>'Trans-Air'!B10</f>
        <v>0</v>
      </c>
      <c r="C31" s="1756"/>
      <c r="D31" s="1756"/>
      <c r="E31" s="1756"/>
      <c r="G31" s="1100">
        <v>2</v>
      </c>
      <c r="H31" s="1100">
        <v>2</v>
      </c>
      <c r="J31" s="1382"/>
      <c r="L31" s="1771"/>
      <c r="M31" s="1468" t="s">
        <v>1891</v>
      </c>
      <c r="N31" s="1772"/>
      <c r="O31" s="1390">
        <f>ROUND(B31,$B$2)</f>
        <v>0</v>
      </c>
      <c r="Q31" s="1771"/>
      <c r="R31" s="1772"/>
      <c r="S31" s="1772"/>
      <c r="T31" s="1773"/>
    </row>
    <row r="32" spans="2:20" ht="13.5" thickTop="1" thickBot="1" x14ac:dyDescent="0.25">
      <c r="B32" s="1382"/>
      <c r="C32" s="1756"/>
      <c r="D32" s="1756"/>
      <c r="E32" s="1756"/>
      <c r="G32" s="1100">
        <v>1</v>
      </c>
      <c r="H32" s="1100">
        <v>3</v>
      </c>
      <c r="J32" s="1382"/>
      <c r="L32" s="1452" t="s">
        <v>1311</v>
      </c>
      <c r="M32" s="1418"/>
      <c r="N32" s="1418"/>
      <c r="O32" s="1419">
        <f>SUMIFS(O33:O$43,$H33:$H$43,$H32)</f>
        <v>32500</v>
      </c>
      <c r="Q32" s="1452" t="s">
        <v>1311</v>
      </c>
      <c r="R32" s="1418"/>
      <c r="S32" s="1418"/>
      <c r="T32" s="1420">
        <f t="shared" si="0"/>
        <v>3.2500000000000001E-2</v>
      </c>
    </row>
    <row r="33" spans="2:20" ht="17.25" thickTop="1" thickBot="1" x14ac:dyDescent="0.25">
      <c r="B33" s="1100">
        <f>'Waste- Management'!E12</f>
        <v>32524.509527060425</v>
      </c>
      <c r="C33" s="1756"/>
      <c r="D33" s="1756"/>
      <c r="E33" s="1756"/>
      <c r="H33" s="1100">
        <v>3</v>
      </c>
      <c r="J33" s="1385">
        <v>12</v>
      </c>
      <c r="L33" s="1453"/>
      <c r="M33" s="1421" t="s">
        <v>1332</v>
      </c>
      <c r="N33" s="1421"/>
      <c r="O33" s="1401">
        <f>ROUND(B33,$B$2)</f>
        <v>32500</v>
      </c>
      <c r="Q33" s="1453"/>
      <c r="R33" s="1421" t="s">
        <v>1332</v>
      </c>
      <c r="S33" s="1421"/>
      <c r="T33" s="1402">
        <f t="shared" si="0"/>
        <v>3.2500000000000001E-2</v>
      </c>
    </row>
    <row r="34" spans="2:20" ht="13.5" thickTop="1" thickBot="1" x14ac:dyDescent="0.25">
      <c r="B34" s="1382"/>
      <c r="C34" s="1756"/>
      <c r="D34" s="1756"/>
      <c r="E34" s="1756"/>
      <c r="H34" s="1100">
        <v>4</v>
      </c>
      <c r="J34" s="1382"/>
      <c r="L34" s="1454" t="s">
        <v>1314</v>
      </c>
      <c r="M34" s="1422"/>
      <c r="N34" s="1422"/>
      <c r="O34" s="1423">
        <f>SUMIFS(O35:O$43,$H35:$H$43,$H34)</f>
        <v>84900</v>
      </c>
      <c r="Q34" s="1454" t="s">
        <v>1314</v>
      </c>
      <c r="R34" s="1422"/>
      <c r="S34" s="1422"/>
      <c r="T34" s="1424">
        <f t="shared" si="0"/>
        <v>8.4900000000000003E-2</v>
      </c>
    </row>
    <row r="35" spans="2:20" ht="16.5" thickTop="1" x14ac:dyDescent="0.2">
      <c r="B35" s="1758">
        <f>'Water-Potable'!B140</f>
        <v>467.10788943588648</v>
      </c>
      <c r="C35" s="1756"/>
      <c r="D35" s="1706"/>
      <c r="E35" s="1756"/>
      <c r="H35" s="1100">
        <v>4</v>
      </c>
      <c r="J35" s="1385">
        <v>12</v>
      </c>
      <c r="L35" s="1451"/>
      <c r="M35" s="1425" t="s">
        <v>1416</v>
      </c>
      <c r="N35" s="1425"/>
      <c r="O35" s="1403">
        <f>ROUND(B35,$B$2)</f>
        <v>500</v>
      </c>
      <c r="P35" s="1753"/>
      <c r="Q35" s="1451"/>
      <c r="R35" s="1425" t="s">
        <v>1416</v>
      </c>
      <c r="S35" s="1425"/>
      <c r="T35" s="1404">
        <f t="shared" si="0"/>
        <v>5.0000000000000001E-4</v>
      </c>
    </row>
    <row r="36" spans="2:20" ht="12.75" thickBot="1" x14ac:dyDescent="0.25">
      <c r="B36" s="1434">
        <f>'Water-Waste'!B178</f>
        <v>84408.122687348397</v>
      </c>
      <c r="C36" s="1756"/>
      <c r="D36" s="1756"/>
      <c r="E36" s="1756"/>
      <c r="G36" s="1100">
        <v>2</v>
      </c>
      <c r="H36" s="1100">
        <v>4</v>
      </c>
      <c r="J36" s="1382"/>
      <c r="L36" s="1455"/>
      <c r="M36" s="1414" t="s">
        <v>1415</v>
      </c>
      <c r="N36" s="1414"/>
      <c r="O36" s="1397">
        <f>ROUND(B36,$B$2)</f>
        <v>84400</v>
      </c>
      <c r="P36" s="1753"/>
      <c r="Q36" s="1455"/>
      <c r="R36" s="1414" t="s">
        <v>1415</v>
      </c>
      <c r="S36" s="1414"/>
      <c r="T36" s="1398">
        <f t="shared" si="0"/>
        <v>8.4400000000000003E-2</v>
      </c>
    </row>
    <row r="37" spans="2:20" ht="13.5" thickTop="1" thickBot="1" x14ac:dyDescent="0.25">
      <c r="B37" s="1382"/>
      <c r="C37" s="1756"/>
      <c r="D37" s="1756"/>
      <c r="E37" s="1756"/>
      <c r="G37" s="1100">
        <v>2</v>
      </c>
      <c r="H37" s="1100">
        <v>5</v>
      </c>
      <c r="J37" s="1382"/>
      <c r="L37" s="1456" t="s">
        <v>1317</v>
      </c>
      <c r="M37" s="1426"/>
      <c r="N37" s="1426"/>
      <c r="O37" s="1427">
        <f>SUMIFS(O38:O$43,$H38:$H$43,$H37)</f>
        <v>155200</v>
      </c>
      <c r="Q37" s="1456" t="s">
        <v>1317</v>
      </c>
      <c r="R37" s="1426"/>
      <c r="S37" s="1426"/>
      <c r="T37" s="1428">
        <f t="shared" si="0"/>
        <v>0.1552</v>
      </c>
    </row>
    <row r="38" spans="2:20" ht="16.5" thickTop="1" x14ac:dyDescent="0.2">
      <c r="B38" s="1388">
        <f>Agr!B39</f>
        <v>64831.1175</v>
      </c>
      <c r="C38" s="1756"/>
      <c r="D38" s="1756"/>
      <c r="E38" s="1756"/>
      <c r="H38" s="1100">
        <v>5</v>
      </c>
      <c r="J38" s="1385">
        <v>12</v>
      </c>
      <c r="L38" s="1446" t="s">
        <v>1297</v>
      </c>
      <c r="M38" s="1425" t="s">
        <v>1318</v>
      </c>
      <c r="N38" s="1425"/>
      <c r="O38" s="1403">
        <f>ROUND(B38,$B$2)</f>
        <v>64800</v>
      </c>
      <c r="Q38" s="1446" t="s">
        <v>1297</v>
      </c>
      <c r="R38" s="1425" t="s">
        <v>1318</v>
      </c>
      <c r="S38" s="1425"/>
      <c r="T38" s="1404">
        <f t="shared" si="0"/>
        <v>6.4799999999999996E-2</v>
      </c>
    </row>
    <row r="39" spans="2:20" ht="12.75" thickBot="1" x14ac:dyDescent="0.25">
      <c r="B39" s="1388">
        <f>SUM(Agr!B156,Agr!B141)</f>
        <v>90425.246510570039</v>
      </c>
      <c r="C39" s="1756"/>
      <c r="D39" s="1756"/>
      <c r="E39" s="1756"/>
      <c r="H39" s="1100">
        <v>5</v>
      </c>
      <c r="J39" s="1382"/>
      <c r="L39" s="1457"/>
      <c r="M39" s="1414" t="s">
        <v>1319</v>
      </c>
      <c r="N39" s="1414"/>
      <c r="O39" s="1397">
        <f>ROUND(B39,$B$2)</f>
        <v>90400</v>
      </c>
      <c r="Q39" s="1457"/>
      <c r="R39" s="1414" t="s">
        <v>1319</v>
      </c>
      <c r="S39" s="1414"/>
      <c r="T39" s="1398">
        <f t="shared" si="0"/>
        <v>9.0399999999999994E-2</v>
      </c>
    </row>
    <row r="40" spans="2:20" ht="13.5" thickTop="1" thickBot="1" x14ac:dyDescent="0.25">
      <c r="B40" s="1382"/>
      <c r="C40" s="1756"/>
      <c r="D40" s="1756"/>
      <c r="E40" s="1756"/>
      <c r="G40" s="1100">
        <v>3</v>
      </c>
      <c r="H40" s="1100">
        <v>6</v>
      </c>
      <c r="J40" s="1382"/>
      <c r="L40" s="1458" t="s">
        <v>1849</v>
      </c>
      <c r="M40" s="1429"/>
      <c r="N40" s="1429"/>
      <c r="O40" s="1430">
        <f>SUMIFS(O41:O$43,$H41:$H$43,$H40)</f>
        <v>56800</v>
      </c>
      <c r="Q40" s="1458" t="s">
        <v>1849</v>
      </c>
      <c r="R40" s="1429"/>
      <c r="S40" s="1429"/>
      <c r="T40" s="1431">
        <f t="shared" si="0"/>
        <v>5.6800000000000003E-2</v>
      </c>
    </row>
    <row r="41" spans="2:20" ht="12.75" thickTop="1" x14ac:dyDescent="0.2">
      <c r="B41" s="1394">
        <f>'Waste- Landfills'!B12</f>
        <v>23519.599999999999</v>
      </c>
      <c r="C41" s="1756"/>
      <c r="D41" s="1756"/>
      <c r="E41" s="1756"/>
      <c r="H41" s="1100">
        <v>6</v>
      </c>
      <c r="J41" s="1382"/>
      <c r="L41" s="1448"/>
      <c r="M41" s="1412" t="s">
        <v>1331</v>
      </c>
      <c r="N41" s="1412"/>
      <c r="O41" s="1390">
        <f>ROUND(B41,$B$2)</f>
        <v>23500</v>
      </c>
      <c r="Q41" s="1448"/>
      <c r="R41" s="1412" t="s">
        <v>1331</v>
      </c>
      <c r="S41" s="1412"/>
      <c r="T41" s="1391">
        <f t="shared" si="0"/>
        <v>2.35E-2</v>
      </c>
    </row>
    <row r="42" spans="2:20" x14ac:dyDescent="0.2">
      <c r="B42" s="1388">
        <f>Agr!B175</f>
        <v>13858.507178983366</v>
      </c>
      <c r="C42" s="1756"/>
      <c r="D42" s="1756"/>
      <c r="E42" s="1756"/>
      <c r="H42" s="1100">
        <v>6</v>
      </c>
      <c r="J42" s="1382"/>
      <c r="L42" s="1447"/>
      <c r="M42" s="1412" t="s">
        <v>1325</v>
      </c>
      <c r="N42" s="1412"/>
      <c r="O42" s="1390">
        <f>ROUND(B42,$B$2)</f>
        <v>13900</v>
      </c>
      <c r="Q42" s="1447"/>
      <c r="R42" s="1412" t="s">
        <v>1325</v>
      </c>
      <c r="S42" s="1412"/>
      <c r="T42" s="1391">
        <f t="shared" si="0"/>
        <v>1.3899999999999999E-2</v>
      </c>
    </row>
    <row r="43" spans="2:20" x14ac:dyDescent="0.2">
      <c r="B43" s="1388">
        <f>Land_Use!B39</f>
        <v>19449.459546526061</v>
      </c>
      <c r="C43" s="1756"/>
      <c r="D43" s="1756"/>
      <c r="E43" s="1756"/>
      <c r="H43" s="1100">
        <v>6</v>
      </c>
      <c r="J43" s="1382"/>
      <c r="L43" s="1447"/>
      <c r="M43" s="1412" t="s">
        <v>1326</v>
      </c>
      <c r="N43" s="1412"/>
      <c r="O43" s="1390">
        <f>ROUND(B43,$B$2)</f>
        <v>19400</v>
      </c>
      <c r="Q43" s="1447"/>
      <c r="R43" s="1412" t="s">
        <v>1326</v>
      </c>
      <c r="S43" s="1412"/>
      <c r="T43" s="1391">
        <f t="shared" si="0"/>
        <v>1.9400000000000001E-2</v>
      </c>
    </row>
    <row r="44" spans="2:20" ht="12.75" thickBot="1" x14ac:dyDescent="0.25">
      <c r="B44" s="1394">
        <f>'Ind- Fug. Gases'!B17</f>
        <v>396143.33079168352</v>
      </c>
      <c r="C44" s="1756"/>
      <c r="D44" s="1756"/>
      <c r="E44" s="1756"/>
      <c r="I44" s="1100">
        <f>I22</f>
        <v>0.3</v>
      </c>
      <c r="J44" s="1382"/>
      <c r="K44" s="1395"/>
      <c r="L44" s="1449"/>
      <c r="M44" s="1396" t="s">
        <v>1397</v>
      </c>
      <c r="N44" s="1396"/>
      <c r="O44" s="1397">
        <f>ROUND(B44,$B$2)</f>
        <v>396100</v>
      </c>
      <c r="Q44" s="1449"/>
      <c r="R44" s="1396" t="s">
        <v>1397</v>
      </c>
      <c r="S44" s="1396"/>
      <c r="T44" s="1398">
        <f>O44/$B$3</f>
        <v>0.39610000000000001</v>
      </c>
    </row>
    <row r="45" spans="2:20" ht="13.5" thickTop="1" thickBot="1" x14ac:dyDescent="0.25">
      <c r="B45" s="1382"/>
      <c r="C45" s="1756"/>
      <c r="D45" s="1756"/>
      <c r="E45" s="1756"/>
      <c r="J45" s="1382"/>
      <c r="L45" s="1459" t="s">
        <v>875</v>
      </c>
      <c r="M45" s="1432"/>
      <c r="N45" s="1432"/>
      <c r="O45" s="1405"/>
      <c r="Q45" s="1459" t="s">
        <v>875</v>
      </c>
      <c r="R45" s="1432"/>
      <c r="S45" s="1432"/>
      <c r="T45" s="1406">
        <f>O45/$B$3</f>
        <v>0</v>
      </c>
    </row>
    <row r="46" spans="2:20" ht="17.25" thickTop="1" thickBot="1" x14ac:dyDescent="0.25">
      <c r="B46" s="1382"/>
      <c r="C46" s="1756"/>
      <c r="D46" s="1756"/>
      <c r="E46" s="1756"/>
      <c r="G46" s="1100">
        <v>2</v>
      </c>
      <c r="J46" s="1385">
        <v>12</v>
      </c>
      <c r="L46" s="1460"/>
      <c r="M46" s="1433" t="s">
        <v>1436</v>
      </c>
      <c r="N46" s="1435"/>
      <c r="O46" s="1439">
        <f>SUMIFS(O$6:O$43,$G$6:$G$43,"&lt;="&amp;$G46)</f>
        <v>4595500</v>
      </c>
      <c r="P46" s="1753"/>
      <c r="Q46" s="1460"/>
      <c r="R46" s="1433" t="s">
        <v>1435</v>
      </c>
      <c r="S46" s="1435"/>
      <c r="T46" s="1442">
        <f t="shared" si="0"/>
        <v>4.5955000000000004</v>
      </c>
    </row>
    <row r="47" spans="2:20" ht="14.25" thickTop="1" thickBot="1" x14ac:dyDescent="0.25">
      <c r="B47" s="1382"/>
      <c r="C47" s="1756"/>
      <c r="D47" s="1756"/>
      <c r="E47" s="1756"/>
      <c r="G47" s="1100">
        <v>1</v>
      </c>
      <c r="J47" s="1382"/>
      <c r="L47" s="1460"/>
      <c r="M47" s="1407"/>
      <c r="N47" s="1435" t="s">
        <v>1407</v>
      </c>
      <c r="O47" s="1439">
        <f>SUMIFS(O$6:O$43,$G$6:$G$43,$G47)</f>
        <v>3273500</v>
      </c>
      <c r="Q47" s="1460"/>
      <c r="R47" s="1407"/>
      <c r="S47" s="1435" t="s">
        <v>1407</v>
      </c>
      <c r="T47" s="1442">
        <f t="shared" si="0"/>
        <v>3.2734999999999999</v>
      </c>
    </row>
    <row r="48" spans="2:20" ht="14.25" thickTop="1" thickBot="1" x14ac:dyDescent="0.25">
      <c r="B48" s="1382"/>
      <c r="C48" s="1756"/>
      <c r="D48" s="1756"/>
      <c r="E48" s="1756"/>
      <c r="G48" s="1100">
        <v>2</v>
      </c>
      <c r="J48" s="1382"/>
      <c r="L48" s="1461"/>
      <c r="M48" s="1436"/>
      <c r="N48" s="1433" t="s">
        <v>988</v>
      </c>
      <c r="O48" s="1440">
        <f>SUMIFS(O$6:O$43,$G$6:$G$43,$G48)</f>
        <v>1322000</v>
      </c>
      <c r="Q48" s="1461"/>
      <c r="R48" s="1436"/>
      <c r="S48" s="1433" t="s">
        <v>988</v>
      </c>
      <c r="T48" s="1443">
        <f t="shared" si="0"/>
        <v>1.3220000000000001</v>
      </c>
    </row>
    <row r="49" spans="2:20" ht="14.25" thickTop="1" thickBot="1" x14ac:dyDescent="0.25">
      <c r="B49" s="1382"/>
      <c r="C49" s="1756"/>
      <c r="D49" s="1756"/>
      <c r="E49" s="1756"/>
      <c r="G49" s="1100">
        <v>3</v>
      </c>
      <c r="J49" s="1382"/>
      <c r="L49" s="1462"/>
      <c r="M49" s="1437"/>
      <c r="N49" s="1438" t="s">
        <v>1850</v>
      </c>
      <c r="O49" s="1441">
        <f>SUMIFS(O$6:O$43,$G$6:$G$43,$G49)</f>
        <v>56800</v>
      </c>
      <c r="Q49" s="1462"/>
      <c r="R49" s="1437"/>
      <c r="S49" s="1438" t="s">
        <v>1850</v>
      </c>
      <c r="T49" s="1444">
        <f t="shared" si="0"/>
        <v>5.6800000000000003E-2</v>
      </c>
    </row>
    <row r="50" spans="2:20" ht="13.5" thickTop="1" thickBot="1" x14ac:dyDescent="0.25">
      <c r="B50" s="1382"/>
      <c r="C50" s="1756"/>
      <c r="D50" s="1756"/>
      <c r="E50" s="1756"/>
      <c r="J50" s="1382"/>
      <c r="L50" s="1459" t="s">
        <v>1851</v>
      </c>
      <c r="M50" s="1432"/>
      <c r="N50" s="1432"/>
      <c r="O50" s="1405"/>
      <c r="Q50" s="1459"/>
      <c r="R50" s="1432"/>
      <c r="S50" s="1432"/>
      <c r="T50" s="1406"/>
    </row>
    <row r="51" spans="2:20" ht="12.75" thickTop="1" x14ac:dyDescent="0.2">
      <c r="B51" s="1394"/>
      <c r="C51" s="1388"/>
      <c r="D51" s="1388"/>
      <c r="E51" s="1388"/>
      <c r="J51" s="1382"/>
      <c r="L51" s="1448"/>
      <c r="M51" s="1389" t="s">
        <v>1852</v>
      </c>
      <c r="N51" s="1389"/>
      <c r="O51" s="1390"/>
      <c r="Q51" s="1448"/>
      <c r="R51" s="1389"/>
      <c r="S51" s="1389"/>
      <c r="T51" s="1391"/>
    </row>
  </sheetData>
  <conditionalFormatting sqref="G49:I49 G6:I46">
    <cfRule type="cellIs" dxfId="2" priority="3" operator="greaterThan">
      <formula>0</formula>
    </cfRule>
  </conditionalFormatting>
  <conditionalFormatting sqref="G47:I47 H48:I48">
    <cfRule type="cellIs" dxfId="1" priority="2" operator="greaterThan">
      <formula>0</formula>
    </cfRule>
  </conditionalFormatting>
  <conditionalFormatting sqref="G48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topLeftCell="B19" workbookViewId="0">
      <selection activeCell="E25" sqref="E25"/>
    </sheetView>
  </sheetViews>
  <sheetFormatPr defaultRowHeight="12" x14ac:dyDescent="0.2"/>
  <cols>
    <col min="1" max="1" width="9.140625" style="350"/>
    <col min="2" max="2" width="4" style="5" customWidth="1"/>
    <col min="3" max="3" width="6.28515625" style="5" customWidth="1"/>
    <col min="4" max="4" width="5" style="5" customWidth="1"/>
    <col min="5" max="5" width="71.140625" style="5" customWidth="1"/>
    <col min="6" max="9" width="9.42578125" style="1361" customWidth="1"/>
  </cols>
  <sheetData>
    <row r="2" spans="2:9" ht="14.25" x14ac:dyDescent="0.2">
      <c r="B2"/>
      <c r="C2"/>
      <c r="D2"/>
      <c r="E2"/>
      <c r="F2" s="1367" t="s">
        <v>1410</v>
      </c>
      <c r="G2" s="1360" t="s">
        <v>1411</v>
      </c>
      <c r="H2" s="1368" t="s">
        <v>1410</v>
      </c>
      <c r="I2" s="1360" t="s">
        <v>1412</v>
      </c>
    </row>
    <row r="3" spans="2:9" x14ac:dyDescent="0.2">
      <c r="B3"/>
      <c r="C3"/>
      <c r="D3"/>
      <c r="E3"/>
      <c r="F3" s="1360"/>
      <c r="G3" s="1360"/>
      <c r="H3" s="1360"/>
      <c r="I3" s="1360"/>
    </row>
    <row r="4" spans="2:9" ht="26.25" customHeight="1" x14ac:dyDescent="0.2">
      <c r="B4"/>
      <c r="C4"/>
      <c r="D4"/>
      <c r="E4"/>
      <c r="F4" s="1360" t="s">
        <v>1407</v>
      </c>
      <c r="G4" s="1360" t="s">
        <v>988</v>
      </c>
      <c r="H4" s="1360" t="s">
        <v>1408</v>
      </c>
      <c r="I4" s="1360" t="s">
        <v>1409</v>
      </c>
    </row>
    <row r="5" spans="2:9" ht="14.25" x14ac:dyDescent="0.2">
      <c r="B5" s="1296" t="s">
        <v>1321</v>
      </c>
      <c r="C5" s="1297"/>
      <c r="D5" s="1297"/>
      <c r="E5" s="1297"/>
      <c r="F5" s="1362"/>
      <c r="G5" s="1362"/>
      <c r="H5" s="1362"/>
      <c r="I5" s="1362"/>
    </row>
    <row r="6" spans="2:9" ht="14.25" x14ac:dyDescent="0.2">
      <c r="B6" s="1290" t="s">
        <v>1297</v>
      </c>
      <c r="C6" s="1298" t="s">
        <v>1299</v>
      </c>
      <c r="D6" s="1298"/>
      <c r="E6" s="1298"/>
      <c r="F6" s="1367" t="s">
        <v>1410</v>
      </c>
      <c r="G6" s="1369"/>
      <c r="H6" s="1369"/>
      <c r="I6" s="1369"/>
    </row>
    <row r="7" spans="2:9" ht="14.25" x14ac:dyDescent="0.2">
      <c r="B7" s="1291"/>
      <c r="D7" s="5" t="s">
        <v>133</v>
      </c>
      <c r="F7" s="1368"/>
      <c r="G7" s="337"/>
      <c r="H7" s="337"/>
      <c r="I7" s="337"/>
    </row>
    <row r="8" spans="2:9" ht="14.25" x14ac:dyDescent="0.2">
      <c r="B8" s="1291"/>
      <c r="E8" s="5" t="s">
        <v>29</v>
      </c>
      <c r="F8" s="337"/>
      <c r="G8" s="337"/>
      <c r="H8" s="337"/>
      <c r="I8" s="337"/>
    </row>
    <row r="9" spans="2:9" ht="14.25" x14ac:dyDescent="0.2">
      <c r="B9" s="1291"/>
      <c r="E9" s="5" t="s">
        <v>30</v>
      </c>
      <c r="F9" s="337"/>
      <c r="G9" s="337"/>
      <c r="H9" s="337"/>
      <c r="I9" s="337"/>
    </row>
    <row r="10" spans="2:9" ht="14.25" x14ac:dyDescent="0.2">
      <c r="B10" s="1291"/>
      <c r="D10" s="5" t="s">
        <v>1328</v>
      </c>
      <c r="F10" s="337"/>
      <c r="G10" s="337"/>
      <c r="H10" s="337"/>
      <c r="I10" s="337"/>
    </row>
    <row r="11" spans="2:9" ht="14.25" x14ac:dyDescent="0.2">
      <c r="B11" s="1291"/>
      <c r="E11" s="5" t="s">
        <v>29</v>
      </c>
      <c r="F11" s="337"/>
      <c r="G11" s="337"/>
      <c r="H11" s="337"/>
      <c r="I11" s="337"/>
    </row>
    <row r="12" spans="2:9" ht="14.25" x14ac:dyDescent="0.2">
      <c r="B12" s="1291"/>
      <c r="E12" s="5" t="s">
        <v>30</v>
      </c>
      <c r="F12" s="337"/>
      <c r="G12" s="337"/>
      <c r="H12" s="337"/>
      <c r="I12" s="337"/>
    </row>
    <row r="13" spans="2:9" ht="14.25" x14ac:dyDescent="0.2">
      <c r="B13" s="1291"/>
      <c r="D13" s="5" t="s">
        <v>1329</v>
      </c>
      <c r="F13" s="337"/>
      <c r="G13" s="337"/>
      <c r="H13" s="337"/>
      <c r="I13" s="337"/>
    </row>
    <row r="14" spans="2:9" ht="14.25" x14ac:dyDescent="0.2">
      <c r="B14" s="1291"/>
      <c r="E14" s="5" t="s">
        <v>29</v>
      </c>
      <c r="F14" s="337"/>
      <c r="G14" s="337"/>
      <c r="H14" s="337"/>
      <c r="I14" s="337"/>
    </row>
    <row r="15" spans="2:9" ht="14.25" x14ac:dyDescent="0.2">
      <c r="B15" s="1291"/>
      <c r="E15" s="5" t="s">
        <v>30</v>
      </c>
      <c r="F15" s="337"/>
      <c r="G15" s="337"/>
      <c r="H15" s="337"/>
      <c r="I15" s="337"/>
    </row>
    <row r="16" spans="2:9" ht="14.25" x14ac:dyDescent="0.2">
      <c r="B16" s="1291"/>
      <c r="C16" s="1298" t="s">
        <v>1300</v>
      </c>
      <c r="D16" s="1298"/>
      <c r="E16" s="1298"/>
      <c r="F16" s="1368"/>
      <c r="G16" s="1368" t="s">
        <v>1410</v>
      </c>
      <c r="H16" s="1369"/>
      <c r="I16" s="1369"/>
    </row>
    <row r="17" spans="2:9" ht="14.25" x14ac:dyDescent="0.2">
      <c r="B17" s="1291"/>
      <c r="C17" s="1298" t="s">
        <v>1301</v>
      </c>
      <c r="D17" s="1298"/>
      <c r="E17" s="1298"/>
      <c r="F17" s="1367" t="s">
        <v>1410</v>
      </c>
      <c r="G17" s="1369"/>
      <c r="H17" s="1369"/>
      <c r="I17" s="1369"/>
    </row>
    <row r="18" spans="2:9" ht="14.25" x14ac:dyDescent="0.2">
      <c r="B18" s="1291"/>
      <c r="E18" s="5" t="s">
        <v>29</v>
      </c>
      <c r="F18" s="337"/>
      <c r="G18" s="337"/>
      <c r="H18" s="337"/>
      <c r="I18" s="337"/>
    </row>
    <row r="19" spans="2:9" ht="14.25" x14ac:dyDescent="0.2">
      <c r="B19" s="1291"/>
      <c r="E19" s="5" t="s">
        <v>30</v>
      </c>
      <c r="F19" s="337"/>
      <c r="G19" s="337"/>
      <c r="H19" s="337"/>
      <c r="I19" s="337"/>
    </row>
    <row r="20" spans="2:9" ht="14.25" x14ac:dyDescent="0.2">
      <c r="B20" s="1291"/>
      <c r="C20" s="1298" t="s">
        <v>1302</v>
      </c>
      <c r="D20" s="1298"/>
      <c r="E20" s="1298"/>
      <c r="F20" s="1369"/>
      <c r="G20" s="1368" t="s">
        <v>1410</v>
      </c>
      <c r="H20" s="1369"/>
      <c r="I20" s="1369"/>
    </row>
    <row r="21" spans="2:9" ht="14.25" x14ac:dyDescent="0.2">
      <c r="B21" s="1294" t="s">
        <v>1303</v>
      </c>
      <c r="C21" s="1299"/>
      <c r="D21" s="1299"/>
      <c r="E21" s="1299"/>
      <c r="F21" s="1363"/>
      <c r="G21" s="1363"/>
      <c r="H21" s="1363"/>
      <c r="I21" s="1363"/>
    </row>
    <row r="22" spans="2:9" ht="14.25" x14ac:dyDescent="0.2">
      <c r="B22" s="1291"/>
      <c r="C22" s="1295" t="s">
        <v>1304</v>
      </c>
      <c r="D22" s="1295"/>
      <c r="E22" s="1295"/>
      <c r="F22" s="1367" t="s">
        <v>1410</v>
      </c>
      <c r="G22" s="1369"/>
      <c r="H22" s="1369"/>
      <c r="I22" s="1369"/>
    </row>
    <row r="23" spans="2:9" ht="14.25" x14ac:dyDescent="0.2">
      <c r="B23" s="1291"/>
      <c r="C23" s="1295" t="s">
        <v>1305</v>
      </c>
      <c r="D23" s="1295"/>
      <c r="E23" s="1295"/>
      <c r="F23" s="1367" t="s">
        <v>1410</v>
      </c>
      <c r="G23" s="1369"/>
      <c r="H23" s="1369"/>
      <c r="I23" s="1369"/>
    </row>
    <row r="24" spans="2:9" ht="14.25" x14ac:dyDescent="0.2">
      <c r="B24" s="1291"/>
      <c r="C24" s="1295" t="s">
        <v>1306</v>
      </c>
      <c r="D24" s="1295"/>
      <c r="E24" s="1295"/>
      <c r="F24" s="1369"/>
      <c r="G24" s="1368" t="s">
        <v>1410</v>
      </c>
      <c r="H24" s="1369"/>
      <c r="I24" s="1369"/>
    </row>
    <row r="25" spans="2:9" ht="14.25" x14ac:dyDescent="0.2">
      <c r="B25" s="1291"/>
      <c r="C25" s="1300" t="s">
        <v>1307</v>
      </c>
      <c r="D25" s="1300"/>
      <c r="E25" s="1300"/>
      <c r="F25" s="1370"/>
      <c r="G25" s="1368" t="s">
        <v>1410</v>
      </c>
      <c r="H25" s="1370"/>
      <c r="I25" s="1370"/>
    </row>
    <row r="26" spans="2:9" ht="14.25" x14ac:dyDescent="0.2">
      <c r="B26" s="1291"/>
      <c r="C26" s="1300" t="s">
        <v>1308</v>
      </c>
      <c r="D26" s="1300"/>
      <c r="E26" s="1300"/>
      <c r="F26" s="1370"/>
      <c r="G26" s="1368" t="s">
        <v>1410</v>
      </c>
      <c r="H26" s="1370"/>
      <c r="I26" s="1370"/>
    </row>
    <row r="27" spans="2:9" ht="14.25" x14ac:dyDescent="0.2">
      <c r="B27" s="1291"/>
      <c r="C27" s="1300" t="s">
        <v>1309</v>
      </c>
      <c r="D27" s="1300"/>
      <c r="E27" s="1300"/>
      <c r="F27" s="1370"/>
      <c r="G27" s="1368" t="s">
        <v>1410</v>
      </c>
      <c r="H27" s="1370"/>
      <c r="I27" s="1370"/>
    </row>
    <row r="28" spans="2:9" ht="14.25" x14ac:dyDescent="0.2">
      <c r="B28" s="1291"/>
      <c r="C28" s="1300" t="s">
        <v>1310</v>
      </c>
      <c r="D28" s="1300"/>
      <c r="E28" s="1300"/>
      <c r="F28" s="1370"/>
      <c r="G28" s="1368" t="s">
        <v>1410</v>
      </c>
      <c r="H28" s="1370"/>
      <c r="I28" s="1370"/>
    </row>
    <row r="29" spans="2:9" ht="14.25" x14ac:dyDescent="0.2">
      <c r="B29" s="1291"/>
      <c r="C29" s="1300" t="s">
        <v>1419</v>
      </c>
      <c r="D29" s="1300"/>
      <c r="E29" s="1300"/>
      <c r="F29" s="1370"/>
      <c r="G29" s="1368"/>
      <c r="H29" s="1368" t="s">
        <v>1410</v>
      </c>
      <c r="I29" s="1370"/>
    </row>
    <row r="30" spans="2:9" ht="14.25" x14ac:dyDescent="0.2">
      <c r="B30" s="1301" t="s">
        <v>1311</v>
      </c>
      <c r="C30" s="1302"/>
      <c r="D30" s="1302"/>
      <c r="E30" s="1302"/>
      <c r="F30" s="1364"/>
      <c r="G30" s="1364"/>
      <c r="H30" s="1364"/>
      <c r="I30" s="1364"/>
    </row>
    <row r="31" spans="2:9" ht="14.25" x14ac:dyDescent="0.2">
      <c r="B31" s="1291"/>
      <c r="C31" s="1303" t="s">
        <v>1312</v>
      </c>
      <c r="D31" s="1303"/>
      <c r="E31" s="1303"/>
      <c r="F31" s="1370"/>
      <c r="G31" s="1370"/>
      <c r="H31" s="1370"/>
      <c r="I31" s="1368" t="s">
        <v>1410</v>
      </c>
    </row>
    <row r="32" spans="2:9" ht="14.25" x14ac:dyDescent="0.2">
      <c r="B32" s="1291"/>
      <c r="C32" s="1303" t="s">
        <v>1313</v>
      </c>
      <c r="D32" s="1303"/>
      <c r="E32" s="1303"/>
      <c r="F32" s="1367" t="s">
        <v>1410</v>
      </c>
      <c r="G32" s="1370"/>
      <c r="H32" s="1370"/>
      <c r="I32" s="1370"/>
    </row>
    <row r="33" spans="2:9" ht="14.25" x14ac:dyDescent="0.2">
      <c r="B33" s="1292" t="s">
        <v>1314</v>
      </c>
      <c r="C33" s="1293"/>
      <c r="D33" s="1293"/>
      <c r="E33" s="1293"/>
      <c r="F33" s="1365"/>
      <c r="G33" s="1365"/>
      <c r="H33" s="1365"/>
      <c r="I33" s="1365"/>
    </row>
    <row r="34" spans="2:9" ht="14.25" x14ac:dyDescent="0.2">
      <c r="B34" s="1291"/>
      <c r="C34" s="1304" t="s">
        <v>1315</v>
      </c>
      <c r="D34" s="1304"/>
      <c r="E34" s="1304"/>
      <c r="F34" s="1367" t="s">
        <v>1410</v>
      </c>
      <c r="G34" s="1370"/>
      <c r="H34" s="1370"/>
      <c r="I34" s="1370"/>
    </row>
    <row r="35" spans="2:9" ht="14.25" x14ac:dyDescent="0.2">
      <c r="B35" s="1291"/>
      <c r="C35" s="1304" t="s">
        <v>1316</v>
      </c>
      <c r="D35" s="1304"/>
      <c r="E35" s="1304"/>
      <c r="F35" s="1367" t="s">
        <v>1410</v>
      </c>
      <c r="G35" s="1370"/>
      <c r="H35" s="1370"/>
      <c r="I35" s="1370"/>
    </row>
    <row r="36" spans="2:9" ht="14.25" x14ac:dyDescent="0.2">
      <c r="B36" s="1305" t="s">
        <v>1317</v>
      </c>
      <c r="C36" s="1306"/>
      <c r="D36" s="1306"/>
      <c r="E36" s="1306"/>
      <c r="F36" s="1366"/>
      <c r="G36" s="1366"/>
      <c r="H36" s="1366"/>
      <c r="I36" s="1366"/>
    </row>
    <row r="37" spans="2:9" ht="14.25" x14ac:dyDescent="0.2">
      <c r="B37" s="1290" t="s">
        <v>1297</v>
      </c>
      <c r="C37" s="1307" t="s">
        <v>1318</v>
      </c>
      <c r="D37" s="1307"/>
      <c r="E37" s="1307"/>
      <c r="F37" s="1370"/>
      <c r="G37" s="1368" t="s">
        <v>1410</v>
      </c>
      <c r="H37" s="1370"/>
      <c r="I37" s="1370"/>
    </row>
    <row r="38" spans="2:9" ht="14.25" x14ac:dyDescent="0.2">
      <c r="B38" s="1290" t="s">
        <v>1297</v>
      </c>
      <c r="C38" s="1307" t="s">
        <v>1319</v>
      </c>
      <c r="D38" s="1307"/>
      <c r="E38" s="1307"/>
      <c r="F38" s="1370"/>
      <c r="G38" s="1368" t="s">
        <v>1410</v>
      </c>
      <c r="H38" s="1370"/>
      <c r="I38" s="1370"/>
    </row>
    <row r="39" spans="2:9" x14ac:dyDescent="0.2">
      <c r="B39" s="1371" t="s">
        <v>1420</v>
      </c>
      <c r="C39" s="1371"/>
      <c r="D39" s="1371"/>
      <c r="E39" s="1371"/>
      <c r="F39" s="1371"/>
      <c r="G39" s="1371"/>
      <c r="H39" s="1371"/>
      <c r="I39" s="1371"/>
    </row>
    <row r="40" spans="2:9" ht="14.25" x14ac:dyDescent="0.2">
      <c r="C40" s="1789" t="s">
        <v>1421</v>
      </c>
      <c r="D40" s="1789"/>
      <c r="E40" s="1789"/>
      <c r="H40" s="1368" t="s">
        <v>1410</v>
      </c>
      <c r="I40" s="1368"/>
    </row>
    <row r="41" spans="2:9" ht="14.25" x14ac:dyDescent="0.2">
      <c r="C41" s="1789" t="s">
        <v>1422</v>
      </c>
      <c r="D41" s="1789"/>
      <c r="E41" s="1789"/>
      <c r="H41" s="1368" t="s">
        <v>1410</v>
      </c>
      <c r="I41" s="1368"/>
    </row>
    <row r="42" spans="2:9" ht="14.25" x14ac:dyDescent="0.2">
      <c r="C42" s="1789" t="s">
        <v>1423</v>
      </c>
      <c r="D42" s="1789"/>
      <c r="E42" s="1789"/>
      <c r="H42" s="1368" t="s">
        <v>1410</v>
      </c>
      <c r="I42" s="1368"/>
    </row>
    <row r="43" spans="2:9" ht="14.25" x14ac:dyDescent="0.2">
      <c r="C43" s="1789" t="s">
        <v>1424</v>
      </c>
      <c r="D43" s="1789"/>
      <c r="E43" s="1789"/>
      <c r="H43" s="1368" t="s">
        <v>1410</v>
      </c>
      <c r="I43" s="1368"/>
    </row>
    <row r="44" spans="2:9" ht="14.25" x14ac:dyDescent="0.2">
      <c r="C44" s="1789" t="s">
        <v>1425</v>
      </c>
      <c r="D44" s="1789"/>
      <c r="E44" s="1789"/>
      <c r="H44" s="1368" t="s">
        <v>1410</v>
      </c>
      <c r="I44" s="1368"/>
    </row>
    <row r="45" spans="2:9" x14ac:dyDescent="0.2">
      <c r="B45" s="1372" t="s">
        <v>1426</v>
      </c>
      <c r="C45" s="1372"/>
      <c r="D45" s="1372"/>
      <c r="E45" s="1372"/>
      <c r="F45" s="1372"/>
      <c r="G45" s="1372"/>
      <c r="H45" s="1372"/>
      <c r="I45" s="1372"/>
    </row>
    <row r="46" spans="2:9" ht="27.75" customHeight="1" x14ac:dyDescent="0.2">
      <c r="C46" s="1789" t="s">
        <v>1427</v>
      </c>
      <c r="D46" s="1789"/>
      <c r="E46" s="1789"/>
      <c r="H46" s="1368" t="s">
        <v>1410</v>
      </c>
      <c r="I46" s="1368"/>
    </row>
    <row r="47" spans="2:9" ht="14.25" x14ac:dyDescent="0.2">
      <c r="C47" s="1789" t="s">
        <v>1428</v>
      </c>
      <c r="D47" s="1789"/>
      <c r="E47" s="1789"/>
      <c r="H47" s="1368" t="s">
        <v>1410</v>
      </c>
      <c r="I47" s="1368"/>
    </row>
    <row r="48" spans="2:9" ht="14.25" x14ac:dyDescent="0.2">
      <c r="C48" s="1789" t="s">
        <v>1429</v>
      </c>
      <c r="D48" s="1789"/>
      <c r="E48" s="1789"/>
      <c r="H48" s="1368" t="s">
        <v>1410</v>
      </c>
      <c r="I48" s="1368"/>
    </row>
    <row r="49" spans="2:9" ht="14.25" x14ac:dyDescent="0.2">
      <c r="B49" s="1373" t="s">
        <v>1320</v>
      </c>
      <c r="C49" s="1308"/>
      <c r="D49" s="1308"/>
      <c r="E49" s="1308"/>
      <c r="F49" s="1308"/>
      <c r="G49" s="1308"/>
      <c r="H49" s="1308"/>
      <c r="I49" s="1308"/>
    </row>
    <row r="50" spans="2:9" ht="14.25" x14ac:dyDescent="0.2">
      <c r="B50" s="1290"/>
      <c r="C50" s="1359" t="s">
        <v>1322</v>
      </c>
      <c r="D50" s="1359"/>
      <c r="E50" s="1359"/>
      <c r="F50" s="1370"/>
      <c r="G50" s="1370"/>
      <c r="H50" s="1370"/>
      <c r="I50" s="1368" t="s">
        <v>1410</v>
      </c>
    </row>
    <row r="51" spans="2:9" ht="14.25" x14ac:dyDescent="0.2">
      <c r="B51" s="1290"/>
      <c r="C51" s="1359" t="s">
        <v>1323</v>
      </c>
      <c r="D51" s="1359"/>
      <c r="E51" s="1359"/>
      <c r="F51" s="1370"/>
      <c r="G51" s="1370"/>
      <c r="H51" s="1370"/>
      <c r="I51" s="1368" t="s">
        <v>1410</v>
      </c>
    </row>
    <row r="52" spans="2:9" ht="14.25" x14ac:dyDescent="0.2">
      <c r="B52" s="1290"/>
      <c r="C52" s="1359" t="s">
        <v>1324</v>
      </c>
      <c r="D52" s="1359"/>
      <c r="E52" s="1359"/>
      <c r="F52" s="1370"/>
      <c r="G52" s="1370"/>
      <c r="H52" s="1370"/>
      <c r="I52" s="1368" t="s">
        <v>1410</v>
      </c>
    </row>
    <row r="53" spans="2:9" ht="14.25" x14ac:dyDescent="0.2">
      <c r="B53" s="1290"/>
      <c r="C53" s="1359" t="s">
        <v>1325</v>
      </c>
      <c r="D53" s="1359"/>
      <c r="E53" s="1359"/>
      <c r="F53" s="1370"/>
      <c r="G53" s="1370"/>
      <c r="H53" s="1370"/>
      <c r="I53" s="1368" t="s">
        <v>1410</v>
      </c>
    </row>
    <row r="54" spans="2:9" ht="14.25" x14ac:dyDescent="0.2">
      <c r="B54" s="1290"/>
      <c r="C54" s="1359" t="s">
        <v>1326</v>
      </c>
      <c r="D54" s="1359"/>
      <c r="E54" s="1359"/>
      <c r="F54" s="1370"/>
      <c r="G54" s="1370"/>
      <c r="H54" s="1370"/>
      <c r="I54" s="1368" t="s">
        <v>1410</v>
      </c>
    </row>
    <row r="55" spans="2:9" ht="14.25" x14ac:dyDescent="0.2">
      <c r="B55" s="1290"/>
      <c r="C55" s="1359" t="s">
        <v>1327</v>
      </c>
      <c r="D55" s="1359"/>
      <c r="E55" s="1359"/>
      <c r="F55" s="1370"/>
      <c r="G55" s="1370"/>
      <c r="H55" s="1370"/>
      <c r="I55" s="1368" t="s">
        <v>1410</v>
      </c>
    </row>
  </sheetData>
  <sortState ref="A4:D85">
    <sortCondition ref="D85"/>
  </sortState>
  <mergeCells count="8">
    <mergeCell ref="C48:E48"/>
    <mergeCell ref="C40:E40"/>
    <mergeCell ref="C41:E41"/>
    <mergeCell ref="C42:E42"/>
    <mergeCell ref="C43:E43"/>
    <mergeCell ref="C44:E44"/>
    <mergeCell ref="C46:E46"/>
    <mergeCell ref="C47:E4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4" sqref="B4"/>
    </sheetView>
  </sheetViews>
  <sheetFormatPr defaultRowHeight="12" x14ac:dyDescent="0.2"/>
  <cols>
    <col min="1" max="1" width="25.85546875" bestFit="1" customWidth="1"/>
    <col min="4" max="4" width="21.85546875" bestFit="1" customWidth="1"/>
  </cols>
  <sheetData>
    <row r="1" spans="1:5" x14ac:dyDescent="0.2">
      <c r="A1" s="64" t="s">
        <v>1867</v>
      </c>
    </row>
    <row r="3" spans="1:5" x14ac:dyDescent="0.2">
      <c r="A3" s="64" t="s">
        <v>1868</v>
      </c>
      <c r="B3" s="64" t="s">
        <v>1869</v>
      </c>
      <c r="C3" s="64" t="s">
        <v>1870</v>
      </c>
      <c r="D3" s="64" t="s">
        <v>1871</v>
      </c>
      <c r="E3" s="64" t="s">
        <v>485</v>
      </c>
    </row>
    <row r="4" spans="1:5" x14ac:dyDescent="0.2">
      <c r="A4" t="s">
        <v>678</v>
      </c>
      <c r="C4" s="1766"/>
      <c r="D4" s="1766"/>
    </row>
    <row r="5" spans="1:5" x14ac:dyDescent="0.2">
      <c r="A5" t="s">
        <v>630</v>
      </c>
      <c r="B5" t="s">
        <v>1875</v>
      </c>
      <c r="C5" s="1766">
        <v>42908</v>
      </c>
      <c r="D5" t="s">
        <v>1882</v>
      </c>
    </row>
    <row r="6" spans="1:5" x14ac:dyDescent="0.2">
      <c r="A6" t="s">
        <v>631</v>
      </c>
      <c r="C6" s="1766"/>
    </row>
    <row r="7" spans="1:5" x14ac:dyDescent="0.2">
      <c r="A7" t="s">
        <v>632</v>
      </c>
      <c r="B7" t="s">
        <v>1875</v>
      </c>
      <c r="C7" s="1766">
        <v>42908</v>
      </c>
    </row>
    <row r="8" spans="1:5" x14ac:dyDescent="0.2">
      <c r="A8" t="s">
        <v>1019</v>
      </c>
      <c r="B8" t="s">
        <v>1875</v>
      </c>
      <c r="C8" s="1766">
        <v>42908</v>
      </c>
      <c r="D8" t="s">
        <v>1882</v>
      </c>
    </row>
    <row r="9" spans="1:5" x14ac:dyDescent="0.2">
      <c r="A9" t="s">
        <v>727</v>
      </c>
      <c r="C9" s="1766"/>
    </row>
    <row r="10" spans="1:5" x14ac:dyDescent="0.2">
      <c r="A10" t="s">
        <v>728</v>
      </c>
      <c r="C10" s="1766"/>
    </row>
    <row r="11" spans="1:5" x14ac:dyDescent="0.2">
      <c r="A11" t="s">
        <v>923</v>
      </c>
      <c r="B11" t="s">
        <v>1875</v>
      </c>
      <c r="C11" s="1766">
        <v>42908</v>
      </c>
      <c r="D11" t="s">
        <v>1882</v>
      </c>
    </row>
    <row r="12" spans="1:5" x14ac:dyDescent="0.2">
      <c r="A12" t="s">
        <v>729</v>
      </c>
      <c r="C12" s="1766"/>
    </row>
    <row r="13" spans="1:5" x14ac:dyDescent="0.2">
      <c r="A13" t="s">
        <v>1872</v>
      </c>
      <c r="C13" s="1766"/>
    </row>
    <row r="14" spans="1:5" x14ac:dyDescent="0.2">
      <c r="A14" t="s">
        <v>1431</v>
      </c>
      <c r="B14" t="s">
        <v>1875</v>
      </c>
      <c r="C14" s="1766">
        <v>42908</v>
      </c>
      <c r="D14" t="s">
        <v>1882</v>
      </c>
    </row>
    <row r="15" spans="1:5" x14ac:dyDescent="0.2">
      <c r="A15" t="s">
        <v>1432</v>
      </c>
      <c r="C15" s="1766"/>
    </row>
    <row r="16" spans="1:5" x14ac:dyDescent="0.2">
      <c r="A16" t="s">
        <v>846</v>
      </c>
      <c r="C16" s="1766"/>
    </row>
    <row r="17" spans="1:3" x14ac:dyDescent="0.2">
      <c r="A17" t="s">
        <v>56</v>
      </c>
      <c r="C17" s="1766"/>
    </row>
    <row r="18" spans="1:3" x14ac:dyDescent="0.2">
      <c r="A18" t="s">
        <v>633</v>
      </c>
      <c r="C18" s="176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/>
    <pageSetUpPr autoPageBreaks="0"/>
  </sheetPr>
  <dimension ref="A1:I902"/>
  <sheetViews>
    <sheetView tabSelected="1" zoomScaleNormal="100" workbookViewId="0">
      <pane xSplit="1" ySplit="2" topLeftCell="B45" activePane="bottomRight" state="frozen"/>
      <selection activeCell="F46" sqref="F46"/>
      <selection pane="topRight" activeCell="F46" sqref="F46"/>
      <selection pane="bottomLeft" activeCell="F46" sqref="F46"/>
      <selection pane="bottomRight" activeCell="C25" sqref="C25"/>
    </sheetView>
  </sheetViews>
  <sheetFormatPr defaultColWidth="8.85546875" defaultRowHeight="12" x14ac:dyDescent="0.2"/>
  <cols>
    <col min="1" max="1" width="42.85546875" style="1" bestFit="1" customWidth="1"/>
    <col min="2" max="2" width="23.140625" style="918" bestFit="1" customWidth="1"/>
    <col min="4" max="4" width="13.85546875" bestFit="1" customWidth="1"/>
    <col min="5" max="5" width="23.7109375" style="1" bestFit="1" customWidth="1"/>
  </cols>
  <sheetData>
    <row r="1" spans="1:9" x14ac:dyDescent="0.2">
      <c r="A1" s="112" t="s">
        <v>1179</v>
      </c>
      <c r="B1" s="1790">
        <v>2015</v>
      </c>
      <c r="C1" s="1791"/>
      <c r="D1" s="1791"/>
      <c r="E1" s="1792"/>
      <c r="F1" s="64" t="s">
        <v>1169</v>
      </c>
    </row>
    <row r="2" spans="1:9" x14ac:dyDescent="0.2">
      <c r="A2" s="112" t="s">
        <v>489</v>
      </c>
      <c r="B2" s="1323" t="s">
        <v>487</v>
      </c>
      <c r="C2" s="1263" t="s">
        <v>486</v>
      </c>
      <c r="D2" s="556" t="s">
        <v>488</v>
      </c>
      <c r="E2" s="578" t="s">
        <v>306</v>
      </c>
      <c r="F2" s="203" t="s">
        <v>1166</v>
      </c>
      <c r="G2" s="598"/>
      <c r="H2" s="1137" t="s">
        <v>1168</v>
      </c>
      <c r="I2" s="419"/>
    </row>
    <row r="3" spans="1:9" x14ac:dyDescent="0.2">
      <c r="A3" s="1171" t="s">
        <v>1179</v>
      </c>
      <c r="B3" s="1324"/>
      <c r="C3" s="1172"/>
      <c r="D3" s="1173"/>
      <c r="E3" s="1174"/>
      <c r="F3" s="1139"/>
      <c r="G3" s="1134"/>
      <c r="H3" s="1134"/>
      <c r="I3" s="1134"/>
    </row>
    <row r="4" spans="1:9" s="90" customFormat="1" x14ac:dyDescent="0.2">
      <c r="A4" s="1211" t="s">
        <v>1520</v>
      </c>
      <c r="B4" s="1325"/>
      <c r="C4" s="700"/>
      <c r="D4" s="700"/>
      <c r="E4" s="1244"/>
    </row>
    <row r="5" spans="1:9" x14ac:dyDescent="0.2">
      <c r="A5" s="1133" t="s">
        <v>81</v>
      </c>
    </row>
    <row r="6" spans="1:9" ht="13.5" x14ac:dyDescent="0.2">
      <c r="A6" s="116" t="s">
        <v>1856</v>
      </c>
      <c r="B6" s="1664">
        <v>2.7236153741050428E-2</v>
      </c>
      <c r="C6" s="90" t="s">
        <v>1697</v>
      </c>
      <c r="D6" s="216" t="s">
        <v>1522</v>
      </c>
    </row>
    <row r="7" spans="1:9" x14ac:dyDescent="0.2">
      <c r="A7" s="205"/>
      <c r="B7" s="1326"/>
      <c r="C7" s="90"/>
    </row>
    <row r="8" spans="1:9" s="90" customFormat="1" x14ac:dyDescent="0.2">
      <c r="A8" s="1130" t="s">
        <v>28</v>
      </c>
      <c r="B8" s="1326"/>
      <c r="E8" s="87"/>
    </row>
    <row r="9" spans="1:9" x14ac:dyDescent="0.2">
      <c r="A9" s="1133" t="s">
        <v>81</v>
      </c>
      <c r="B9" s="1326"/>
      <c r="C9" s="90"/>
    </row>
    <row r="10" spans="1:9" x14ac:dyDescent="0.2">
      <c r="A10" s="515"/>
      <c r="B10" s="1660"/>
      <c r="C10" s="66"/>
    </row>
    <row r="11" spans="1:9" x14ac:dyDescent="0.2">
      <c r="A11" s="569" t="s">
        <v>1700</v>
      </c>
      <c r="B11" s="1660">
        <v>28217</v>
      </c>
      <c r="C11" t="s">
        <v>612</v>
      </c>
      <c r="D11" t="s">
        <v>1566</v>
      </c>
    </row>
    <row r="12" spans="1:9" x14ac:dyDescent="0.2">
      <c r="A12" s="567" t="s">
        <v>19</v>
      </c>
      <c r="B12" s="1661">
        <v>2387839</v>
      </c>
      <c r="C12" t="s">
        <v>612</v>
      </c>
      <c r="D12" t="s">
        <v>1566</v>
      </c>
    </row>
    <row r="13" spans="1:9" x14ac:dyDescent="0.2">
      <c r="A13" s="567" t="s">
        <v>31</v>
      </c>
      <c r="B13" s="1661">
        <v>567017</v>
      </c>
      <c r="C13" t="s">
        <v>612</v>
      </c>
      <c r="D13" t="s">
        <v>1566</v>
      </c>
    </row>
    <row r="14" spans="1:9" x14ac:dyDescent="0.2">
      <c r="A14" s="568" t="s">
        <v>1521</v>
      </c>
      <c r="B14" s="1660"/>
      <c r="C14" s="66"/>
    </row>
    <row r="15" spans="1:9" x14ac:dyDescent="0.2">
      <c r="A15" s="569" t="s">
        <v>29</v>
      </c>
      <c r="B15" s="1662">
        <v>3491910</v>
      </c>
      <c r="C15" t="s">
        <v>612</v>
      </c>
      <c r="D15" t="s">
        <v>1566</v>
      </c>
    </row>
    <row r="16" spans="1:9" x14ac:dyDescent="0.2">
      <c r="A16" s="569" t="s">
        <v>32</v>
      </c>
      <c r="B16" s="1662">
        <f>SUM(B12:B13)</f>
        <v>2954856</v>
      </c>
      <c r="C16" t="s">
        <v>612</v>
      </c>
      <c r="D16" t="s">
        <v>1566</v>
      </c>
    </row>
    <row r="17" spans="1:5" x14ac:dyDescent="0.2">
      <c r="A17" s="568" t="s">
        <v>78</v>
      </c>
      <c r="B17" s="1663">
        <f>SUM(B15:B16)</f>
        <v>6446766</v>
      </c>
      <c r="C17" s="71" t="s">
        <v>612</v>
      </c>
      <c r="E17" s="1" t="s">
        <v>515</v>
      </c>
    </row>
    <row r="18" spans="1:5" x14ac:dyDescent="0.2">
      <c r="A18" s="172"/>
      <c r="B18" s="206"/>
      <c r="C18" s="66"/>
    </row>
    <row r="19" spans="1:5" s="90" customFormat="1" x14ac:dyDescent="0.2">
      <c r="A19" s="238" t="s">
        <v>29</v>
      </c>
      <c r="B19" s="206"/>
      <c r="C19" s="66"/>
      <c r="E19" s="87"/>
    </row>
    <row r="20" spans="1:5" s="90" customFormat="1" ht="13.5" x14ac:dyDescent="0.2">
      <c r="A20" s="1665" t="s">
        <v>1701</v>
      </c>
      <c r="B20" s="1666">
        <f>B15*B6+(B15/B17*B29)</f>
        <v>99661.784475426146</v>
      </c>
      <c r="C20" s="698" t="s">
        <v>799</v>
      </c>
      <c r="E20" s="87" t="s">
        <v>1702</v>
      </c>
    </row>
    <row r="21" spans="1:5" ht="12.75" x14ac:dyDescent="0.2">
      <c r="A21" s="1327"/>
      <c r="B21" s="254"/>
      <c r="C21" s="71"/>
    </row>
    <row r="22" spans="1:5" x14ac:dyDescent="0.2">
      <c r="A22" s="238" t="s">
        <v>30</v>
      </c>
      <c r="B22" s="254"/>
      <c r="C22" s="71"/>
    </row>
    <row r="23" spans="1:5" ht="13.5" x14ac:dyDescent="0.2">
      <c r="A23" s="1665" t="s">
        <v>1701</v>
      </c>
      <c r="B23" s="679">
        <f>(B12+B11)*B6+((B12+B11)/B17*B29)</f>
        <v>68956.087743544427</v>
      </c>
      <c r="C23" s="698" t="s">
        <v>799</v>
      </c>
      <c r="E23" s="1" t="s">
        <v>1703</v>
      </c>
    </row>
    <row r="24" spans="1:5" ht="12" customHeight="1" x14ac:dyDescent="0.2">
      <c r="B24" s="717"/>
      <c r="C24" s="195"/>
    </row>
    <row r="25" spans="1:5" s="90" customFormat="1" x14ac:dyDescent="0.2">
      <c r="A25" s="238" t="s">
        <v>31</v>
      </c>
      <c r="B25" s="717"/>
      <c r="C25" s="289"/>
      <c r="E25" s="87"/>
    </row>
    <row r="26" spans="1:5" ht="13.5" x14ac:dyDescent="0.2">
      <c r="A26" s="1665" t="s">
        <v>1701</v>
      </c>
      <c r="B26" s="679">
        <f>B13*B6+(B13/B17*B29)</f>
        <v>16183.099234488493</v>
      </c>
      <c r="C26" s="698" t="s">
        <v>799</v>
      </c>
      <c r="E26" s="87" t="s">
        <v>1702</v>
      </c>
    </row>
    <row r="27" spans="1:5" ht="12.75" x14ac:dyDescent="0.2">
      <c r="A27" s="570"/>
      <c r="B27" s="1502"/>
      <c r="C27" s="698"/>
    </row>
    <row r="28" spans="1:5" ht="12.75" x14ac:dyDescent="0.2">
      <c r="A28" s="1659" t="s">
        <v>1698</v>
      </c>
      <c r="B28" s="1775">
        <v>4.7899999999999998E-2</v>
      </c>
      <c r="C28" s="698"/>
      <c r="D28" s="1490" t="s">
        <v>1761</v>
      </c>
      <c r="E28" s="1" t="s">
        <v>1762</v>
      </c>
    </row>
    <row r="29" spans="1:5" ht="13.5" x14ac:dyDescent="0.2">
      <c r="A29" s="1659" t="s">
        <v>1699</v>
      </c>
      <c r="B29" s="679">
        <f>B28*B17*B6</f>
        <v>8410.5267646208231</v>
      </c>
      <c r="C29" s="698" t="s">
        <v>799</v>
      </c>
    </row>
    <row r="30" spans="1:5" ht="12.75" x14ac:dyDescent="0.2">
      <c r="A30" s="570"/>
      <c r="B30" s="1502"/>
      <c r="C30" s="698"/>
    </row>
    <row r="31" spans="1:5" ht="12.75" x14ac:dyDescent="0.2">
      <c r="A31" s="570"/>
      <c r="B31" s="1502"/>
      <c r="C31" s="698"/>
    </row>
    <row r="32" spans="1:5" ht="12.75" x14ac:dyDescent="0.2">
      <c r="A32" s="570"/>
      <c r="B32" s="1658"/>
      <c r="C32" s="698"/>
    </row>
    <row r="33" spans="1:5" s="1329" customFormat="1" ht="13.5" x14ac:dyDescent="0.2">
      <c r="A33" s="1328" t="s">
        <v>1854</v>
      </c>
      <c r="B33" s="1519">
        <f>SUM(B26+B23+B20)</f>
        <v>184800.97145345906</v>
      </c>
      <c r="C33" s="1503" t="s">
        <v>1482</v>
      </c>
      <c r="E33" s="1330"/>
    </row>
    <row r="34" spans="1:5" ht="13.5" x14ac:dyDescent="0.2">
      <c r="A34" s="120" t="s">
        <v>1373</v>
      </c>
      <c r="B34" s="1355">
        <f>B33/popSno15</f>
        <v>0.24392947657531555</v>
      </c>
      <c r="C34" s="698" t="s">
        <v>1374</v>
      </c>
    </row>
    <row r="35" spans="1:5" ht="13.5" x14ac:dyDescent="0.2">
      <c r="A35" s="120" t="s">
        <v>1375</v>
      </c>
      <c r="B35" s="1355">
        <f>(B20)/popSno15</f>
        <v>0.13154934592849279</v>
      </c>
      <c r="C35" s="698" t="s">
        <v>1374</v>
      </c>
    </row>
    <row r="36" spans="1:5" x14ac:dyDescent="0.2">
      <c r="A36" s="120" t="s">
        <v>1376</v>
      </c>
      <c r="B36" s="1355">
        <f>(B15)/popSno15</f>
        <v>4.6091737064413936</v>
      </c>
      <c r="C36" s="1354" t="s">
        <v>1377</v>
      </c>
    </row>
    <row r="37" spans="1:5" x14ac:dyDescent="0.2">
      <c r="A37" s="120"/>
      <c r="C37" s="5"/>
    </row>
    <row r="38" spans="1:5" x14ac:dyDescent="0.2">
      <c r="A38" s="1331" t="s">
        <v>1350</v>
      </c>
      <c r="C38" s="5"/>
    </row>
    <row r="39" spans="1:5" x14ac:dyDescent="0.2">
      <c r="A39" s="119" t="s">
        <v>1443</v>
      </c>
      <c r="B39" s="918">
        <v>913.4</v>
      </c>
      <c r="C39" s="468" t="s">
        <v>1351</v>
      </c>
      <c r="D39" s="521" t="s">
        <v>1763</v>
      </c>
      <c r="E39" s="1" t="s">
        <v>1481</v>
      </c>
    </row>
    <row r="40" spans="1:5" x14ac:dyDescent="0.2">
      <c r="A40" s="1332" t="s">
        <v>1855</v>
      </c>
      <c r="C40" s="5"/>
    </row>
    <row r="41" spans="1:5" ht="13.5" x14ac:dyDescent="0.2">
      <c r="A41" s="1289" t="s">
        <v>29</v>
      </c>
      <c r="B41" s="1703">
        <f>B39/2000*B15*(1+B28)</f>
        <v>1671144.0757263</v>
      </c>
      <c r="C41" s="473" t="s">
        <v>119</v>
      </c>
    </row>
    <row r="42" spans="1:5" ht="13.5" x14ac:dyDescent="0.2">
      <c r="A42" s="1289" t="s">
        <v>30</v>
      </c>
      <c r="B42" s="1703">
        <f>B39/2000*B12*(1+B28)</f>
        <v>1142762.27011527</v>
      </c>
      <c r="C42" s="473" t="s">
        <v>119</v>
      </c>
    </row>
    <row r="43" spans="1:5" ht="13.5" x14ac:dyDescent="0.2">
      <c r="A43" s="1289" t="s">
        <v>31</v>
      </c>
      <c r="B43" s="1703">
        <f>B39/2000*B13*(1+B28)</f>
        <v>271360.68810080999</v>
      </c>
      <c r="C43" s="473" t="s">
        <v>119</v>
      </c>
    </row>
    <row r="44" spans="1:5" ht="13.5" x14ac:dyDescent="0.2">
      <c r="A44" s="1289" t="s">
        <v>1352</v>
      </c>
      <c r="B44" s="1704">
        <f>SUM(B41:B43)</f>
        <v>3085267.03394238</v>
      </c>
      <c r="C44" s="473" t="s">
        <v>119</v>
      </c>
    </row>
    <row r="45" spans="1:5" ht="13.5" x14ac:dyDescent="0.2">
      <c r="A45" s="1289" t="s">
        <v>1353</v>
      </c>
      <c r="B45" s="1703">
        <f>SUM(B20,B23,B26)</f>
        <v>184800.97145345906</v>
      </c>
      <c r="C45" s="473" t="s">
        <v>119</v>
      </c>
    </row>
    <row r="46" spans="1:5" x14ac:dyDescent="0.2">
      <c r="A46" s="552" t="s">
        <v>1354</v>
      </c>
      <c r="B46" s="1333">
        <f>B45/B44</f>
        <v>5.9897885473245031E-2</v>
      </c>
      <c r="C46" s="473"/>
    </row>
    <row r="47" spans="1:5" x14ac:dyDescent="0.2">
      <c r="A47" s="552"/>
      <c r="B47" s="1333"/>
      <c r="C47" s="473"/>
    </row>
    <row r="48" spans="1:5" x14ac:dyDescent="0.2">
      <c r="A48" s="646"/>
      <c r="B48" s="1538"/>
      <c r="C48" s="331"/>
      <c r="D48" s="90"/>
    </row>
    <row r="49" spans="1:4" x14ac:dyDescent="0.2">
      <c r="A49" s="1289"/>
      <c r="B49" s="1538"/>
      <c r="C49" s="331"/>
      <c r="D49" s="90"/>
    </row>
    <row r="50" spans="1:4" x14ac:dyDescent="0.2">
      <c r="A50" s="1289"/>
      <c r="B50" s="1538"/>
      <c r="C50" s="331"/>
      <c r="D50" s="90"/>
    </row>
    <row r="51" spans="1:4" x14ac:dyDescent="0.2">
      <c r="A51" s="1289"/>
      <c r="B51" s="1538"/>
      <c r="C51" s="331"/>
      <c r="D51" s="90"/>
    </row>
    <row r="52" spans="1:4" x14ac:dyDescent="0.2">
      <c r="A52" s="1289"/>
      <c r="B52" s="1539"/>
      <c r="C52" s="331"/>
      <c r="D52" s="90"/>
    </row>
    <row r="53" spans="1:4" x14ac:dyDescent="0.2">
      <c r="A53" s="1289"/>
      <c r="B53" s="1538"/>
      <c r="C53" s="331"/>
      <c r="D53" s="90"/>
    </row>
    <row r="54" spans="1:4" x14ac:dyDescent="0.2">
      <c r="A54" s="646"/>
      <c r="B54" s="1539"/>
      <c r="C54" s="66"/>
      <c r="D54" s="90"/>
    </row>
    <row r="55" spans="1:4" x14ac:dyDescent="0.2">
      <c r="A55" s="87"/>
      <c r="B55" s="1538"/>
      <c r="C55" s="66"/>
      <c r="D55" s="90"/>
    </row>
    <row r="56" spans="1:4" x14ac:dyDescent="0.2">
      <c r="C56" s="5"/>
    </row>
    <row r="57" spans="1:4" x14ac:dyDescent="0.2">
      <c r="C57" s="5"/>
    </row>
    <row r="58" spans="1:4" x14ac:dyDescent="0.2">
      <c r="C58" s="5"/>
    </row>
    <row r="59" spans="1:4" x14ac:dyDescent="0.2">
      <c r="C59" s="5"/>
    </row>
    <row r="60" spans="1:4" x14ac:dyDescent="0.2">
      <c r="C60" s="5"/>
    </row>
    <row r="61" spans="1:4" x14ac:dyDescent="0.2">
      <c r="C61" s="5"/>
    </row>
    <row r="62" spans="1:4" x14ac:dyDescent="0.2">
      <c r="C62" s="5"/>
    </row>
    <row r="63" spans="1:4" x14ac:dyDescent="0.2">
      <c r="C63" s="5"/>
    </row>
    <row r="64" spans="1:4" x14ac:dyDescent="0.2">
      <c r="C64" s="5"/>
    </row>
    <row r="65" spans="3:3" x14ac:dyDescent="0.2">
      <c r="C65" s="5"/>
    </row>
    <row r="66" spans="3:3" x14ac:dyDescent="0.2">
      <c r="C66" s="5"/>
    </row>
    <row r="67" spans="3:3" x14ac:dyDescent="0.2">
      <c r="C67" s="5"/>
    </row>
    <row r="68" spans="3:3" x14ac:dyDescent="0.2">
      <c r="C68" s="5"/>
    </row>
    <row r="69" spans="3:3" x14ac:dyDescent="0.2">
      <c r="C69" s="5"/>
    </row>
    <row r="70" spans="3:3" x14ac:dyDescent="0.2">
      <c r="C70" s="5"/>
    </row>
    <row r="71" spans="3:3" x14ac:dyDescent="0.2">
      <c r="C71" s="5"/>
    </row>
    <row r="72" spans="3:3" x14ac:dyDescent="0.2">
      <c r="C72" s="5"/>
    </row>
    <row r="73" spans="3:3" x14ac:dyDescent="0.2">
      <c r="C73" s="5"/>
    </row>
    <row r="74" spans="3:3" x14ac:dyDescent="0.2">
      <c r="C74" s="5"/>
    </row>
    <row r="75" spans="3:3" x14ac:dyDescent="0.2">
      <c r="C75" s="5"/>
    </row>
    <row r="76" spans="3:3" x14ac:dyDescent="0.2">
      <c r="C76" s="5"/>
    </row>
    <row r="77" spans="3:3" x14ac:dyDescent="0.2">
      <c r="C77" s="5"/>
    </row>
    <row r="78" spans="3:3" x14ac:dyDescent="0.2">
      <c r="C78" s="5"/>
    </row>
    <row r="79" spans="3:3" x14ac:dyDescent="0.2">
      <c r="C79" s="5"/>
    </row>
    <row r="80" spans="3:3" x14ac:dyDescent="0.2">
      <c r="C80" s="5"/>
    </row>
    <row r="81" spans="3:3" x14ac:dyDescent="0.2">
      <c r="C81" s="5"/>
    </row>
    <row r="82" spans="3:3" x14ac:dyDescent="0.2">
      <c r="C82" s="5"/>
    </row>
    <row r="83" spans="3:3" x14ac:dyDescent="0.2">
      <c r="C83" s="5"/>
    </row>
    <row r="84" spans="3:3" x14ac:dyDescent="0.2">
      <c r="C84" s="5"/>
    </row>
    <row r="85" spans="3:3" x14ac:dyDescent="0.2">
      <c r="C85" s="5"/>
    </row>
    <row r="86" spans="3:3" x14ac:dyDescent="0.2">
      <c r="C86" s="5"/>
    </row>
    <row r="87" spans="3:3" x14ac:dyDescent="0.2">
      <c r="C87" s="5"/>
    </row>
    <row r="88" spans="3:3" x14ac:dyDescent="0.2">
      <c r="C88" s="5"/>
    </row>
    <row r="89" spans="3:3" x14ac:dyDescent="0.2">
      <c r="C89" s="5"/>
    </row>
    <row r="90" spans="3:3" x14ac:dyDescent="0.2">
      <c r="C90" s="5"/>
    </row>
    <row r="91" spans="3:3" x14ac:dyDescent="0.2">
      <c r="C91" s="5"/>
    </row>
    <row r="92" spans="3:3" x14ac:dyDescent="0.2">
      <c r="C92" s="5"/>
    </row>
    <row r="93" spans="3:3" x14ac:dyDescent="0.2">
      <c r="C93" s="5"/>
    </row>
    <row r="94" spans="3:3" x14ac:dyDescent="0.2">
      <c r="C94" s="5"/>
    </row>
    <row r="95" spans="3:3" x14ac:dyDescent="0.2">
      <c r="C95" s="5"/>
    </row>
    <row r="96" spans="3:3" x14ac:dyDescent="0.2">
      <c r="C96" s="5"/>
    </row>
    <row r="97" spans="3:3" x14ac:dyDescent="0.2">
      <c r="C97" s="5"/>
    </row>
    <row r="98" spans="3:3" x14ac:dyDescent="0.2">
      <c r="C98" s="5"/>
    </row>
    <row r="99" spans="3:3" x14ac:dyDescent="0.2">
      <c r="C99" s="5"/>
    </row>
    <row r="100" spans="3:3" x14ac:dyDescent="0.2">
      <c r="C100" s="5"/>
    </row>
    <row r="101" spans="3:3" x14ac:dyDescent="0.2">
      <c r="C101" s="5"/>
    </row>
    <row r="102" spans="3:3" x14ac:dyDescent="0.2">
      <c r="C102" s="5"/>
    </row>
    <row r="103" spans="3:3" x14ac:dyDescent="0.2">
      <c r="C103" s="5"/>
    </row>
    <row r="104" spans="3:3" x14ac:dyDescent="0.2">
      <c r="C104" s="5"/>
    </row>
    <row r="105" spans="3:3" x14ac:dyDescent="0.2">
      <c r="C105" s="5"/>
    </row>
    <row r="106" spans="3:3" x14ac:dyDescent="0.2">
      <c r="C106" s="5"/>
    </row>
    <row r="107" spans="3:3" x14ac:dyDescent="0.2">
      <c r="C107" s="5"/>
    </row>
    <row r="108" spans="3:3" x14ac:dyDescent="0.2">
      <c r="C108" s="5"/>
    </row>
    <row r="109" spans="3:3" x14ac:dyDescent="0.2">
      <c r="C109" s="5"/>
    </row>
    <row r="110" spans="3:3" x14ac:dyDescent="0.2">
      <c r="C110" s="5"/>
    </row>
    <row r="111" spans="3:3" x14ac:dyDescent="0.2">
      <c r="C111" s="5"/>
    </row>
    <row r="112" spans="3:3" x14ac:dyDescent="0.2">
      <c r="C112" s="5"/>
    </row>
    <row r="113" spans="3:3" x14ac:dyDescent="0.2">
      <c r="C113" s="5"/>
    </row>
    <row r="114" spans="3:3" x14ac:dyDescent="0.2">
      <c r="C114" s="5"/>
    </row>
    <row r="115" spans="3:3" x14ac:dyDescent="0.2">
      <c r="C115" s="5"/>
    </row>
    <row r="116" spans="3:3" x14ac:dyDescent="0.2">
      <c r="C116" s="5"/>
    </row>
    <row r="117" spans="3:3" x14ac:dyDescent="0.2">
      <c r="C117" s="5"/>
    </row>
    <row r="118" spans="3:3" x14ac:dyDescent="0.2">
      <c r="C118" s="5"/>
    </row>
    <row r="119" spans="3:3" x14ac:dyDescent="0.2">
      <c r="C119" s="5"/>
    </row>
    <row r="120" spans="3:3" x14ac:dyDescent="0.2">
      <c r="C120" s="5"/>
    </row>
    <row r="121" spans="3:3" x14ac:dyDescent="0.2">
      <c r="C121" s="5"/>
    </row>
    <row r="122" spans="3:3" x14ac:dyDescent="0.2">
      <c r="C122" s="5"/>
    </row>
    <row r="123" spans="3:3" x14ac:dyDescent="0.2">
      <c r="C123" s="5"/>
    </row>
    <row r="124" spans="3:3" x14ac:dyDescent="0.2">
      <c r="C124" s="5"/>
    </row>
    <row r="125" spans="3:3" x14ac:dyDescent="0.2">
      <c r="C125" s="5"/>
    </row>
    <row r="126" spans="3:3" x14ac:dyDescent="0.2">
      <c r="C126" s="5"/>
    </row>
    <row r="127" spans="3:3" x14ac:dyDescent="0.2">
      <c r="C127" s="5"/>
    </row>
    <row r="128" spans="3:3" x14ac:dyDescent="0.2">
      <c r="C128" s="5"/>
    </row>
    <row r="129" spans="3:3" x14ac:dyDescent="0.2">
      <c r="C129" s="5"/>
    </row>
    <row r="130" spans="3:3" x14ac:dyDescent="0.2">
      <c r="C130" s="5"/>
    </row>
    <row r="131" spans="3:3" x14ac:dyDescent="0.2">
      <c r="C131" s="5"/>
    </row>
    <row r="132" spans="3:3" x14ac:dyDescent="0.2">
      <c r="C132" s="5"/>
    </row>
    <row r="133" spans="3:3" x14ac:dyDescent="0.2">
      <c r="C133" s="5"/>
    </row>
    <row r="134" spans="3:3" x14ac:dyDescent="0.2">
      <c r="C134" s="5"/>
    </row>
    <row r="135" spans="3:3" x14ac:dyDescent="0.2">
      <c r="C135" s="5"/>
    </row>
    <row r="136" spans="3:3" x14ac:dyDescent="0.2">
      <c r="C136" s="5"/>
    </row>
    <row r="137" spans="3:3" x14ac:dyDescent="0.2">
      <c r="C137" s="5"/>
    </row>
    <row r="138" spans="3:3" x14ac:dyDescent="0.2">
      <c r="C138" s="5"/>
    </row>
    <row r="139" spans="3:3" x14ac:dyDescent="0.2">
      <c r="C139" s="5"/>
    </row>
    <row r="140" spans="3:3" x14ac:dyDescent="0.2">
      <c r="C140" s="5"/>
    </row>
    <row r="141" spans="3:3" x14ac:dyDescent="0.2">
      <c r="C141" s="5"/>
    </row>
    <row r="142" spans="3:3" x14ac:dyDescent="0.2">
      <c r="C142" s="5"/>
    </row>
    <row r="143" spans="3:3" x14ac:dyDescent="0.2">
      <c r="C143" s="5"/>
    </row>
    <row r="144" spans="3:3" x14ac:dyDescent="0.2">
      <c r="C144" s="5"/>
    </row>
    <row r="145" spans="3:3" x14ac:dyDescent="0.2">
      <c r="C145" s="5"/>
    </row>
    <row r="146" spans="3:3" x14ac:dyDescent="0.2">
      <c r="C146" s="5"/>
    </row>
    <row r="147" spans="3:3" x14ac:dyDescent="0.2">
      <c r="C147" s="5"/>
    </row>
    <row r="148" spans="3:3" x14ac:dyDescent="0.2">
      <c r="C148" s="5"/>
    </row>
    <row r="149" spans="3:3" x14ac:dyDescent="0.2">
      <c r="C149" s="5"/>
    </row>
    <row r="150" spans="3:3" x14ac:dyDescent="0.2">
      <c r="C150" s="5"/>
    </row>
    <row r="151" spans="3:3" x14ac:dyDescent="0.2">
      <c r="C151" s="5"/>
    </row>
    <row r="152" spans="3:3" x14ac:dyDescent="0.2">
      <c r="C152" s="5"/>
    </row>
    <row r="153" spans="3:3" x14ac:dyDescent="0.2">
      <c r="C153" s="5"/>
    </row>
    <row r="154" spans="3:3" x14ac:dyDescent="0.2">
      <c r="C154" s="5"/>
    </row>
    <row r="155" spans="3:3" x14ac:dyDescent="0.2">
      <c r="C155" s="5"/>
    </row>
    <row r="156" spans="3:3" x14ac:dyDescent="0.2">
      <c r="C156" s="5"/>
    </row>
    <row r="157" spans="3:3" x14ac:dyDescent="0.2">
      <c r="C157" s="5"/>
    </row>
    <row r="158" spans="3:3" x14ac:dyDescent="0.2">
      <c r="C158" s="5"/>
    </row>
    <row r="159" spans="3:3" x14ac:dyDescent="0.2">
      <c r="C159" s="5"/>
    </row>
    <row r="160" spans="3:3" x14ac:dyDescent="0.2">
      <c r="C160" s="5"/>
    </row>
    <row r="161" spans="3:3" x14ac:dyDescent="0.2">
      <c r="C161" s="5"/>
    </row>
    <row r="162" spans="3:3" x14ac:dyDescent="0.2">
      <c r="C162" s="5"/>
    </row>
    <row r="163" spans="3:3" x14ac:dyDescent="0.2">
      <c r="C163" s="5"/>
    </row>
    <row r="164" spans="3:3" x14ac:dyDescent="0.2">
      <c r="C164" s="5"/>
    </row>
    <row r="165" spans="3:3" x14ac:dyDescent="0.2">
      <c r="C165" s="5"/>
    </row>
    <row r="166" spans="3:3" x14ac:dyDescent="0.2">
      <c r="C166" s="5"/>
    </row>
    <row r="167" spans="3:3" x14ac:dyDescent="0.2">
      <c r="C167" s="5"/>
    </row>
    <row r="168" spans="3:3" x14ac:dyDescent="0.2">
      <c r="C168" s="5"/>
    </row>
    <row r="169" spans="3:3" x14ac:dyDescent="0.2">
      <c r="C169" s="5"/>
    </row>
    <row r="170" spans="3:3" x14ac:dyDescent="0.2">
      <c r="C170" s="5"/>
    </row>
    <row r="171" spans="3:3" x14ac:dyDescent="0.2">
      <c r="C171" s="5"/>
    </row>
    <row r="172" spans="3:3" x14ac:dyDescent="0.2">
      <c r="C172" s="5"/>
    </row>
    <row r="173" spans="3:3" x14ac:dyDescent="0.2">
      <c r="C173" s="5"/>
    </row>
    <row r="174" spans="3:3" x14ac:dyDescent="0.2">
      <c r="C174" s="5"/>
    </row>
    <row r="175" spans="3:3" x14ac:dyDescent="0.2">
      <c r="C175" s="5"/>
    </row>
    <row r="176" spans="3:3" x14ac:dyDescent="0.2">
      <c r="C176" s="5"/>
    </row>
    <row r="177" spans="3:3" x14ac:dyDescent="0.2">
      <c r="C177" s="5"/>
    </row>
    <row r="178" spans="3:3" x14ac:dyDescent="0.2">
      <c r="C178" s="5"/>
    </row>
    <row r="179" spans="3:3" x14ac:dyDescent="0.2">
      <c r="C179" s="5"/>
    </row>
    <row r="180" spans="3:3" x14ac:dyDescent="0.2">
      <c r="C180" s="5"/>
    </row>
    <row r="181" spans="3:3" x14ac:dyDescent="0.2">
      <c r="C181" s="5"/>
    </row>
    <row r="182" spans="3:3" x14ac:dyDescent="0.2">
      <c r="C182" s="5"/>
    </row>
    <row r="183" spans="3:3" x14ac:dyDescent="0.2">
      <c r="C183" s="5"/>
    </row>
    <row r="184" spans="3:3" x14ac:dyDescent="0.2">
      <c r="C184" s="5"/>
    </row>
    <row r="185" spans="3:3" x14ac:dyDescent="0.2">
      <c r="C185" s="5"/>
    </row>
    <row r="186" spans="3:3" x14ac:dyDescent="0.2">
      <c r="C186" s="5"/>
    </row>
    <row r="187" spans="3:3" x14ac:dyDescent="0.2">
      <c r="C187" s="5"/>
    </row>
    <row r="188" spans="3:3" x14ac:dyDescent="0.2">
      <c r="C188" s="5"/>
    </row>
    <row r="189" spans="3:3" x14ac:dyDescent="0.2">
      <c r="C189" s="5"/>
    </row>
    <row r="190" spans="3:3" x14ac:dyDescent="0.2">
      <c r="C190" s="5"/>
    </row>
    <row r="191" spans="3:3" x14ac:dyDescent="0.2">
      <c r="C191" s="5"/>
    </row>
    <row r="192" spans="3:3" x14ac:dyDescent="0.2">
      <c r="C192" s="5"/>
    </row>
    <row r="193" spans="3:3" x14ac:dyDescent="0.2">
      <c r="C193" s="5"/>
    </row>
    <row r="194" spans="3:3" x14ac:dyDescent="0.2">
      <c r="C194" s="5"/>
    </row>
    <row r="195" spans="3:3" x14ac:dyDescent="0.2">
      <c r="C195" s="5"/>
    </row>
    <row r="196" spans="3:3" x14ac:dyDescent="0.2">
      <c r="C196" s="5"/>
    </row>
    <row r="197" spans="3:3" x14ac:dyDescent="0.2">
      <c r="C197" s="5"/>
    </row>
    <row r="198" spans="3:3" x14ac:dyDescent="0.2">
      <c r="C198" s="5"/>
    </row>
    <row r="199" spans="3:3" x14ac:dyDescent="0.2">
      <c r="C199" s="5"/>
    </row>
    <row r="200" spans="3:3" x14ac:dyDescent="0.2">
      <c r="C200" s="5"/>
    </row>
    <row r="201" spans="3:3" x14ac:dyDescent="0.2">
      <c r="C201" s="5"/>
    </row>
    <row r="202" spans="3:3" x14ac:dyDescent="0.2">
      <c r="C202" s="5"/>
    </row>
    <row r="203" spans="3:3" x14ac:dyDescent="0.2">
      <c r="C203" s="5"/>
    </row>
    <row r="204" spans="3:3" x14ac:dyDescent="0.2">
      <c r="C204" s="5"/>
    </row>
    <row r="205" spans="3:3" x14ac:dyDescent="0.2">
      <c r="C205" s="5"/>
    </row>
    <row r="206" spans="3:3" x14ac:dyDescent="0.2">
      <c r="C206" s="5"/>
    </row>
    <row r="207" spans="3:3" x14ac:dyDescent="0.2">
      <c r="C207" s="5"/>
    </row>
    <row r="208" spans="3:3" x14ac:dyDescent="0.2">
      <c r="C208" s="5"/>
    </row>
    <row r="209" spans="3:3" x14ac:dyDescent="0.2">
      <c r="C209" s="5"/>
    </row>
    <row r="210" spans="3:3" x14ac:dyDescent="0.2">
      <c r="C210" s="5"/>
    </row>
    <row r="211" spans="3:3" x14ac:dyDescent="0.2">
      <c r="C211" s="5"/>
    </row>
    <row r="212" spans="3:3" x14ac:dyDescent="0.2">
      <c r="C212" s="5"/>
    </row>
    <row r="213" spans="3:3" x14ac:dyDescent="0.2">
      <c r="C213" s="5"/>
    </row>
    <row r="214" spans="3:3" x14ac:dyDescent="0.2">
      <c r="C214" s="5"/>
    </row>
    <row r="215" spans="3:3" x14ac:dyDescent="0.2">
      <c r="C215" s="5"/>
    </row>
    <row r="216" spans="3:3" x14ac:dyDescent="0.2">
      <c r="C216" s="5"/>
    </row>
    <row r="217" spans="3:3" x14ac:dyDescent="0.2">
      <c r="C217" s="5"/>
    </row>
    <row r="218" spans="3:3" x14ac:dyDescent="0.2">
      <c r="C218" s="5"/>
    </row>
    <row r="219" spans="3:3" x14ac:dyDescent="0.2">
      <c r="C219" s="5"/>
    </row>
    <row r="220" spans="3:3" x14ac:dyDescent="0.2">
      <c r="C220" s="5"/>
    </row>
    <row r="221" spans="3:3" x14ac:dyDescent="0.2">
      <c r="C221" s="5"/>
    </row>
    <row r="222" spans="3:3" x14ac:dyDescent="0.2">
      <c r="C222" s="5"/>
    </row>
    <row r="223" spans="3:3" x14ac:dyDescent="0.2">
      <c r="C223" s="5"/>
    </row>
    <row r="224" spans="3:3" x14ac:dyDescent="0.2">
      <c r="C224" s="5"/>
    </row>
    <row r="225" spans="3:3" x14ac:dyDescent="0.2">
      <c r="C225" s="5"/>
    </row>
    <row r="226" spans="3:3" x14ac:dyDescent="0.2">
      <c r="C226" s="5"/>
    </row>
    <row r="227" spans="3:3" x14ac:dyDescent="0.2">
      <c r="C227" s="5"/>
    </row>
    <row r="228" spans="3:3" x14ac:dyDescent="0.2">
      <c r="C228" s="5"/>
    </row>
    <row r="229" spans="3:3" x14ac:dyDescent="0.2">
      <c r="C229" s="5"/>
    </row>
    <row r="230" spans="3:3" x14ac:dyDescent="0.2">
      <c r="C230" s="5"/>
    </row>
    <row r="231" spans="3:3" x14ac:dyDescent="0.2">
      <c r="C231" s="5"/>
    </row>
    <row r="232" spans="3:3" x14ac:dyDescent="0.2">
      <c r="C232" s="5"/>
    </row>
    <row r="233" spans="3:3" x14ac:dyDescent="0.2">
      <c r="C233" s="5"/>
    </row>
    <row r="234" spans="3:3" x14ac:dyDescent="0.2">
      <c r="C234" s="5"/>
    </row>
    <row r="235" spans="3:3" x14ac:dyDescent="0.2">
      <c r="C235" s="5"/>
    </row>
    <row r="236" spans="3:3" x14ac:dyDescent="0.2">
      <c r="C236" s="5"/>
    </row>
    <row r="237" spans="3:3" x14ac:dyDescent="0.2">
      <c r="C237" s="5"/>
    </row>
    <row r="238" spans="3:3" x14ac:dyDescent="0.2">
      <c r="C238" s="5"/>
    </row>
    <row r="239" spans="3:3" x14ac:dyDescent="0.2">
      <c r="C239" s="5"/>
    </row>
    <row r="240" spans="3:3" x14ac:dyDescent="0.2">
      <c r="C240" s="5"/>
    </row>
    <row r="241" spans="3:3" x14ac:dyDescent="0.2">
      <c r="C241" s="5"/>
    </row>
    <row r="242" spans="3:3" x14ac:dyDescent="0.2">
      <c r="C242" s="5"/>
    </row>
    <row r="243" spans="3:3" x14ac:dyDescent="0.2">
      <c r="C243" s="5"/>
    </row>
    <row r="244" spans="3:3" x14ac:dyDescent="0.2">
      <c r="C244" s="5"/>
    </row>
    <row r="245" spans="3:3" x14ac:dyDescent="0.2">
      <c r="C245" s="5"/>
    </row>
    <row r="246" spans="3:3" x14ac:dyDescent="0.2">
      <c r="C246" s="5"/>
    </row>
    <row r="247" spans="3:3" x14ac:dyDescent="0.2">
      <c r="C247" s="5"/>
    </row>
    <row r="248" spans="3:3" x14ac:dyDescent="0.2">
      <c r="C248" s="5"/>
    </row>
    <row r="249" spans="3:3" x14ac:dyDescent="0.2">
      <c r="C249" s="5"/>
    </row>
    <row r="250" spans="3:3" x14ac:dyDescent="0.2">
      <c r="C250" s="5"/>
    </row>
    <row r="251" spans="3:3" x14ac:dyDescent="0.2">
      <c r="C251" s="5"/>
    </row>
    <row r="252" spans="3:3" x14ac:dyDescent="0.2">
      <c r="C252" s="5"/>
    </row>
    <row r="253" spans="3:3" x14ac:dyDescent="0.2">
      <c r="C253" s="5"/>
    </row>
    <row r="254" spans="3:3" x14ac:dyDescent="0.2">
      <c r="C254" s="5"/>
    </row>
    <row r="255" spans="3:3" x14ac:dyDescent="0.2">
      <c r="C255" s="5"/>
    </row>
    <row r="256" spans="3:3" x14ac:dyDescent="0.2">
      <c r="C256" s="5"/>
    </row>
    <row r="257" spans="3:3" x14ac:dyDescent="0.2">
      <c r="C257" s="5"/>
    </row>
    <row r="258" spans="3:3" x14ac:dyDescent="0.2">
      <c r="C258" s="5"/>
    </row>
    <row r="259" spans="3:3" x14ac:dyDescent="0.2">
      <c r="C259" s="5"/>
    </row>
    <row r="260" spans="3:3" x14ac:dyDescent="0.2">
      <c r="C260" s="5"/>
    </row>
    <row r="261" spans="3:3" x14ac:dyDescent="0.2">
      <c r="C261" s="5"/>
    </row>
    <row r="262" spans="3:3" x14ac:dyDescent="0.2">
      <c r="C262" s="5"/>
    </row>
    <row r="263" spans="3:3" x14ac:dyDescent="0.2">
      <c r="C263" s="5"/>
    </row>
    <row r="264" spans="3:3" x14ac:dyDescent="0.2">
      <c r="C264" s="5"/>
    </row>
    <row r="265" spans="3:3" x14ac:dyDescent="0.2">
      <c r="C265" s="5"/>
    </row>
    <row r="266" spans="3:3" x14ac:dyDescent="0.2">
      <c r="C266" s="5"/>
    </row>
    <row r="267" spans="3:3" x14ac:dyDescent="0.2">
      <c r="C267" s="5"/>
    </row>
    <row r="268" spans="3:3" x14ac:dyDescent="0.2">
      <c r="C268" s="5"/>
    </row>
    <row r="269" spans="3:3" x14ac:dyDescent="0.2">
      <c r="C269" s="5"/>
    </row>
    <row r="270" spans="3:3" x14ac:dyDescent="0.2">
      <c r="C270" s="5"/>
    </row>
    <row r="271" spans="3:3" x14ac:dyDescent="0.2">
      <c r="C271" s="5"/>
    </row>
    <row r="272" spans="3:3" x14ac:dyDescent="0.2">
      <c r="C272" s="5"/>
    </row>
    <row r="273" spans="3:3" x14ac:dyDescent="0.2">
      <c r="C273" s="5"/>
    </row>
    <row r="274" spans="3:3" x14ac:dyDescent="0.2">
      <c r="C274" s="5"/>
    </row>
    <row r="275" spans="3:3" x14ac:dyDescent="0.2">
      <c r="C275" s="5"/>
    </row>
    <row r="276" spans="3:3" x14ac:dyDescent="0.2">
      <c r="C276" s="5"/>
    </row>
    <row r="277" spans="3:3" x14ac:dyDescent="0.2">
      <c r="C277" s="5"/>
    </row>
    <row r="278" spans="3:3" x14ac:dyDescent="0.2">
      <c r="C278" s="5"/>
    </row>
    <row r="279" spans="3:3" x14ac:dyDescent="0.2">
      <c r="C279" s="5"/>
    </row>
    <row r="280" spans="3:3" x14ac:dyDescent="0.2">
      <c r="C280" s="5"/>
    </row>
    <row r="281" spans="3:3" x14ac:dyDescent="0.2">
      <c r="C281" s="5"/>
    </row>
    <row r="282" spans="3:3" x14ac:dyDescent="0.2">
      <c r="C282" s="5"/>
    </row>
    <row r="283" spans="3:3" x14ac:dyDescent="0.2">
      <c r="C283" s="5"/>
    </row>
    <row r="284" spans="3:3" x14ac:dyDescent="0.2">
      <c r="C284" s="5"/>
    </row>
    <row r="285" spans="3:3" x14ac:dyDescent="0.2">
      <c r="C285" s="5"/>
    </row>
    <row r="286" spans="3:3" x14ac:dyDescent="0.2">
      <c r="C286" s="5"/>
    </row>
    <row r="287" spans="3:3" x14ac:dyDescent="0.2">
      <c r="C287" s="5"/>
    </row>
    <row r="288" spans="3:3" x14ac:dyDescent="0.2">
      <c r="C288" s="5"/>
    </row>
    <row r="289" spans="3:3" x14ac:dyDescent="0.2">
      <c r="C289" s="5"/>
    </row>
    <row r="290" spans="3:3" x14ac:dyDescent="0.2">
      <c r="C290" s="5"/>
    </row>
    <row r="291" spans="3:3" x14ac:dyDescent="0.2">
      <c r="C291" s="5"/>
    </row>
    <row r="292" spans="3:3" x14ac:dyDescent="0.2">
      <c r="C292" s="5"/>
    </row>
    <row r="293" spans="3:3" x14ac:dyDescent="0.2">
      <c r="C293" s="5"/>
    </row>
    <row r="294" spans="3:3" x14ac:dyDescent="0.2">
      <c r="C294" s="5"/>
    </row>
    <row r="295" spans="3:3" x14ac:dyDescent="0.2">
      <c r="C295" s="5"/>
    </row>
    <row r="296" spans="3:3" x14ac:dyDescent="0.2">
      <c r="C296" s="5"/>
    </row>
    <row r="297" spans="3:3" x14ac:dyDescent="0.2">
      <c r="C297" s="5"/>
    </row>
    <row r="298" spans="3:3" x14ac:dyDescent="0.2">
      <c r="C298" s="5"/>
    </row>
    <row r="299" spans="3:3" x14ac:dyDescent="0.2">
      <c r="C299" s="5"/>
    </row>
    <row r="300" spans="3:3" x14ac:dyDescent="0.2">
      <c r="C300" s="5"/>
    </row>
    <row r="301" spans="3:3" x14ac:dyDescent="0.2">
      <c r="C301" s="5"/>
    </row>
    <row r="302" spans="3:3" x14ac:dyDescent="0.2">
      <c r="C302" s="5"/>
    </row>
    <row r="303" spans="3:3" x14ac:dyDescent="0.2">
      <c r="C303" s="5"/>
    </row>
    <row r="304" spans="3:3" x14ac:dyDescent="0.2">
      <c r="C304" s="5"/>
    </row>
    <row r="305" spans="3:3" x14ac:dyDescent="0.2">
      <c r="C305" s="5"/>
    </row>
    <row r="306" spans="3:3" x14ac:dyDescent="0.2">
      <c r="C306" s="5"/>
    </row>
    <row r="307" spans="3:3" x14ac:dyDescent="0.2">
      <c r="C307" s="5"/>
    </row>
    <row r="308" spans="3:3" x14ac:dyDescent="0.2">
      <c r="C308" s="5"/>
    </row>
    <row r="309" spans="3:3" x14ac:dyDescent="0.2">
      <c r="C309" s="5"/>
    </row>
    <row r="310" spans="3:3" x14ac:dyDescent="0.2">
      <c r="C310" s="5"/>
    </row>
    <row r="311" spans="3:3" x14ac:dyDescent="0.2">
      <c r="C311" s="5"/>
    </row>
    <row r="312" spans="3:3" x14ac:dyDescent="0.2">
      <c r="C312" s="5"/>
    </row>
    <row r="313" spans="3:3" x14ac:dyDescent="0.2">
      <c r="C313" s="5"/>
    </row>
    <row r="314" spans="3:3" x14ac:dyDescent="0.2">
      <c r="C314" s="5"/>
    </row>
    <row r="315" spans="3:3" x14ac:dyDescent="0.2">
      <c r="C315" s="5"/>
    </row>
    <row r="316" spans="3:3" x14ac:dyDescent="0.2">
      <c r="C316" s="5"/>
    </row>
    <row r="317" spans="3:3" x14ac:dyDescent="0.2">
      <c r="C317" s="5"/>
    </row>
    <row r="318" spans="3:3" x14ac:dyDescent="0.2">
      <c r="C318" s="5"/>
    </row>
    <row r="319" spans="3:3" x14ac:dyDescent="0.2">
      <c r="C319" s="5"/>
    </row>
    <row r="320" spans="3:3" x14ac:dyDescent="0.2">
      <c r="C320" s="5"/>
    </row>
    <row r="321" spans="3:3" x14ac:dyDescent="0.2">
      <c r="C321" s="5"/>
    </row>
    <row r="322" spans="3:3" x14ac:dyDescent="0.2">
      <c r="C322" s="5"/>
    </row>
    <row r="323" spans="3:3" x14ac:dyDescent="0.2">
      <c r="C323" s="5"/>
    </row>
    <row r="324" spans="3:3" x14ac:dyDescent="0.2">
      <c r="C324" s="5"/>
    </row>
    <row r="325" spans="3:3" x14ac:dyDescent="0.2">
      <c r="C325" s="5"/>
    </row>
    <row r="326" spans="3:3" x14ac:dyDescent="0.2">
      <c r="C326" s="5"/>
    </row>
    <row r="327" spans="3:3" x14ac:dyDescent="0.2">
      <c r="C327" s="5"/>
    </row>
    <row r="328" spans="3:3" x14ac:dyDescent="0.2">
      <c r="C328" s="5"/>
    </row>
    <row r="329" spans="3:3" x14ac:dyDescent="0.2">
      <c r="C329" s="5"/>
    </row>
    <row r="330" spans="3:3" x14ac:dyDescent="0.2">
      <c r="C330" s="5"/>
    </row>
    <row r="331" spans="3:3" x14ac:dyDescent="0.2">
      <c r="C331" s="5"/>
    </row>
    <row r="332" spans="3:3" x14ac:dyDescent="0.2">
      <c r="C332" s="5"/>
    </row>
    <row r="333" spans="3:3" x14ac:dyDescent="0.2">
      <c r="C333" s="5"/>
    </row>
    <row r="334" spans="3:3" x14ac:dyDescent="0.2">
      <c r="C334" s="5"/>
    </row>
    <row r="335" spans="3:3" x14ac:dyDescent="0.2">
      <c r="C335" s="5"/>
    </row>
    <row r="336" spans="3:3" x14ac:dyDescent="0.2">
      <c r="C336" s="5"/>
    </row>
    <row r="337" spans="3:3" x14ac:dyDescent="0.2">
      <c r="C337" s="5"/>
    </row>
    <row r="338" spans="3:3" x14ac:dyDescent="0.2">
      <c r="C338" s="5"/>
    </row>
    <row r="339" spans="3:3" x14ac:dyDescent="0.2">
      <c r="C339" s="5"/>
    </row>
    <row r="340" spans="3:3" x14ac:dyDescent="0.2">
      <c r="C340" s="5"/>
    </row>
    <row r="341" spans="3:3" x14ac:dyDescent="0.2">
      <c r="C341" s="5"/>
    </row>
    <row r="342" spans="3:3" x14ac:dyDescent="0.2">
      <c r="C342" s="5"/>
    </row>
    <row r="343" spans="3:3" x14ac:dyDescent="0.2">
      <c r="C343" s="5"/>
    </row>
    <row r="344" spans="3:3" x14ac:dyDescent="0.2">
      <c r="C344" s="5"/>
    </row>
    <row r="345" spans="3:3" x14ac:dyDescent="0.2">
      <c r="C345" s="5"/>
    </row>
    <row r="346" spans="3:3" x14ac:dyDescent="0.2">
      <c r="C346" s="5"/>
    </row>
    <row r="347" spans="3:3" x14ac:dyDescent="0.2">
      <c r="C347" s="5"/>
    </row>
    <row r="348" spans="3:3" x14ac:dyDescent="0.2">
      <c r="C348" s="5"/>
    </row>
    <row r="349" spans="3:3" x14ac:dyDescent="0.2">
      <c r="C349" s="5"/>
    </row>
    <row r="350" spans="3:3" x14ac:dyDescent="0.2">
      <c r="C350" s="5"/>
    </row>
    <row r="351" spans="3:3" x14ac:dyDescent="0.2">
      <c r="C351" s="5"/>
    </row>
    <row r="352" spans="3:3" x14ac:dyDescent="0.2">
      <c r="C352" s="5"/>
    </row>
    <row r="353" spans="3:3" x14ac:dyDescent="0.2">
      <c r="C353" s="5"/>
    </row>
    <row r="354" spans="3:3" x14ac:dyDescent="0.2">
      <c r="C354" s="5"/>
    </row>
    <row r="355" spans="3:3" x14ac:dyDescent="0.2">
      <c r="C355" s="5"/>
    </row>
    <row r="356" spans="3:3" x14ac:dyDescent="0.2">
      <c r="C356" s="5"/>
    </row>
    <row r="357" spans="3:3" x14ac:dyDescent="0.2">
      <c r="C357" s="5"/>
    </row>
    <row r="358" spans="3:3" x14ac:dyDescent="0.2">
      <c r="C358" s="5"/>
    </row>
    <row r="359" spans="3:3" x14ac:dyDescent="0.2">
      <c r="C359" s="5"/>
    </row>
    <row r="360" spans="3:3" x14ac:dyDescent="0.2">
      <c r="C360" s="5"/>
    </row>
    <row r="361" spans="3:3" x14ac:dyDescent="0.2">
      <c r="C361" s="5"/>
    </row>
    <row r="362" spans="3:3" x14ac:dyDescent="0.2">
      <c r="C362" s="5"/>
    </row>
    <row r="363" spans="3:3" x14ac:dyDescent="0.2">
      <c r="C363" s="5"/>
    </row>
    <row r="364" spans="3:3" x14ac:dyDescent="0.2">
      <c r="C364" s="5"/>
    </row>
    <row r="365" spans="3:3" x14ac:dyDescent="0.2">
      <c r="C365" s="5"/>
    </row>
    <row r="366" spans="3:3" x14ac:dyDescent="0.2">
      <c r="C366" s="5"/>
    </row>
    <row r="367" spans="3:3" x14ac:dyDescent="0.2">
      <c r="C367" s="5"/>
    </row>
    <row r="368" spans="3:3" x14ac:dyDescent="0.2">
      <c r="C368" s="5"/>
    </row>
    <row r="369" spans="3:3" x14ac:dyDescent="0.2">
      <c r="C369" s="5"/>
    </row>
    <row r="370" spans="3:3" x14ac:dyDescent="0.2">
      <c r="C370" s="5"/>
    </row>
    <row r="371" spans="3:3" x14ac:dyDescent="0.2">
      <c r="C371" s="5"/>
    </row>
    <row r="372" spans="3:3" x14ac:dyDescent="0.2">
      <c r="C372" s="5"/>
    </row>
    <row r="373" spans="3:3" x14ac:dyDescent="0.2">
      <c r="C373" s="5"/>
    </row>
    <row r="374" spans="3:3" x14ac:dyDescent="0.2">
      <c r="C374" s="5"/>
    </row>
    <row r="375" spans="3:3" x14ac:dyDescent="0.2">
      <c r="C375" s="5"/>
    </row>
    <row r="376" spans="3:3" x14ac:dyDescent="0.2">
      <c r="C376" s="5"/>
    </row>
    <row r="377" spans="3:3" x14ac:dyDescent="0.2">
      <c r="C377" s="5"/>
    </row>
    <row r="378" spans="3:3" x14ac:dyDescent="0.2">
      <c r="C378" s="5"/>
    </row>
    <row r="379" spans="3:3" x14ac:dyDescent="0.2">
      <c r="C379" s="5"/>
    </row>
    <row r="380" spans="3:3" x14ac:dyDescent="0.2">
      <c r="C380" s="5"/>
    </row>
    <row r="381" spans="3:3" x14ac:dyDescent="0.2">
      <c r="C381" s="5"/>
    </row>
    <row r="382" spans="3:3" x14ac:dyDescent="0.2">
      <c r="C382" s="5"/>
    </row>
    <row r="383" spans="3:3" x14ac:dyDescent="0.2">
      <c r="C383" s="5"/>
    </row>
    <row r="384" spans="3:3" x14ac:dyDescent="0.2">
      <c r="C384" s="5"/>
    </row>
    <row r="385" spans="3:3" x14ac:dyDescent="0.2">
      <c r="C385" s="5"/>
    </row>
    <row r="386" spans="3:3" x14ac:dyDescent="0.2">
      <c r="C386" s="5"/>
    </row>
    <row r="387" spans="3:3" x14ac:dyDescent="0.2">
      <c r="C387" s="5"/>
    </row>
    <row r="388" spans="3:3" x14ac:dyDescent="0.2">
      <c r="C388" s="5"/>
    </row>
    <row r="389" spans="3:3" x14ac:dyDescent="0.2">
      <c r="C389" s="5"/>
    </row>
    <row r="390" spans="3:3" x14ac:dyDescent="0.2">
      <c r="C390" s="5"/>
    </row>
    <row r="391" spans="3:3" x14ac:dyDescent="0.2">
      <c r="C391" s="5"/>
    </row>
    <row r="392" spans="3:3" x14ac:dyDescent="0.2">
      <c r="C392" s="5"/>
    </row>
    <row r="393" spans="3:3" x14ac:dyDescent="0.2">
      <c r="C393" s="5"/>
    </row>
    <row r="394" spans="3:3" x14ac:dyDescent="0.2">
      <c r="C394" s="5"/>
    </row>
    <row r="395" spans="3:3" x14ac:dyDescent="0.2">
      <c r="C395" s="5"/>
    </row>
    <row r="396" spans="3:3" x14ac:dyDescent="0.2">
      <c r="C396" s="5"/>
    </row>
    <row r="397" spans="3:3" x14ac:dyDescent="0.2">
      <c r="C397" s="5"/>
    </row>
    <row r="398" spans="3:3" x14ac:dyDescent="0.2">
      <c r="C398" s="5"/>
    </row>
    <row r="399" spans="3:3" x14ac:dyDescent="0.2">
      <c r="C399" s="5"/>
    </row>
    <row r="400" spans="3:3" x14ac:dyDescent="0.2">
      <c r="C400" s="5"/>
    </row>
    <row r="401" spans="3:3" x14ac:dyDescent="0.2">
      <c r="C401" s="5"/>
    </row>
    <row r="402" spans="3:3" x14ac:dyDescent="0.2">
      <c r="C402" s="5"/>
    </row>
    <row r="403" spans="3:3" x14ac:dyDescent="0.2">
      <c r="C403" s="5"/>
    </row>
    <row r="404" spans="3:3" x14ac:dyDescent="0.2">
      <c r="C404" s="5"/>
    </row>
    <row r="405" spans="3:3" x14ac:dyDescent="0.2">
      <c r="C405" s="5"/>
    </row>
    <row r="406" spans="3:3" x14ac:dyDescent="0.2">
      <c r="C406" s="5"/>
    </row>
    <row r="407" spans="3:3" x14ac:dyDescent="0.2">
      <c r="C407" s="5"/>
    </row>
    <row r="408" spans="3:3" x14ac:dyDescent="0.2">
      <c r="C408" s="5"/>
    </row>
    <row r="409" spans="3:3" x14ac:dyDescent="0.2">
      <c r="C409" s="5"/>
    </row>
    <row r="410" spans="3:3" x14ac:dyDescent="0.2">
      <c r="C410" s="5"/>
    </row>
    <row r="411" spans="3:3" x14ac:dyDescent="0.2">
      <c r="C411" s="5"/>
    </row>
    <row r="412" spans="3:3" x14ac:dyDescent="0.2">
      <c r="C412" s="5"/>
    </row>
    <row r="413" spans="3:3" x14ac:dyDescent="0.2">
      <c r="C413" s="5"/>
    </row>
    <row r="414" spans="3:3" x14ac:dyDescent="0.2">
      <c r="C414" s="5"/>
    </row>
    <row r="415" spans="3:3" x14ac:dyDescent="0.2">
      <c r="C415" s="5"/>
    </row>
    <row r="416" spans="3:3" x14ac:dyDescent="0.2">
      <c r="C416" s="5"/>
    </row>
    <row r="417" spans="3:3" x14ac:dyDescent="0.2">
      <c r="C417" s="5"/>
    </row>
    <row r="418" spans="3:3" x14ac:dyDescent="0.2">
      <c r="C418" s="5"/>
    </row>
    <row r="419" spans="3:3" x14ac:dyDescent="0.2">
      <c r="C419" s="5"/>
    </row>
    <row r="420" spans="3:3" x14ac:dyDescent="0.2">
      <c r="C420" s="5"/>
    </row>
    <row r="421" spans="3:3" x14ac:dyDescent="0.2">
      <c r="C421" s="5"/>
    </row>
    <row r="422" spans="3:3" x14ac:dyDescent="0.2">
      <c r="C422" s="5"/>
    </row>
    <row r="423" spans="3:3" x14ac:dyDescent="0.2">
      <c r="C423" s="5"/>
    </row>
    <row r="424" spans="3:3" x14ac:dyDescent="0.2">
      <c r="C424" s="5"/>
    </row>
    <row r="425" spans="3:3" x14ac:dyDescent="0.2">
      <c r="C425" s="5"/>
    </row>
    <row r="426" spans="3:3" x14ac:dyDescent="0.2">
      <c r="C426" s="5"/>
    </row>
    <row r="427" spans="3:3" x14ac:dyDescent="0.2">
      <c r="C427" s="5"/>
    </row>
    <row r="428" spans="3:3" x14ac:dyDescent="0.2">
      <c r="C428" s="5"/>
    </row>
    <row r="429" spans="3:3" x14ac:dyDescent="0.2">
      <c r="C429" s="5"/>
    </row>
    <row r="430" spans="3:3" x14ac:dyDescent="0.2">
      <c r="C430" s="5"/>
    </row>
    <row r="431" spans="3:3" x14ac:dyDescent="0.2">
      <c r="C431" s="5"/>
    </row>
    <row r="432" spans="3:3" x14ac:dyDescent="0.2">
      <c r="C432" s="5"/>
    </row>
    <row r="433" spans="3:3" x14ac:dyDescent="0.2">
      <c r="C433" s="5"/>
    </row>
    <row r="434" spans="3:3" x14ac:dyDescent="0.2">
      <c r="C434" s="5"/>
    </row>
    <row r="435" spans="3:3" x14ac:dyDescent="0.2">
      <c r="C435" s="5"/>
    </row>
    <row r="436" spans="3:3" x14ac:dyDescent="0.2">
      <c r="C436" s="5"/>
    </row>
    <row r="437" spans="3:3" x14ac:dyDescent="0.2">
      <c r="C437" s="5"/>
    </row>
    <row r="438" spans="3:3" x14ac:dyDescent="0.2">
      <c r="C438" s="5"/>
    </row>
    <row r="439" spans="3:3" x14ac:dyDescent="0.2">
      <c r="C439" s="5"/>
    </row>
    <row r="440" spans="3:3" x14ac:dyDescent="0.2">
      <c r="C440" s="5"/>
    </row>
    <row r="441" spans="3:3" x14ac:dyDescent="0.2">
      <c r="C441" s="5"/>
    </row>
    <row r="442" spans="3:3" x14ac:dyDescent="0.2">
      <c r="C442" s="5"/>
    </row>
    <row r="443" spans="3:3" x14ac:dyDescent="0.2">
      <c r="C443" s="5"/>
    </row>
    <row r="444" spans="3:3" x14ac:dyDescent="0.2">
      <c r="C444" s="5"/>
    </row>
    <row r="445" spans="3:3" x14ac:dyDescent="0.2">
      <c r="C445" s="5"/>
    </row>
    <row r="446" spans="3:3" x14ac:dyDescent="0.2">
      <c r="C446" s="5"/>
    </row>
    <row r="447" spans="3:3" x14ac:dyDescent="0.2">
      <c r="C447" s="5"/>
    </row>
    <row r="448" spans="3:3" x14ac:dyDescent="0.2">
      <c r="C448" s="5"/>
    </row>
    <row r="449" spans="3:3" x14ac:dyDescent="0.2">
      <c r="C449" s="5"/>
    </row>
    <row r="450" spans="3:3" x14ac:dyDescent="0.2">
      <c r="C450" s="5"/>
    </row>
    <row r="451" spans="3:3" x14ac:dyDescent="0.2">
      <c r="C451" s="5"/>
    </row>
    <row r="452" spans="3:3" x14ac:dyDescent="0.2">
      <c r="C452" s="5"/>
    </row>
    <row r="453" spans="3:3" x14ac:dyDescent="0.2">
      <c r="C453" s="5"/>
    </row>
    <row r="454" spans="3:3" x14ac:dyDescent="0.2">
      <c r="C454" s="5"/>
    </row>
    <row r="455" spans="3:3" x14ac:dyDescent="0.2">
      <c r="C455" s="5"/>
    </row>
    <row r="456" spans="3:3" x14ac:dyDescent="0.2">
      <c r="C456" s="5"/>
    </row>
    <row r="457" spans="3:3" x14ac:dyDescent="0.2">
      <c r="C457" s="5"/>
    </row>
    <row r="458" spans="3:3" x14ac:dyDescent="0.2">
      <c r="C458" s="5"/>
    </row>
    <row r="459" spans="3:3" x14ac:dyDescent="0.2">
      <c r="C459" s="5"/>
    </row>
    <row r="460" spans="3:3" x14ac:dyDescent="0.2">
      <c r="C460" s="5"/>
    </row>
    <row r="461" spans="3:3" x14ac:dyDescent="0.2">
      <c r="C461" s="5"/>
    </row>
    <row r="462" spans="3:3" x14ac:dyDescent="0.2">
      <c r="C462" s="5"/>
    </row>
    <row r="463" spans="3:3" x14ac:dyDescent="0.2">
      <c r="C463" s="5"/>
    </row>
    <row r="464" spans="3:3" x14ac:dyDescent="0.2">
      <c r="C464" s="5"/>
    </row>
    <row r="465" spans="3:3" x14ac:dyDescent="0.2">
      <c r="C465" s="5"/>
    </row>
    <row r="466" spans="3:3" x14ac:dyDescent="0.2">
      <c r="C466" s="5"/>
    </row>
    <row r="467" spans="3:3" x14ac:dyDescent="0.2">
      <c r="C467" s="5"/>
    </row>
    <row r="468" spans="3:3" x14ac:dyDescent="0.2">
      <c r="C468" s="5"/>
    </row>
    <row r="469" spans="3:3" x14ac:dyDescent="0.2">
      <c r="C469" s="5"/>
    </row>
    <row r="470" spans="3:3" x14ac:dyDescent="0.2">
      <c r="C470" s="5"/>
    </row>
    <row r="471" spans="3:3" x14ac:dyDescent="0.2">
      <c r="C471" s="5"/>
    </row>
    <row r="472" spans="3:3" x14ac:dyDescent="0.2">
      <c r="C472" s="5"/>
    </row>
    <row r="473" spans="3:3" x14ac:dyDescent="0.2">
      <c r="C473" s="5"/>
    </row>
    <row r="474" spans="3:3" x14ac:dyDescent="0.2">
      <c r="C474" s="5"/>
    </row>
    <row r="475" spans="3:3" x14ac:dyDescent="0.2">
      <c r="C475" s="5"/>
    </row>
    <row r="476" spans="3:3" x14ac:dyDescent="0.2">
      <c r="C476" s="5"/>
    </row>
    <row r="477" spans="3:3" x14ac:dyDescent="0.2">
      <c r="C477" s="5"/>
    </row>
    <row r="478" spans="3:3" x14ac:dyDescent="0.2">
      <c r="C478" s="5"/>
    </row>
    <row r="479" spans="3:3" x14ac:dyDescent="0.2">
      <c r="C479" s="5"/>
    </row>
    <row r="480" spans="3:3" x14ac:dyDescent="0.2">
      <c r="C480" s="5"/>
    </row>
    <row r="481" spans="3:3" x14ac:dyDescent="0.2">
      <c r="C481" s="5"/>
    </row>
    <row r="482" spans="3:3" x14ac:dyDescent="0.2">
      <c r="C482" s="5"/>
    </row>
    <row r="483" spans="3:3" x14ac:dyDescent="0.2">
      <c r="C483" s="5"/>
    </row>
    <row r="484" spans="3:3" x14ac:dyDescent="0.2">
      <c r="C484" s="5"/>
    </row>
    <row r="485" spans="3:3" x14ac:dyDescent="0.2">
      <c r="C485" s="5"/>
    </row>
    <row r="486" spans="3:3" x14ac:dyDescent="0.2">
      <c r="C486" s="5"/>
    </row>
    <row r="487" spans="3:3" x14ac:dyDescent="0.2">
      <c r="C487" s="5"/>
    </row>
    <row r="488" spans="3:3" x14ac:dyDescent="0.2">
      <c r="C488" s="5"/>
    </row>
    <row r="489" spans="3:3" x14ac:dyDescent="0.2">
      <c r="C489" s="5"/>
    </row>
    <row r="490" spans="3:3" x14ac:dyDescent="0.2">
      <c r="C490" s="5"/>
    </row>
    <row r="491" spans="3:3" x14ac:dyDescent="0.2">
      <c r="C491" s="5"/>
    </row>
    <row r="492" spans="3:3" x14ac:dyDescent="0.2">
      <c r="C492" s="5"/>
    </row>
    <row r="493" spans="3:3" x14ac:dyDescent="0.2">
      <c r="C493" s="5"/>
    </row>
    <row r="494" spans="3:3" x14ac:dyDescent="0.2">
      <c r="C494" s="5"/>
    </row>
    <row r="495" spans="3:3" x14ac:dyDescent="0.2">
      <c r="C495" s="5"/>
    </row>
    <row r="496" spans="3:3" x14ac:dyDescent="0.2">
      <c r="C496" s="5"/>
    </row>
    <row r="497" spans="3:3" x14ac:dyDescent="0.2">
      <c r="C497" s="5"/>
    </row>
    <row r="498" spans="3:3" x14ac:dyDescent="0.2">
      <c r="C498" s="5"/>
    </row>
    <row r="499" spans="3:3" x14ac:dyDescent="0.2">
      <c r="C499" s="5"/>
    </row>
    <row r="500" spans="3:3" x14ac:dyDescent="0.2">
      <c r="C500" s="5"/>
    </row>
    <row r="501" spans="3:3" x14ac:dyDescent="0.2">
      <c r="C501" s="5"/>
    </row>
    <row r="502" spans="3:3" x14ac:dyDescent="0.2">
      <c r="C502" s="5"/>
    </row>
    <row r="503" spans="3:3" x14ac:dyDescent="0.2">
      <c r="C503" s="5"/>
    </row>
    <row r="504" spans="3:3" x14ac:dyDescent="0.2">
      <c r="C504" s="5"/>
    </row>
    <row r="505" spans="3:3" x14ac:dyDescent="0.2">
      <c r="C505" s="5"/>
    </row>
    <row r="506" spans="3:3" x14ac:dyDescent="0.2">
      <c r="C506" s="5"/>
    </row>
    <row r="507" spans="3:3" x14ac:dyDescent="0.2">
      <c r="C507" s="5"/>
    </row>
    <row r="508" spans="3:3" x14ac:dyDescent="0.2">
      <c r="C508" s="5"/>
    </row>
    <row r="509" spans="3:3" x14ac:dyDescent="0.2">
      <c r="C509" s="5"/>
    </row>
    <row r="510" spans="3:3" x14ac:dyDescent="0.2">
      <c r="C510" s="5"/>
    </row>
    <row r="511" spans="3:3" x14ac:dyDescent="0.2">
      <c r="C511" s="5"/>
    </row>
    <row r="512" spans="3:3" x14ac:dyDescent="0.2">
      <c r="C512" s="5"/>
    </row>
    <row r="513" spans="3:3" x14ac:dyDescent="0.2">
      <c r="C513" s="5"/>
    </row>
    <row r="514" spans="3:3" x14ac:dyDescent="0.2">
      <c r="C514" s="5"/>
    </row>
    <row r="515" spans="3:3" x14ac:dyDescent="0.2">
      <c r="C515" s="5"/>
    </row>
    <row r="516" spans="3:3" x14ac:dyDescent="0.2">
      <c r="C516" s="5"/>
    </row>
    <row r="517" spans="3:3" x14ac:dyDescent="0.2">
      <c r="C517" s="5"/>
    </row>
    <row r="518" spans="3:3" x14ac:dyDescent="0.2">
      <c r="C518" s="5"/>
    </row>
    <row r="519" spans="3:3" x14ac:dyDescent="0.2">
      <c r="C519" s="5"/>
    </row>
    <row r="520" spans="3:3" x14ac:dyDescent="0.2">
      <c r="C520" s="5"/>
    </row>
    <row r="521" spans="3:3" x14ac:dyDescent="0.2">
      <c r="C521" s="5"/>
    </row>
    <row r="522" spans="3:3" x14ac:dyDescent="0.2">
      <c r="C522" s="5"/>
    </row>
    <row r="523" spans="3:3" x14ac:dyDescent="0.2">
      <c r="C523" s="5"/>
    </row>
    <row r="524" spans="3:3" x14ac:dyDescent="0.2">
      <c r="C524" s="5"/>
    </row>
    <row r="525" spans="3:3" x14ac:dyDescent="0.2">
      <c r="C525" s="5"/>
    </row>
    <row r="526" spans="3:3" x14ac:dyDescent="0.2">
      <c r="C526" s="5"/>
    </row>
    <row r="527" spans="3:3" x14ac:dyDescent="0.2">
      <c r="C527" s="5"/>
    </row>
    <row r="528" spans="3:3" x14ac:dyDescent="0.2">
      <c r="C528" s="5"/>
    </row>
    <row r="529" spans="3:3" x14ac:dyDescent="0.2">
      <c r="C529" s="5"/>
    </row>
    <row r="530" spans="3:3" x14ac:dyDescent="0.2">
      <c r="C530" s="5"/>
    </row>
    <row r="531" spans="3:3" x14ac:dyDescent="0.2">
      <c r="C531" s="5"/>
    </row>
    <row r="532" spans="3:3" x14ac:dyDescent="0.2">
      <c r="C532" s="5"/>
    </row>
    <row r="533" spans="3:3" x14ac:dyDescent="0.2">
      <c r="C533" s="5"/>
    </row>
    <row r="534" spans="3:3" x14ac:dyDescent="0.2">
      <c r="C534" s="5"/>
    </row>
    <row r="535" spans="3:3" x14ac:dyDescent="0.2">
      <c r="C535" s="5"/>
    </row>
    <row r="536" spans="3:3" x14ac:dyDescent="0.2">
      <c r="C536" s="5"/>
    </row>
    <row r="537" spans="3:3" x14ac:dyDescent="0.2">
      <c r="C537" s="5"/>
    </row>
    <row r="538" spans="3:3" x14ac:dyDescent="0.2">
      <c r="C538" s="5"/>
    </row>
    <row r="539" spans="3:3" x14ac:dyDescent="0.2">
      <c r="C539" s="5"/>
    </row>
    <row r="540" spans="3:3" x14ac:dyDescent="0.2">
      <c r="C540" s="5"/>
    </row>
    <row r="541" spans="3:3" x14ac:dyDescent="0.2">
      <c r="C541" s="5"/>
    </row>
    <row r="542" spans="3:3" x14ac:dyDescent="0.2">
      <c r="C542" s="5"/>
    </row>
    <row r="543" spans="3:3" x14ac:dyDescent="0.2">
      <c r="C543" s="5"/>
    </row>
    <row r="544" spans="3:3" x14ac:dyDescent="0.2">
      <c r="C544" s="5"/>
    </row>
    <row r="545" spans="3:3" x14ac:dyDescent="0.2">
      <c r="C545" s="5"/>
    </row>
    <row r="546" spans="3:3" x14ac:dyDescent="0.2">
      <c r="C546" s="5"/>
    </row>
    <row r="547" spans="3:3" x14ac:dyDescent="0.2">
      <c r="C547" s="5"/>
    </row>
    <row r="548" spans="3:3" x14ac:dyDescent="0.2">
      <c r="C548" s="5"/>
    </row>
    <row r="549" spans="3:3" x14ac:dyDescent="0.2">
      <c r="C549" s="5"/>
    </row>
    <row r="550" spans="3:3" x14ac:dyDescent="0.2">
      <c r="C550" s="5"/>
    </row>
    <row r="551" spans="3:3" x14ac:dyDescent="0.2">
      <c r="C551" s="5"/>
    </row>
    <row r="552" spans="3:3" x14ac:dyDescent="0.2">
      <c r="C552" s="5"/>
    </row>
    <row r="553" spans="3:3" x14ac:dyDescent="0.2">
      <c r="C553" s="5"/>
    </row>
    <row r="554" spans="3:3" x14ac:dyDescent="0.2">
      <c r="C554" s="5"/>
    </row>
    <row r="555" spans="3:3" x14ac:dyDescent="0.2">
      <c r="C555" s="5"/>
    </row>
    <row r="556" spans="3:3" x14ac:dyDescent="0.2">
      <c r="C556" s="5"/>
    </row>
    <row r="557" spans="3:3" x14ac:dyDescent="0.2">
      <c r="C557" s="5"/>
    </row>
    <row r="558" spans="3:3" x14ac:dyDescent="0.2">
      <c r="C558" s="5"/>
    </row>
    <row r="559" spans="3:3" x14ac:dyDescent="0.2">
      <c r="C559" s="5"/>
    </row>
    <row r="560" spans="3:3" x14ac:dyDescent="0.2">
      <c r="C560" s="5"/>
    </row>
    <row r="561" spans="3:3" x14ac:dyDescent="0.2">
      <c r="C561" s="5"/>
    </row>
    <row r="562" spans="3:3" x14ac:dyDescent="0.2">
      <c r="C562" s="5"/>
    </row>
    <row r="563" spans="3:3" x14ac:dyDescent="0.2">
      <c r="C563" s="5"/>
    </row>
    <row r="564" spans="3:3" x14ac:dyDescent="0.2">
      <c r="C564" s="5"/>
    </row>
    <row r="565" spans="3:3" x14ac:dyDescent="0.2">
      <c r="C565" s="5"/>
    </row>
    <row r="566" spans="3:3" x14ac:dyDescent="0.2">
      <c r="C566" s="5"/>
    </row>
    <row r="567" spans="3:3" x14ac:dyDescent="0.2">
      <c r="C567" s="5"/>
    </row>
    <row r="568" spans="3:3" x14ac:dyDescent="0.2">
      <c r="C568" s="5"/>
    </row>
    <row r="569" spans="3:3" x14ac:dyDescent="0.2">
      <c r="C569" s="5"/>
    </row>
    <row r="570" spans="3:3" x14ac:dyDescent="0.2">
      <c r="C570" s="5"/>
    </row>
    <row r="571" spans="3:3" x14ac:dyDescent="0.2">
      <c r="C571" s="5"/>
    </row>
    <row r="572" spans="3:3" x14ac:dyDescent="0.2">
      <c r="C572" s="5"/>
    </row>
    <row r="573" spans="3:3" x14ac:dyDescent="0.2">
      <c r="C573" s="5"/>
    </row>
    <row r="574" spans="3:3" x14ac:dyDescent="0.2">
      <c r="C574" s="5"/>
    </row>
    <row r="575" spans="3:3" x14ac:dyDescent="0.2">
      <c r="C575" s="5"/>
    </row>
    <row r="576" spans="3:3" x14ac:dyDescent="0.2">
      <c r="C576" s="5"/>
    </row>
    <row r="577" spans="3:3" x14ac:dyDescent="0.2">
      <c r="C577" s="5"/>
    </row>
    <row r="578" spans="3:3" x14ac:dyDescent="0.2">
      <c r="C578" s="5"/>
    </row>
    <row r="579" spans="3:3" x14ac:dyDescent="0.2">
      <c r="C579" s="5"/>
    </row>
    <row r="580" spans="3:3" x14ac:dyDescent="0.2">
      <c r="C580" s="5"/>
    </row>
    <row r="581" spans="3:3" x14ac:dyDescent="0.2">
      <c r="C581" s="5"/>
    </row>
    <row r="582" spans="3:3" x14ac:dyDescent="0.2">
      <c r="C582" s="5"/>
    </row>
    <row r="583" spans="3:3" x14ac:dyDescent="0.2">
      <c r="C583" s="5"/>
    </row>
    <row r="584" spans="3:3" x14ac:dyDescent="0.2">
      <c r="C584" s="5"/>
    </row>
    <row r="585" spans="3:3" x14ac:dyDescent="0.2">
      <c r="C585" s="5"/>
    </row>
    <row r="586" spans="3:3" x14ac:dyDescent="0.2">
      <c r="C586" s="5"/>
    </row>
    <row r="587" spans="3:3" x14ac:dyDescent="0.2">
      <c r="C587" s="5"/>
    </row>
    <row r="588" spans="3:3" x14ac:dyDescent="0.2">
      <c r="C588" s="5"/>
    </row>
    <row r="589" spans="3:3" x14ac:dyDescent="0.2">
      <c r="C589" s="5"/>
    </row>
    <row r="590" spans="3:3" x14ac:dyDescent="0.2">
      <c r="C590" s="5"/>
    </row>
    <row r="591" spans="3:3" x14ac:dyDescent="0.2">
      <c r="C591" s="5"/>
    </row>
    <row r="592" spans="3:3" x14ac:dyDescent="0.2">
      <c r="C592" s="5"/>
    </row>
    <row r="593" spans="3:3" x14ac:dyDescent="0.2">
      <c r="C593" s="5"/>
    </row>
    <row r="594" spans="3:3" x14ac:dyDescent="0.2">
      <c r="C594" s="5"/>
    </row>
    <row r="595" spans="3:3" x14ac:dyDescent="0.2">
      <c r="C595" s="5"/>
    </row>
    <row r="596" spans="3:3" x14ac:dyDescent="0.2">
      <c r="C596" s="5"/>
    </row>
    <row r="597" spans="3:3" x14ac:dyDescent="0.2">
      <c r="C597" s="5"/>
    </row>
    <row r="598" spans="3:3" x14ac:dyDescent="0.2">
      <c r="C598" s="5"/>
    </row>
    <row r="599" spans="3:3" x14ac:dyDescent="0.2">
      <c r="C599" s="5"/>
    </row>
    <row r="600" spans="3:3" x14ac:dyDescent="0.2">
      <c r="C600" s="5"/>
    </row>
    <row r="601" spans="3:3" x14ac:dyDescent="0.2">
      <c r="C601" s="5"/>
    </row>
    <row r="602" spans="3:3" x14ac:dyDescent="0.2">
      <c r="C602" s="5"/>
    </row>
    <row r="603" spans="3:3" x14ac:dyDescent="0.2">
      <c r="C603" s="5"/>
    </row>
    <row r="604" spans="3:3" x14ac:dyDescent="0.2">
      <c r="C604" s="5"/>
    </row>
    <row r="605" spans="3:3" x14ac:dyDescent="0.2">
      <c r="C605" s="5"/>
    </row>
    <row r="606" spans="3:3" x14ac:dyDescent="0.2">
      <c r="C606" s="5"/>
    </row>
    <row r="607" spans="3:3" x14ac:dyDescent="0.2">
      <c r="C607" s="5"/>
    </row>
    <row r="608" spans="3:3" x14ac:dyDescent="0.2">
      <c r="C608" s="5"/>
    </row>
    <row r="609" spans="3:3" x14ac:dyDescent="0.2">
      <c r="C609" s="5"/>
    </row>
    <row r="610" spans="3:3" x14ac:dyDescent="0.2">
      <c r="C610" s="5"/>
    </row>
    <row r="611" spans="3:3" x14ac:dyDescent="0.2">
      <c r="C611" s="5"/>
    </row>
    <row r="612" spans="3:3" x14ac:dyDescent="0.2">
      <c r="C612" s="5"/>
    </row>
    <row r="613" spans="3:3" x14ac:dyDescent="0.2">
      <c r="C613" s="5"/>
    </row>
    <row r="614" spans="3:3" x14ac:dyDescent="0.2">
      <c r="C614" s="5"/>
    </row>
    <row r="615" spans="3:3" x14ac:dyDescent="0.2">
      <c r="C615" s="5"/>
    </row>
    <row r="616" spans="3:3" x14ac:dyDescent="0.2">
      <c r="C616" s="5"/>
    </row>
    <row r="617" spans="3:3" x14ac:dyDescent="0.2">
      <c r="C617" s="5"/>
    </row>
    <row r="618" spans="3:3" x14ac:dyDescent="0.2">
      <c r="C618" s="5"/>
    </row>
    <row r="619" spans="3:3" x14ac:dyDescent="0.2">
      <c r="C619" s="5"/>
    </row>
    <row r="620" spans="3:3" x14ac:dyDescent="0.2">
      <c r="C620" s="5"/>
    </row>
    <row r="621" spans="3:3" x14ac:dyDescent="0.2">
      <c r="C621" s="5"/>
    </row>
    <row r="622" spans="3:3" x14ac:dyDescent="0.2">
      <c r="C622" s="5"/>
    </row>
    <row r="623" spans="3:3" x14ac:dyDescent="0.2">
      <c r="C623" s="5"/>
    </row>
    <row r="624" spans="3:3" x14ac:dyDescent="0.2">
      <c r="C624" s="5"/>
    </row>
    <row r="625" spans="3:3" x14ac:dyDescent="0.2">
      <c r="C625" s="5"/>
    </row>
    <row r="626" spans="3:3" x14ac:dyDescent="0.2">
      <c r="C626" s="5"/>
    </row>
    <row r="627" spans="3:3" x14ac:dyDescent="0.2">
      <c r="C627" s="5"/>
    </row>
    <row r="628" spans="3:3" x14ac:dyDescent="0.2">
      <c r="C628" s="5"/>
    </row>
    <row r="629" spans="3:3" x14ac:dyDescent="0.2">
      <c r="C629" s="5"/>
    </row>
    <row r="630" spans="3:3" x14ac:dyDescent="0.2">
      <c r="C630" s="5"/>
    </row>
    <row r="631" spans="3:3" x14ac:dyDescent="0.2">
      <c r="C631" s="5"/>
    </row>
    <row r="632" spans="3:3" x14ac:dyDescent="0.2">
      <c r="C632" s="5"/>
    </row>
    <row r="633" spans="3:3" x14ac:dyDescent="0.2">
      <c r="C633" s="5"/>
    </row>
    <row r="634" spans="3:3" x14ac:dyDescent="0.2">
      <c r="C634" s="5"/>
    </row>
    <row r="635" spans="3:3" x14ac:dyDescent="0.2">
      <c r="C635" s="5"/>
    </row>
    <row r="636" spans="3:3" x14ac:dyDescent="0.2">
      <c r="C636" s="5"/>
    </row>
    <row r="637" spans="3:3" x14ac:dyDescent="0.2">
      <c r="C637" s="5"/>
    </row>
    <row r="638" spans="3:3" x14ac:dyDescent="0.2">
      <c r="C638" s="5"/>
    </row>
    <row r="639" spans="3:3" x14ac:dyDescent="0.2">
      <c r="C639" s="5"/>
    </row>
    <row r="640" spans="3:3" x14ac:dyDescent="0.2">
      <c r="C640" s="5"/>
    </row>
    <row r="641" spans="3:3" x14ac:dyDescent="0.2">
      <c r="C641" s="5"/>
    </row>
    <row r="642" spans="3:3" x14ac:dyDescent="0.2">
      <c r="C642" s="5"/>
    </row>
    <row r="643" spans="3:3" x14ac:dyDescent="0.2">
      <c r="C643" s="5"/>
    </row>
    <row r="644" spans="3:3" x14ac:dyDescent="0.2">
      <c r="C644" s="5"/>
    </row>
    <row r="645" spans="3:3" x14ac:dyDescent="0.2">
      <c r="C645" s="5"/>
    </row>
    <row r="646" spans="3:3" x14ac:dyDescent="0.2">
      <c r="C646" s="5"/>
    </row>
    <row r="647" spans="3:3" x14ac:dyDescent="0.2">
      <c r="C647" s="5"/>
    </row>
    <row r="648" spans="3:3" x14ac:dyDescent="0.2">
      <c r="C648" s="5"/>
    </row>
    <row r="649" spans="3:3" x14ac:dyDescent="0.2">
      <c r="C649" s="5"/>
    </row>
    <row r="650" spans="3:3" x14ac:dyDescent="0.2">
      <c r="C650" s="5"/>
    </row>
    <row r="651" spans="3:3" x14ac:dyDescent="0.2">
      <c r="C651" s="5"/>
    </row>
    <row r="652" spans="3:3" x14ac:dyDescent="0.2">
      <c r="C652" s="5"/>
    </row>
    <row r="653" spans="3:3" x14ac:dyDescent="0.2">
      <c r="C653" s="5"/>
    </row>
    <row r="654" spans="3:3" x14ac:dyDescent="0.2">
      <c r="C654" s="5"/>
    </row>
    <row r="655" spans="3:3" x14ac:dyDescent="0.2">
      <c r="C655" s="5"/>
    </row>
    <row r="656" spans="3:3" x14ac:dyDescent="0.2">
      <c r="C656" s="5"/>
    </row>
    <row r="657" spans="3:3" x14ac:dyDescent="0.2">
      <c r="C657" s="5"/>
    </row>
    <row r="658" spans="3:3" x14ac:dyDescent="0.2">
      <c r="C658" s="5"/>
    </row>
    <row r="659" spans="3:3" x14ac:dyDescent="0.2">
      <c r="C659" s="5"/>
    </row>
    <row r="660" spans="3:3" x14ac:dyDescent="0.2">
      <c r="C660" s="5"/>
    </row>
    <row r="661" spans="3:3" x14ac:dyDescent="0.2">
      <c r="C661" s="5"/>
    </row>
    <row r="662" spans="3:3" x14ac:dyDescent="0.2">
      <c r="C662" s="5"/>
    </row>
    <row r="663" spans="3:3" x14ac:dyDescent="0.2">
      <c r="C663" s="5"/>
    </row>
    <row r="664" spans="3:3" x14ac:dyDescent="0.2">
      <c r="C664" s="5"/>
    </row>
    <row r="665" spans="3:3" x14ac:dyDescent="0.2">
      <c r="C665" s="5"/>
    </row>
    <row r="666" spans="3:3" x14ac:dyDescent="0.2">
      <c r="C666" s="5"/>
    </row>
    <row r="667" spans="3:3" x14ac:dyDescent="0.2">
      <c r="C667" s="5"/>
    </row>
    <row r="668" spans="3:3" x14ac:dyDescent="0.2">
      <c r="C668" s="5"/>
    </row>
    <row r="669" spans="3:3" x14ac:dyDescent="0.2">
      <c r="C669" s="5"/>
    </row>
    <row r="670" spans="3:3" x14ac:dyDescent="0.2">
      <c r="C670" s="5"/>
    </row>
    <row r="671" spans="3:3" x14ac:dyDescent="0.2">
      <c r="C671" s="5"/>
    </row>
    <row r="672" spans="3:3" x14ac:dyDescent="0.2">
      <c r="C672" s="5"/>
    </row>
    <row r="673" spans="3:3" x14ac:dyDescent="0.2">
      <c r="C673" s="5"/>
    </row>
    <row r="674" spans="3:3" x14ac:dyDescent="0.2">
      <c r="C674" s="5"/>
    </row>
    <row r="675" spans="3:3" x14ac:dyDescent="0.2">
      <c r="C675" s="5"/>
    </row>
    <row r="676" spans="3:3" x14ac:dyDescent="0.2">
      <c r="C676" s="5"/>
    </row>
    <row r="677" spans="3:3" x14ac:dyDescent="0.2">
      <c r="C677" s="5"/>
    </row>
    <row r="678" spans="3:3" x14ac:dyDescent="0.2">
      <c r="C678" s="5"/>
    </row>
    <row r="679" spans="3:3" x14ac:dyDescent="0.2">
      <c r="C679" s="5"/>
    </row>
    <row r="680" spans="3:3" x14ac:dyDescent="0.2">
      <c r="C680" s="5"/>
    </row>
    <row r="681" spans="3:3" x14ac:dyDescent="0.2">
      <c r="C681" s="5"/>
    </row>
    <row r="682" spans="3:3" x14ac:dyDescent="0.2">
      <c r="C682" s="5"/>
    </row>
    <row r="683" spans="3:3" x14ac:dyDescent="0.2">
      <c r="C683" s="5"/>
    </row>
    <row r="684" spans="3:3" x14ac:dyDescent="0.2">
      <c r="C684" s="5"/>
    </row>
    <row r="685" spans="3:3" x14ac:dyDescent="0.2">
      <c r="C685" s="5"/>
    </row>
    <row r="686" spans="3:3" x14ac:dyDescent="0.2">
      <c r="C686" s="5"/>
    </row>
    <row r="687" spans="3:3" x14ac:dyDescent="0.2">
      <c r="C687" s="5"/>
    </row>
    <row r="688" spans="3:3" x14ac:dyDescent="0.2">
      <c r="C688" s="5"/>
    </row>
    <row r="689" spans="3:3" x14ac:dyDescent="0.2">
      <c r="C689" s="5"/>
    </row>
    <row r="690" spans="3:3" x14ac:dyDescent="0.2">
      <c r="C690" s="5"/>
    </row>
    <row r="691" spans="3:3" x14ac:dyDescent="0.2">
      <c r="C691" s="5"/>
    </row>
    <row r="692" spans="3:3" x14ac:dyDescent="0.2">
      <c r="C692" s="5"/>
    </row>
    <row r="693" spans="3:3" x14ac:dyDescent="0.2">
      <c r="C693" s="5"/>
    </row>
    <row r="694" spans="3:3" x14ac:dyDescent="0.2">
      <c r="C694" s="5"/>
    </row>
    <row r="695" spans="3:3" x14ac:dyDescent="0.2">
      <c r="C695" s="5"/>
    </row>
    <row r="696" spans="3:3" x14ac:dyDescent="0.2">
      <c r="C696" s="5"/>
    </row>
    <row r="697" spans="3:3" x14ac:dyDescent="0.2">
      <c r="C697" s="5"/>
    </row>
    <row r="698" spans="3:3" x14ac:dyDescent="0.2">
      <c r="C698" s="5"/>
    </row>
    <row r="699" spans="3:3" x14ac:dyDescent="0.2">
      <c r="C699" s="5"/>
    </row>
    <row r="700" spans="3:3" x14ac:dyDescent="0.2">
      <c r="C700" s="5"/>
    </row>
    <row r="701" spans="3:3" x14ac:dyDescent="0.2">
      <c r="C701" s="5"/>
    </row>
    <row r="702" spans="3:3" x14ac:dyDescent="0.2">
      <c r="C702" s="5"/>
    </row>
    <row r="703" spans="3:3" x14ac:dyDescent="0.2">
      <c r="C703" s="5"/>
    </row>
    <row r="704" spans="3:3" x14ac:dyDescent="0.2">
      <c r="C704" s="5"/>
    </row>
    <row r="705" spans="3:3" x14ac:dyDescent="0.2">
      <c r="C705" s="5"/>
    </row>
    <row r="706" spans="3:3" x14ac:dyDescent="0.2">
      <c r="C706" s="5"/>
    </row>
    <row r="707" spans="3:3" x14ac:dyDescent="0.2">
      <c r="C707" s="5"/>
    </row>
    <row r="708" spans="3:3" x14ac:dyDescent="0.2">
      <c r="C708" s="5"/>
    </row>
    <row r="709" spans="3:3" x14ac:dyDescent="0.2">
      <c r="C709" s="5"/>
    </row>
    <row r="710" spans="3:3" x14ac:dyDescent="0.2">
      <c r="C710" s="5"/>
    </row>
    <row r="711" spans="3:3" x14ac:dyDescent="0.2">
      <c r="C711" s="5"/>
    </row>
    <row r="712" spans="3:3" x14ac:dyDescent="0.2">
      <c r="C712" s="5"/>
    </row>
    <row r="713" spans="3:3" x14ac:dyDescent="0.2">
      <c r="C713" s="5"/>
    </row>
    <row r="714" spans="3:3" x14ac:dyDescent="0.2">
      <c r="C714" s="5"/>
    </row>
    <row r="715" spans="3:3" x14ac:dyDescent="0.2">
      <c r="C715" s="5"/>
    </row>
    <row r="716" spans="3:3" x14ac:dyDescent="0.2">
      <c r="C716" s="5"/>
    </row>
    <row r="717" spans="3:3" x14ac:dyDescent="0.2">
      <c r="C717" s="5"/>
    </row>
    <row r="718" spans="3:3" x14ac:dyDescent="0.2">
      <c r="C718" s="5"/>
    </row>
    <row r="719" spans="3:3" x14ac:dyDescent="0.2">
      <c r="C719" s="5"/>
    </row>
    <row r="720" spans="3:3" x14ac:dyDescent="0.2">
      <c r="C720" s="5"/>
    </row>
    <row r="721" spans="3:3" x14ac:dyDescent="0.2">
      <c r="C721" s="5"/>
    </row>
    <row r="722" spans="3:3" x14ac:dyDescent="0.2">
      <c r="C722" s="5"/>
    </row>
    <row r="723" spans="3:3" x14ac:dyDescent="0.2">
      <c r="C723" s="5"/>
    </row>
    <row r="724" spans="3:3" x14ac:dyDescent="0.2">
      <c r="C724" s="5"/>
    </row>
    <row r="725" spans="3:3" x14ac:dyDescent="0.2">
      <c r="C725" s="5"/>
    </row>
    <row r="726" spans="3:3" x14ac:dyDescent="0.2">
      <c r="C726" s="5"/>
    </row>
    <row r="727" spans="3:3" x14ac:dyDescent="0.2">
      <c r="C727" s="5"/>
    </row>
    <row r="728" spans="3:3" x14ac:dyDescent="0.2">
      <c r="C728" s="5"/>
    </row>
    <row r="729" spans="3:3" x14ac:dyDescent="0.2">
      <c r="C729" s="5"/>
    </row>
    <row r="730" spans="3:3" x14ac:dyDescent="0.2">
      <c r="C730" s="5"/>
    </row>
    <row r="731" spans="3:3" x14ac:dyDescent="0.2">
      <c r="C731" s="5"/>
    </row>
    <row r="732" spans="3:3" x14ac:dyDescent="0.2">
      <c r="C732" s="5"/>
    </row>
    <row r="733" spans="3:3" x14ac:dyDescent="0.2">
      <c r="C733" s="5"/>
    </row>
    <row r="734" spans="3:3" x14ac:dyDescent="0.2">
      <c r="C734" s="5"/>
    </row>
    <row r="735" spans="3:3" x14ac:dyDescent="0.2">
      <c r="C735" s="5"/>
    </row>
    <row r="736" spans="3:3" x14ac:dyDescent="0.2">
      <c r="C736" s="5"/>
    </row>
    <row r="737" spans="3:3" x14ac:dyDescent="0.2">
      <c r="C737" s="5"/>
    </row>
    <row r="738" spans="3:3" x14ac:dyDescent="0.2">
      <c r="C738" s="5"/>
    </row>
    <row r="739" spans="3:3" x14ac:dyDescent="0.2">
      <c r="C739" s="5"/>
    </row>
    <row r="740" spans="3:3" x14ac:dyDescent="0.2">
      <c r="C740" s="5"/>
    </row>
    <row r="741" spans="3:3" x14ac:dyDescent="0.2">
      <c r="C741" s="5"/>
    </row>
    <row r="742" spans="3:3" x14ac:dyDescent="0.2">
      <c r="C742" s="5"/>
    </row>
    <row r="743" spans="3:3" x14ac:dyDescent="0.2">
      <c r="C743" s="5"/>
    </row>
    <row r="744" spans="3:3" x14ac:dyDescent="0.2">
      <c r="C744" s="5"/>
    </row>
    <row r="745" spans="3:3" x14ac:dyDescent="0.2">
      <c r="C745" s="5"/>
    </row>
    <row r="746" spans="3:3" x14ac:dyDescent="0.2">
      <c r="C746" s="5"/>
    </row>
    <row r="747" spans="3:3" x14ac:dyDescent="0.2">
      <c r="C747" s="5"/>
    </row>
    <row r="748" spans="3:3" x14ac:dyDescent="0.2">
      <c r="C748" s="5"/>
    </row>
    <row r="749" spans="3:3" x14ac:dyDescent="0.2">
      <c r="C749" s="5"/>
    </row>
    <row r="750" spans="3:3" x14ac:dyDescent="0.2">
      <c r="C750" s="5"/>
    </row>
    <row r="751" spans="3:3" x14ac:dyDescent="0.2">
      <c r="C751" s="5"/>
    </row>
    <row r="752" spans="3:3" x14ac:dyDescent="0.2">
      <c r="C752" s="5"/>
    </row>
    <row r="753" spans="3:3" x14ac:dyDescent="0.2">
      <c r="C753" s="5"/>
    </row>
    <row r="754" spans="3:3" x14ac:dyDescent="0.2">
      <c r="C754" s="5"/>
    </row>
    <row r="755" spans="3:3" x14ac:dyDescent="0.2">
      <c r="C755" s="5"/>
    </row>
    <row r="756" spans="3:3" x14ac:dyDescent="0.2">
      <c r="C756" s="5"/>
    </row>
    <row r="757" spans="3:3" x14ac:dyDescent="0.2">
      <c r="C757" s="5"/>
    </row>
    <row r="758" spans="3:3" x14ac:dyDescent="0.2">
      <c r="C758" s="5"/>
    </row>
    <row r="759" spans="3:3" x14ac:dyDescent="0.2">
      <c r="C759" s="5"/>
    </row>
    <row r="760" spans="3:3" x14ac:dyDescent="0.2">
      <c r="C760" s="5"/>
    </row>
    <row r="761" spans="3:3" x14ac:dyDescent="0.2">
      <c r="C761" s="5"/>
    </row>
    <row r="762" spans="3:3" x14ac:dyDescent="0.2">
      <c r="C762" s="5"/>
    </row>
    <row r="763" spans="3:3" x14ac:dyDescent="0.2">
      <c r="C763" s="5"/>
    </row>
    <row r="764" spans="3:3" x14ac:dyDescent="0.2">
      <c r="C764" s="5"/>
    </row>
    <row r="765" spans="3:3" x14ac:dyDescent="0.2">
      <c r="C765" s="5"/>
    </row>
    <row r="766" spans="3:3" x14ac:dyDescent="0.2">
      <c r="C766" s="5"/>
    </row>
    <row r="767" spans="3:3" x14ac:dyDescent="0.2">
      <c r="C767" s="5"/>
    </row>
    <row r="768" spans="3:3" x14ac:dyDescent="0.2">
      <c r="C768" s="5"/>
    </row>
    <row r="769" spans="3:3" x14ac:dyDescent="0.2">
      <c r="C769" s="5"/>
    </row>
    <row r="770" spans="3:3" x14ac:dyDescent="0.2">
      <c r="C770" s="5"/>
    </row>
    <row r="771" spans="3:3" x14ac:dyDescent="0.2">
      <c r="C771" s="5"/>
    </row>
    <row r="772" spans="3:3" x14ac:dyDescent="0.2">
      <c r="C772" s="5"/>
    </row>
    <row r="773" spans="3:3" x14ac:dyDescent="0.2">
      <c r="C773" s="5"/>
    </row>
    <row r="774" spans="3:3" x14ac:dyDescent="0.2">
      <c r="C774" s="5"/>
    </row>
    <row r="775" spans="3:3" x14ac:dyDescent="0.2">
      <c r="C775" s="5"/>
    </row>
    <row r="776" spans="3:3" x14ac:dyDescent="0.2">
      <c r="C776" s="5"/>
    </row>
    <row r="777" spans="3:3" x14ac:dyDescent="0.2">
      <c r="C777" s="5"/>
    </row>
    <row r="778" spans="3:3" x14ac:dyDescent="0.2">
      <c r="C778" s="5"/>
    </row>
    <row r="779" spans="3:3" x14ac:dyDescent="0.2">
      <c r="C779" s="5"/>
    </row>
    <row r="780" spans="3:3" x14ac:dyDescent="0.2">
      <c r="C780" s="5"/>
    </row>
    <row r="781" spans="3:3" x14ac:dyDescent="0.2">
      <c r="C781" s="5"/>
    </row>
    <row r="782" spans="3:3" x14ac:dyDescent="0.2">
      <c r="C782" s="5"/>
    </row>
    <row r="783" spans="3:3" x14ac:dyDescent="0.2">
      <c r="C783" s="5"/>
    </row>
    <row r="784" spans="3:3" x14ac:dyDescent="0.2">
      <c r="C784" s="5"/>
    </row>
    <row r="785" spans="3:3" x14ac:dyDescent="0.2">
      <c r="C785" s="5"/>
    </row>
    <row r="786" spans="3:3" x14ac:dyDescent="0.2">
      <c r="C786" s="5"/>
    </row>
    <row r="787" spans="3:3" x14ac:dyDescent="0.2">
      <c r="C787" s="5"/>
    </row>
    <row r="788" spans="3:3" x14ac:dyDescent="0.2">
      <c r="C788" s="5"/>
    </row>
    <row r="789" spans="3:3" x14ac:dyDescent="0.2">
      <c r="C789" s="5"/>
    </row>
    <row r="790" spans="3:3" x14ac:dyDescent="0.2">
      <c r="C790" s="5"/>
    </row>
    <row r="791" spans="3:3" x14ac:dyDescent="0.2">
      <c r="C791" s="5"/>
    </row>
    <row r="792" spans="3:3" x14ac:dyDescent="0.2">
      <c r="C792" s="5"/>
    </row>
    <row r="793" spans="3:3" x14ac:dyDescent="0.2">
      <c r="C793" s="5"/>
    </row>
    <row r="794" spans="3:3" x14ac:dyDescent="0.2">
      <c r="C794" s="5"/>
    </row>
    <row r="795" spans="3:3" x14ac:dyDescent="0.2">
      <c r="C795" s="5"/>
    </row>
    <row r="796" spans="3:3" x14ac:dyDescent="0.2">
      <c r="C796" s="5"/>
    </row>
    <row r="797" spans="3:3" x14ac:dyDescent="0.2">
      <c r="C797" s="5"/>
    </row>
    <row r="798" spans="3:3" x14ac:dyDescent="0.2">
      <c r="C798" s="5"/>
    </row>
    <row r="799" spans="3:3" x14ac:dyDescent="0.2">
      <c r="C799" s="5"/>
    </row>
    <row r="800" spans="3:3" x14ac:dyDescent="0.2">
      <c r="C800" s="5"/>
    </row>
    <row r="801" spans="3:3" x14ac:dyDescent="0.2">
      <c r="C801" s="5"/>
    </row>
    <row r="802" spans="3:3" x14ac:dyDescent="0.2">
      <c r="C802" s="5"/>
    </row>
    <row r="803" spans="3:3" x14ac:dyDescent="0.2">
      <c r="C803" s="5"/>
    </row>
    <row r="804" spans="3:3" x14ac:dyDescent="0.2">
      <c r="C804" s="5"/>
    </row>
    <row r="805" spans="3:3" x14ac:dyDescent="0.2">
      <c r="C805" s="5"/>
    </row>
    <row r="806" spans="3:3" x14ac:dyDescent="0.2">
      <c r="C806" s="5"/>
    </row>
    <row r="807" spans="3:3" x14ac:dyDescent="0.2">
      <c r="C807" s="5"/>
    </row>
    <row r="808" spans="3:3" x14ac:dyDescent="0.2">
      <c r="C808" s="5"/>
    </row>
    <row r="809" spans="3:3" x14ac:dyDescent="0.2">
      <c r="C809" s="5"/>
    </row>
    <row r="810" spans="3:3" x14ac:dyDescent="0.2">
      <c r="C810" s="5"/>
    </row>
    <row r="811" spans="3:3" x14ac:dyDescent="0.2">
      <c r="C811" s="5"/>
    </row>
    <row r="812" spans="3:3" x14ac:dyDescent="0.2">
      <c r="C812" s="5"/>
    </row>
    <row r="813" spans="3:3" x14ac:dyDescent="0.2">
      <c r="C813" s="5"/>
    </row>
    <row r="814" spans="3:3" x14ac:dyDescent="0.2">
      <c r="C814" s="5"/>
    </row>
    <row r="815" spans="3:3" x14ac:dyDescent="0.2">
      <c r="C815" s="5"/>
    </row>
    <row r="816" spans="3:3" x14ac:dyDescent="0.2">
      <c r="C816" s="5"/>
    </row>
    <row r="817" spans="3:3" x14ac:dyDescent="0.2">
      <c r="C817" s="5"/>
    </row>
    <row r="818" spans="3:3" x14ac:dyDescent="0.2">
      <c r="C818" s="5"/>
    </row>
    <row r="819" spans="3:3" x14ac:dyDescent="0.2">
      <c r="C819" s="5"/>
    </row>
    <row r="820" spans="3:3" x14ac:dyDescent="0.2">
      <c r="C820" s="5"/>
    </row>
    <row r="821" spans="3:3" x14ac:dyDescent="0.2">
      <c r="C821" s="5"/>
    </row>
    <row r="822" spans="3:3" x14ac:dyDescent="0.2">
      <c r="C822" s="5"/>
    </row>
    <row r="823" spans="3:3" x14ac:dyDescent="0.2">
      <c r="C823" s="5"/>
    </row>
    <row r="824" spans="3:3" x14ac:dyDescent="0.2">
      <c r="C824" s="5"/>
    </row>
    <row r="825" spans="3:3" x14ac:dyDescent="0.2">
      <c r="C825" s="5"/>
    </row>
    <row r="826" spans="3:3" x14ac:dyDescent="0.2">
      <c r="C826" s="5"/>
    </row>
    <row r="827" spans="3:3" x14ac:dyDescent="0.2">
      <c r="C827" s="5"/>
    </row>
    <row r="828" spans="3:3" x14ac:dyDescent="0.2">
      <c r="C828" s="5"/>
    </row>
    <row r="829" spans="3:3" x14ac:dyDescent="0.2">
      <c r="C829" s="5"/>
    </row>
    <row r="830" spans="3:3" x14ac:dyDescent="0.2">
      <c r="C830" s="5"/>
    </row>
    <row r="831" spans="3:3" x14ac:dyDescent="0.2">
      <c r="C831" s="5"/>
    </row>
    <row r="832" spans="3:3" x14ac:dyDescent="0.2">
      <c r="C832" s="5"/>
    </row>
    <row r="833" spans="3:3" x14ac:dyDescent="0.2">
      <c r="C833" s="5"/>
    </row>
    <row r="834" spans="3:3" x14ac:dyDescent="0.2">
      <c r="C834" s="5"/>
    </row>
    <row r="835" spans="3:3" x14ac:dyDescent="0.2">
      <c r="C835" s="5"/>
    </row>
    <row r="836" spans="3:3" x14ac:dyDescent="0.2">
      <c r="C836" s="5"/>
    </row>
    <row r="837" spans="3:3" x14ac:dyDescent="0.2">
      <c r="C837" s="5"/>
    </row>
    <row r="838" spans="3:3" x14ac:dyDescent="0.2">
      <c r="C838" s="5"/>
    </row>
    <row r="839" spans="3:3" x14ac:dyDescent="0.2">
      <c r="C839" s="5"/>
    </row>
    <row r="840" spans="3:3" x14ac:dyDescent="0.2">
      <c r="C840" s="5"/>
    </row>
    <row r="841" spans="3:3" x14ac:dyDescent="0.2">
      <c r="C841" s="5"/>
    </row>
    <row r="842" spans="3:3" x14ac:dyDescent="0.2">
      <c r="C842" s="5"/>
    </row>
    <row r="843" spans="3:3" x14ac:dyDescent="0.2">
      <c r="C843" s="5"/>
    </row>
    <row r="844" spans="3:3" x14ac:dyDescent="0.2">
      <c r="C844" s="5"/>
    </row>
    <row r="845" spans="3:3" x14ac:dyDescent="0.2">
      <c r="C845" s="5"/>
    </row>
    <row r="846" spans="3:3" x14ac:dyDescent="0.2">
      <c r="C846" s="5"/>
    </row>
    <row r="847" spans="3:3" x14ac:dyDescent="0.2">
      <c r="C847" s="5"/>
    </row>
    <row r="848" spans="3:3" x14ac:dyDescent="0.2">
      <c r="C848" s="5"/>
    </row>
    <row r="849" spans="3:3" x14ac:dyDescent="0.2">
      <c r="C849" s="5"/>
    </row>
    <row r="850" spans="3:3" x14ac:dyDescent="0.2">
      <c r="C850" s="5"/>
    </row>
    <row r="851" spans="3:3" x14ac:dyDescent="0.2">
      <c r="C851" s="5"/>
    </row>
    <row r="852" spans="3:3" x14ac:dyDescent="0.2">
      <c r="C852" s="5"/>
    </row>
    <row r="853" spans="3:3" x14ac:dyDescent="0.2">
      <c r="C853" s="5"/>
    </row>
    <row r="854" spans="3:3" x14ac:dyDescent="0.2">
      <c r="C854" s="5"/>
    </row>
    <row r="855" spans="3:3" x14ac:dyDescent="0.2">
      <c r="C855" s="5"/>
    </row>
    <row r="856" spans="3:3" x14ac:dyDescent="0.2">
      <c r="C856" s="5"/>
    </row>
    <row r="857" spans="3:3" x14ac:dyDescent="0.2">
      <c r="C857" s="5"/>
    </row>
    <row r="858" spans="3:3" x14ac:dyDescent="0.2">
      <c r="C858" s="5"/>
    </row>
    <row r="859" spans="3:3" x14ac:dyDescent="0.2">
      <c r="C859" s="5"/>
    </row>
    <row r="860" spans="3:3" x14ac:dyDescent="0.2">
      <c r="C860" s="5"/>
    </row>
    <row r="861" spans="3:3" x14ac:dyDescent="0.2">
      <c r="C861" s="5"/>
    </row>
    <row r="862" spans="3:3" x14ac:dyDescent="0.2">
      <c r="C862" s="5"/>
    </row>
    <row r="863" spans="3:3" x14ac:dyDescent="0.2">
      <c r="C863" s="5"/>
    </row>
    <row r="864" spans="3:3" x14ac:dyDescent="0.2">
      <c r="C864" s="5"/>
    </row>
    <row r="865" spans="3:3" x14ac:dyDescent="0.2">
      <c r="C865" s="5"/>
    </row>
    <row r="866" spans="3:3" x14ac:dyDescent="0.2">
      <c r="C866" s="5"/>
    </row>
    <row r="867" spans="3:3" x14ac:dyDescent="0.2">
      <c r="C867" s="5"/>
    </row>
    <row r="868" spans="3:3" x14ac:dyDescent="0.2">
      <c r="C868" s="5"/>
    </row>
    <row r="869" spans="3:3" x14ac:dyDescent="0.2">
      <c r="C869" s="5"/>
    </row>
    <row r="870" spans="3:3" x14ac:dyDescent="0.2">
      <c r="C870" s="5"/>
    </row>
    <row r="871" spans="3:3" x14ac:dyDescent="0.2">
      <c r="C871" s="5"/>
    </row>
    <row r="872" spans="3:3" x14ac:dyDescent="0.2">
      <c r="C872" s="5"/>
    </row>
    <row r="873" spans="3:3" x14ac:dyDescent="0.2">
      <c r="C873" s="5"/>
    </row>
    <row r="874" spans="3:3" x14ac:dyDescent="0.2">
      <c r="C874" s="5"/>
    </row>
    <row r="875" spans="3:3" x14ac:dyDescent="0.2">
      <c r="C875" s="5"/>
    </row>
    <row r="876" spans="3:3" x14ac:dyDescent="0.2">
      <c r="C876" s="5"/>
    </row>
    <row r="877" spans="3:3" x14ac:dyDescent="0.2">
      <c r="C877" s="5"/>
    </row>
    <row r="878" spans="3:3" x14ac:dyDescent="0.2">
      <c r="C878" s="5"/>
    </row>
    <row r="879" spans="3:3" x14ac:dyDescent="0.2">
      <c r="C879" s="5"/>
    </row>
    <row r="880" spans="3:3" x14ac:dyDescent="0.2">
      <c r="C880" s="5"/>
    </row>
    <row r="881" spans="3:3" x14ac:dyDescent="0.2">
      <c r="C881" s="5"/>
    </row>
    <row r="882" spans="3:3" x14ac:dyDescent="0.2">
      <c r="C882" s="5"/>
    </row>
    <row r="883" spans="3:3" x14ac:dyDescent="0.2">
      <c r="C883" s="5"/>
    </row>
    <row r="884" spans="3:3" x14ac:dyDescent="0.2">
      <c r="C884" s="5"/>
    </row>
    <row r="885" spans="3:3" x14ac:dyDescent="0.2">
      <c r="C885" s="5"/>
    </row>
    <row r="886" spans="3:3" x14ac:dyDescent="0.2">
      <c r="C886" s="5"/>
    </row>
    <row r="887" spans="3:3" x14ac:dyDescent="0.2">
      <c r="C887" s="5"/>
    </row>
    <row r="888" spans="3:3" x14ac:dyDescent="0.2">
      <c r="C888" s="5"/>
    </row>
    <row r="889" spans="3:3" x14ac:dyDescent="0.2">
      <c r="C889" s="5"/>
    </row>
    <row r="890" spans="3:3" x14ac:dyDescent="0.2">
      <c r="C890" s="5"/>
    </row>
    <row r="891" spans="3:3" x14ac:dyDescent="0.2">
      <c r="C891" s="5"/>
    </row>
    <row r="892" spans="3:3" x14ac:dyDescent="0.2">
      <c r="C892" s="5"/>
    </row>
    <row r="893" spans="3:3" x14ac:dyDescent="0.2">
      <c r="C893" s="5"/>
    </row>
    <row r="894" spans="3:3" x14ac:dyDescent="0.2">
      <c r="C894" s="5"/>
    </row>
    <row r="895" spans="3:3" x14ac:dyDescent="0.2">
      <c r="C895" s="5"/>
    </row>
    <row r="896" spans="3:3" x14ac:dyDescent="0.2">
      <c r="C896" s="5"/>
    </row>
    <row r="897" spans="3:3" x14ac:dyDescent="0.2">
      <c r="C897" s="5"/>
    </row>
    <row r="898" spans="3:3" x14ac:dyDescent="0.2">
      <c r="C898" s="5"/>
    </row>
    <row r="899" spans="3:3" x14ac:dyDescent="0.2">
      <c r="C899" s="5"/>
    </row>
    <row r="900" spans="3:3" x14ac:dyDescent="0.2">
      <c r="C900" s="5"/>
    </row>
    <row r="901" spans="3:3" x14ac:dyDescent="0.2">
      <c r="C901" s="5"/>
    </row>
    <row r="902" spans="3:3" x14ac:dyDescent="0.2">
      <c r="C902" s="5"/>
    </row>
  </sheetData>
  <mergeCells count="1">
    <mergeCell ref="B1:E1"/>
  </mergeCells>
  <phoneticPr fontId="2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351</vt:i4>
      </vt:variant>
    </vt:vector>
  </HeadingPairs>
  <TitlesOfParts>
    <vt:vector size="383" baseType="lpstr">
      <vt:lpstr>03-08_ReportTbl</vt:lpstr>
      <vt:lpstr>03-08_SectorTbl</vt:lpstr>
      <vt:lpstr>10_Trk_FW</vt:lpstr>
      <vt:lpstr>frontmatter</vt:lpstr>
      <vt:lpstr>revs</vt:lpstr>
      <vt:lpstr>Summary_RptTbls</vt:lpstr>
      <vt:lpstr>USGPC_Scope</vt:lpstr>
      <vt:lpstr>QC Tracker</vt:lpstr>
      <vt:lpstr>Electricity</vt:lpstr>
      <vt:lpstr>Res-Heat &amp; Hot Water</vt:lpstr>
      <vt:lpstr>Commercial- Heat &amp; Hot Water</vt:lpstr>
      <vt:lpstr>Commercial- Equip</vt:lpstr>
      <vt:lpstr>Res- Garden &amp; Rec</vt:lpstr>
      <vt:lpstr>Ind- Operations</vt:lpstr>
      <vt:lpstr>Ind- Process</vt:lpstr>
      <vt:lpstr>Ind- Small Equip</vt:lpstr>
      <vt:lpstr>Ind- Fug. Gases</vt:lpstr>
      <vt:lpstr>Trans- Road</vt:lpstr>
      <vt:lpstr>Trans- Marine</vt:lpstr>
      <vt:lpstr>Trans-Rail</vt:lpstr>
      <vt:lpstr>Trans-Air</vt:lpstr>
      <vt:lpstr>Trans- Air</vt:lpstr>
      <vt:lpstr>Waste- Management</vt:lpstr>
      <vt:lpstr>Waste- Landfills</vt:lpstr>
      <vt:lpstr>Water-Potable</vt:lpstr>
      <vt:lpstr>Water-Waste</vt:lpstr>
      <vt:lpstr>Agr</vt:lpstr>
      <vt:lpstr>Land_Use</vt:lpstr>
      <vt:lpstr>Emission Factors</vt:lpstr>
      <vt:lpstr>Emission Factors-mobile</vt:lpstr>
      <vt:lpstr>ref</vt:lpstr>
      <vt:lpstr>units</vt:lpstr>
      <vt:lpstr>___pop05</vt:lpstr>
      <vt:lpstr>__pop08</vt:lpstr>
      <vt:lpstr>acreftTOgal</vt:lpstr>
      <vt:lpstr>acreftTOm3</vt:lpstr>
      <vt:lpstr>acreinTOgal</vt:lpstr>
      <vt:lpstr>acreTOft2</vt:lpstr>
      <vt:lpstr>acreTOha</vt:lpstr>
      <vt:lpstr>acreTOkm2</vt:lpstr>
      <vt:lpstr>acreTOm2</vt:lpstr>
      <vt:lpstr>acreTOmi2</vt:lpstr>
      <vt:lpstr>airArfraction</vt:lpstr>
      <vt:lpstr>airCO2fraction</vt:lpstr>
      <vt:lpstr>airN2fraction</vt:lpstr>
      <vt:lpstr>airO2fraction</vt:lpstr>
      <vt:lpstr>airotherfraction</vt:lpstr>
      <vt:lpstr>atmTObar</vt:lpstr>
      <vt:lpstr>atmTOpsi</vt:lpstr>
      <vt:lpstr>barTOPa</vt:lpstr>
      <vt:lpstr>barTOpsi</vt:lpstr>
      <vt:lpstr>bblTOgal</vt:lpstr>
      <vt:lpstr>bblTOL</vt:lpstr>
      <vt:lpstr>Btu.ft3TOMJ.m3</vt:lpstr>
      <vt:lpstr>Btu.hphTOmmBtu.MWh</vt:lpstr>
      <vt:lpstr>Btu.lbTOMJ.kg</vt:lpstr>
      <vt:lpstr>Btu.lbTOmmBtu.ton</vt:lpstr>
      <vt:lpstr>BtuTOcal</vt:lpstr>
      <vt:lpstr>BtuTOJ</vt:lpstr>
      <vt:lpstr>BtuTOkJ</vt:lpstr>
      <vt:lpstr>BtuTOkWh</vt:lpstr>
      <vt:lpstr>BtuTOMJ</vt:lpstr>
      <vt:lpstr>BtuTOWh</vt:lpstr>
      <vt:lpstr>calTOBtu</vt:lpstr>
      <vt:lpstr>calTOJ</vt:lpstr>
      <vt:lpstr>CH4.C</vt:lpstr>
      <vt:lpstr>cmTOin</vt:lpstr>
      <vt:lpstr>CO2.C</vt:lpstr>
      <vt:lpstr>CO2perCH4</vt:lpstr>
      <vt:lpstr>ComSno08</vt:lpstr>
      <vt:lpstr>ComSno11</vt:lpstr>
      <vt:lpstr>ComSno15</vt:lpstr>
      <vt:lpstr>ComWA08</vt:lpstr>
      <vt:lpstr>ComWA11</vt:lpstr>
      <vt:lpstr>ComWA15</vt:lpstr>
      <vt:lpstr>dayTOmin</vt:lpstr>
      <vt:lpstr>dayTOyr</vt:lpstr>
      <vt:lpstr>densityC3H8</vt:lpstr>
      <vt:lpstr>densityC3H8at60degF</vt:lpstr>
      <vt:lpstr>densityCH4</vt:lpstr>
      <vt:lpstr>densityCH4at60degF</vt:lpstr>
      <vt:lpstr>densityCO</vt:lpstr>
      <vt:lpstr>densityCO2</vt:lpstr>
      <vt:lpstr>densityCO2at60degF</vt:lpstr>
      <vt:lpstr>densityCOat60degF</vt:lpstr>
      <vt:lpstr>densityN2O</vt:lpstr>
      <vt:lpstr>densityN2Oat60degF</vt:lpstr>
      <vt:lpstr>densityNO2</vt:lpstr>
      <vt:lpstr>densityNO2at60degF</vt:lpstr>
      <vt:lpstr>densitySO2</vt:lpstr>
      <vt:lpstr>densitySO2at60degF</vt:lpstr>
      <vt:lpstr>'Emission Factors'!efavgas</vt:lpstr>
      <vt:lpstr>efCNGmobile</vt:lpstr>
      <vt:lpstr>'Emission Factors'!efcoal</vt:lpstr>
      <vt:lpstr>'Emission Factors'!efdistillate</vt:lpstr>
      <vt:lpstr>efdistillate.res.ch4</vt:lpstr>
      <vt:lpstr>effgasoline90</vt:lpstr>
      <vt:lpstr>'Emission Factors'!efgas</vt:lpstr>
      <vt:lpstr>efgas.com.ch4</vt:lpstr>
      <vt:lpstr>efgas.com.n2o</vt:lpstr>
      <vt:lpstr>efgas.res.ch4</vt:lpstr>
      <vt:lpstr>efgas.res.n2o</vt:lpstr>
      <vt:lpstr>'Emission Factors'!efgasoline00</vt:lpstr>
      <vt:lpstr>'Emission Factors'!efgasoline01</vt:lpstr>
      <vt:lpstr>'Emission Factors'!efgasoline02</vt:lpstr>
      <vt:lpstr>'Emission Factors'!efgasoline03</vt:lpstr>
      <vt:lpstr>'Emission Factors'!efgasoline04</vt:lpstr>
      <vt:lpstr>'Emission Factors'!efgasoline05</vt:lpstr>
      <vt:lpstr>'Emission Factors'!efgasoline06</vt:lpstr>
      <vt:lpstr>'Emission Factors'!efgasoline07</vt:lpstr>
      <vt:lpstr>'Emission Factors'!efgasoline08</vt:lpstr>
      <vt:lpstr>'Emission Factors'!efgasoline09</vt:lpstr>
      <vt:lpstr>efgasoline10</vt:lpstr>
      <vt:lpstr>efgasoline11</vt:lpstr>
      <vt:lpstr>efgasoline12</vt:lpstr>
      <vt:lpstr>efgasoline13</vt:lpstr>
      <vt:lpstr>efgasoline14</vt:lpstr>
      <vt:lpstr>efgasoline15</vt:lpstr>
      <vt:lpstr>'Emission Factors'!efgasoline90</vt:lpstr>
      <vt:lpstr>efgavgas</vt:lpstr>
      <vt:lpstr>efgdistillate</vt:lpstr>
      <vt:lpstr>efgdistillate.com.ch4</vt:lpstr>
      <vt:lpstr>efgdistillate.com.n2o</vt:lpstr>
      <vt:lpstr>efgdistillate.ind.ch4</vt:lpstr>
      <vt:lpstr>efgdistillate.ind.n2o</vt:lpstr>
      <vt:lpstr>efgdistillate.res.ch4</vt:lpstr>
      <vt:lpstr>efgdistillate.res.n2o</vt:lpstr>
      <vt:lpstr>efggas</vt:lpstr>
      <vt:lpstr>efggasoline0</vt:lpstr>
      <vt:lpstr>efggasoline1</vt:lpstr>
      <vt:lpstr>efggasoline10</vt:lpstr>
      <vt:lpstr>efggasoline11</vt:lpstr>
      <vt:lpstr>efggasoline12</vt:lpstr>
      <vt:lpstr>efggasoline13</vt:lpstr>
      <vt:lpstr>efggasoline14</vt:lpstr>
      <vt:lpstr>efggasoline15</vt:lpstr>
      <vt:lpstr>efggasoline2</vt:lpstr>
      <vt:lpstr>efggasoline3</vt:lpstr>
      <vt:lpstr>efggasoline4</vt:lpstr>
      <vt:lpstr>efggasoline5</vt:lpstr>
      <vt:lpstr>efggasoline6</vt:lpstr>
      <vt:lpstr>efggasoline7</vt:lpstr>
      <vt:lpstr>efggasoline8</vt:lpstr>
      <vt:lpstr>efggasoline9</vt:lpstr>
      <vt:lpstr>efggasoline95</vt:lpstr>
      <vt:lpstr>efgjetfuel</vt:lpstr>
      <vt:lpstr>efgLPG</vt:lpstr>
      <vt:lpstr>efgresidual</vt:lpstr>
      <vt:lpstr>efgresidual.com.ch4</vt:lpstr>
      <vt:lpstr>efgresidual.com.n2o</vt:lpstr>
      <vt:lpstr>efgresidual.ind.ch4</vt:lpstr>
      <vt:lpstr>efgresidual.ind.n2o</vt:lpstr>
      <vt:lpstr>efgresidual.res.ch4</vt:lpstr>
      <vt:lpstr>efgresidual.res.n2o</vt:lpstr>
      <vt:lpstr>'Emission Factors'!efjetfuel</vt:lpstr>
      <vt:lpstr>'Emission Factors'!efLPG</vt:lpstr>
      <vt:lpstr>'Emission Factors'!efresidual</vt:lpstr>
      <vt:lpstr>'Emission Factors'!efTDF</vt:lpstr>
      <vt:lpstr>efTDF_previous</vt:lpstr>
      <vt:lpstr>EJTOTWh</vt:lpstr>
      <vt:lpstr>empCom04</vt:lpstr>
      <vt:lpstr>empCom08</vt:lpstr>
      <vt:lpstr>empInd04</vt:lpstr>
      <vt:lpstr>empInd08</vt:lpstr>
      <vt:lpstr>F.C</vt:lpstr>
      <vt:lpstr>freezeC</vt:lpstr>
      <vt:lpstr>freezeF</vt:lpstr>
      <vt:lpstr>ft2TOm2</vt:lpstr>
      <vt:lpstr>ft2TOyd2</vt:lpstr>
      <vt:lpstr>ft3TOgal</vt:lpstr>
      <vt:lpstr>ft3TOL</vt:lpstr>
      <vt:lpstr>ft3TOm3</vt:lpstr>
      <vt:lpstr>ftTOm</vt:lpstr>
      <vt:lpstr>g.hphTOlb.MWh</vt:lpstr>
      <vt:lpstr>g.kWhTOlb.MWh</vt:lpstr>
      <vt:lpstr>galTOacreft</vt:lpstr>
      <vt:lpstr>galTOacrein</vt:lpstr>
      <vt:lpstr>galTObbl</vt:lpstr>
      <vt:lpstr>galTOL</vt:lpstr>
      <vt:lpstr>galTOliter</vt:lpstr>
      <vt:lpstr>galTOm3</vt:lpstr>
      <vt:lpstr>gasconstant</vt:lpstr>
      <vt:lpstr>ggeTOMJ</vt:lpstr>
      <vt:lpstr>GJ.hrTOMW</vt:lpstr>
      <vt:lpstr>GJTOmmBtu</vt:lpstr>
      <vt:lpstr>GJTOMWh</vt:lpstr>
      <vt:lpstr>GJTOtherm</vt:lpstr>
      <vt:lpstr>gpmTOliter.s</vt:lpstr>
      <vt:lpstr>gTOlb</vt:lpstr>
      <vt:lpstr>GWPCH4</vt:lpstr>
      <vt:lpstr>GWPHFC125</vt:lpstr>
      <vt:lpstr>GWPHFC134a</vt:lpstr>
      <vt:lpstr>GWPHFC143a</vt:lpstr>
      <vt:lpstr>GWPHFC152a</vt:lpstr>
      <vt:lpstr>GWPHFC227ea</vt:lpstr>
      <vt:lpstr>GWPHFC23</vt:lpstr>
      <vt:lpstr>GWPHFC236fa</vt:lpstr>
      <vt:lpstr>GWPHFC245ca</vt:lpstr>
      <vt:lpstr>GWPHFC32</vt:lpstr>
      <vt:lpstr>GWPN2O</vt:lpstr>
      <vt:lpstr>GWPPFC116</vt:lpstr>
      <vt:lpstr>GWPPFC218</vt:lpstr>
      <vt:lpstr>GWPPFC410</vt:lpstr>
      <vt:lpstr>GWPSF6</vt:lpstr>
      <vt:lpstr>GWTOkW</vt:lpstr>
      <vt:lpstr>GWTOquad.yr</vt:lpstr>
      <vt:lpstr>GWTOTWh.yr</vt:lpstr>
      <vt:lpstr>H2.H2O</vt:lpstr>
      <vt:lpstr>haTOacre</vt:lpstr>
      <vt:lpstr>haTOkm2</vt:lpstr>
      <vt:lpstr>'Emission Factors'!HHVavgas</vt:lpstr>
      <vt:lpstr>'Emission Factors'!HHVcoal</vt:lpstr>
      <vt:lpstr>'Emission Factors'!HHVdistillate</vt:lpstr>
      <vt:lpstr>'Emission Factors'!HHVgas</vt:lpstr>
      <vt:lpstr>'Emission Factors'!HHVjetfuel</vt:lpstr>
      <vt:lpstr>'Emission Factors'!HHVLPG</vt:lpstr>
      <vt:lpstr>'Emission Factors'!HHVresidual</vt:lpstr>
      <vt:lpstr>hpTOkW</vt:lpstr>
      <vt:lpstr>hrTOday</vt:lpstr>
      <vt:lpstr>hrTOs</vt:lpstr>
      <vt:lpstr>hrTOyr</vt:lpstr>
      <vt:lpstr>IndSno08</vt:lpstr>
      <vt:lpstr>IndSno11</vt:lpstr>
      <vt:lpstr>IndSno15</vt:lpstr>
      <vt:lpstr>IndWA08</vt:lpstr>
      <vt:lpstr>IndWA11</vt:lpstr>
      <vt:lpstr>IndWA15</vt:lpstr>
      <vt:lpstr>inTOcm</vt:lpstr>
      <vt:lpstr>inTOmm</vt:lpstr>
      <vt:lpstr>ISO5024volume</vt:lpstr>
      <vt:lpstr>JTOBtu</vt:lpstr>
      <vt:lpstr>JTOcal</vt:lpstr>
      <vt:lpstr>JTOWh</vt:lpstr>
      <vt:lpstr>K0degC</vt:lpstr>
      <vt:lpstr>K15degC</vt:lpstr>
      <vt:lpstr>K60degF</vt:lpstr>
      <vt:lpstr>kcalTOMJ</vt:lpstr>
      <vt:lpstr>kg.GJTOlb.MWh</vt:lpstr>
      <vt:lpstr>kgTOg</vt:lpstr>
      <vt:lpstr>kgTOlb</vt:lpstr>
      <vt:lpstr>kJ.kWhTOmmBtu.MWh</vt:lpstr>
      <vt:lpstr>kJTOBtu</vt:lpstr>
      <vt:lpstr>km.lTOmi.gal</vt:lpstr>
      <vt:lpstr>km2TOacre</vt:lpstr>
      <vt:lpstr>km2TOm2</vt:lpstr>
      <vt:lpstr>km2TOmi2</vt:lpstr>
      <vt:lpstr>kmTOmi</vt:lpstr>
      <vt:lpstr>kWh.tonTOMJ.kg</vt:lpstr>
      <vt:lpstr>kWhTOBtu</vt:lpstr>
      <vt:lpstr>kWhTOMJ</vt:lpstr>
      <vt:lpstr>kWTOhp</vt:lpstr>
      <vt:lpstr>L.sTOgpm</vt:lpstr>
      <vt:lpstr>lb.mmBtuTOMg.mmBtu</vt:lpstr>
      <vt:lpstr>lb.mmBtuTOng.J</vt:lpstr>
      <vt:lpstr>lb.mmBtuTOTg.quad</vt:lpstr>
      <vt:lpstr>lb.MWhTOg.hph</vt:lpstr>
      <vt:lpstr>lb.MWhTOg.kWh</vt:lpstr>
      <vt:lpstr>lb.MWhTOkg.GJ</vt:lpstr>
      <vt:lpstr>lb.MWhTOton.GWh</vt:lpstr>
      <vt:lpstr>lbTOg</vt:lpstr>
      <vt:lpstr>lbTOkg</vt:lpstr>
      <vt:lpstr>lbTOMg</vt:lpstr>
      <vt:lpstr>lbTON</vt:lpstr>
      <vt:lpstr>lbTOoz</vt:lpstr>
      <vt:lpstr>lbTOton</vt:lpstr>
      <vt:lpstr>LTOft3</vt:lpstr>
      <vt:lpstr>LTOgal</vt:lpstr>
      <vt:lpstr>LTOm3</vt:lpstr>
      <vt:lpstr>m2TOacre</vt:lpstr>
      <vt:lpstr>m2TOft2</vt:lpstr>
      <vt:lpstr>m2TOkm2</vt:lpstr>
      <vt:lpstr>m3.dayTOgpm</vt:lpstr>
      <vt:lpstr>m3TOacreft</vt:lpstr>
      <vt:lpstr>m3TOft3</vt:lpstr>
      <vt:lpstr>m3TOgal</vt:lpstr>
      <vt:lpstr>m3TOliter</vt:lpstr>
      <vt:lpstr>massC</vt:lpstr>
      <vt:lpstr>massC3H8</vt:lpstr>
      <vt:lpstr>massCH4</vt:lpstr>
      <vt:lpstr>massCO</vt:lpstr>
      <vt:lpstr>massCO2</vt:lpstr>
      <vt:lpstr>massH</vt:lpstr>
      <vt:lpstr>massN</vt:lpstr>
      <vt:lpstr>massN2O</vt:lpstr>
      <vt:lpstr>massNO2</vt:lpstr>
      <vt:lpstr>massO</vt:lpstr>
      <vt:lpstr>massS</vt:lpstr>
      <vt:lpstr>massSO2</vt:lpstr>
      <vt:lpstr>Mg.hayrTOton.acreyr</vt:lpstr>
      <vt:lpstr>MgTOton</vt:lpstr>
      <vt:lpstr>mi2TOacre</vt:lpstr>
      <vt:lpstr>mi2TOkm2</vt:lpstr>
      <vt:lpstr>minTOday</vt:lpstr>
      <vt:lpstr>miTOkm</vt:lpstr>
      <vt:lpstr>MJ.hrTOkW</vt:lpstr>
      <vt:lpstr>MJ.kgTOBtu.lb</vt:lpstr>
      <vt:lpstr>MJ.kgTOkWh.ton</vt:lpstr>
      <vt:lpstr>MJ.kgTOmmBtu.ton</vt:lpstr>
      <vt:lpstr>MJ.kWhTOmmBtu.MWh</vt:lpstr>
      <vt:lpstr>MJ.m3TOBtu.ft3</vt:lpstr>
      <vt:lpstr>MJTOBtu</vt:lpstr>
      <vt:lpstr>MJTOkcal</vt:lpstr>
      <vt:lpstr>MJTOkWh</vt:lpstr>
      <vt:lpstr>MJTOMWh</vt:lpstr>
      <vt:lpstr>MJTOtherm</vt:lpstr>
      <vt:lpstr>mmBtu.MWhTOBtu.hph</vt:lpstr>
      <vt:lpstr>mmBtu.MWhTOkJ.kWh</vt:lpstr>
      <vt:lpstr>mmBtu.MWhTOMJ.kWh</vt:lpstr>
      <vt:lpstr>mmBtu.tonTOBtu.lb</vt:lpstr>
      <vt:lpstr>mmBtuTOMJ</vt:lpstr>
      <vt:lpstr>mmBtuTOMWh</vt:lpstr>
      <vt:lpstr>mmBtuTOtherm</vt:lpstr>
      <vt:lpstr>mmBtuTOTJ</vt:lpstr>
      <vt:lpstr>mmTOin</vt:lpstr>
      <vt:lpstr>molVol0degC</vt:lpstr>
      <vt:lpstr>molVol15degC</vt:lpstr>
      <vt:lpstr>molVol60degF</vt:lpstr>
      <vt:lpstr>moTOday</vt:lpstr>
      <vt:lpstr>moTOyr</vt:lpstr>
      <vt:lpstr>MtoeTOGWh</vt:lpstr>
      <vt:lpstr>MtoeTOmmBtu</vt:lpstr>
      <vt:lpstr>MtoeTOTJ</vt:lpstr>
      <vt:lpstr>MWhTOGJ</vt:lpstr>
      <vt:lpstr>MWhTOmmBtu</vt:lpstr>
      <vt:lpstr>MWhTOTJ</vt:lpstr>
      <vt:lpstr>MWTOGJ.hr</vt:lpstr>
      <vt:lpstr>MWTOkW</vt:lpstr>
      <vt:lpstr>ng.JTOlb.mmBtu</vt:lpstr>
      <vt:lpstr>ozTOkg</vt:lpstr>
      <vt:lpstr>pop00</vt:lpstr>
      <vt:lpstr>popSea00</vt:lpstr>
      <vt:lpstr>popSea03</vt:lpstr>
      <vt:lpstr>popSea05</vt:lpstr>
      <vt:lpstr>popSea08</vt:lpstr>
      <vt:lpstr>popSea15</vt:lpstr>
      <vt:lpstr>popSea2005</vt:lpstr>
      <vt:lpstr>popSea2008</vt:lpstr>
      <vt:lpstr>popSno11</vt:lpstr>
      <vt:lpstr>popSno15</vt:lpstr>
      <vt:lpstr>popUS03</vt:lpstr>
      <vt:lpstr>popUS04</vt:lpstr>
      <vt:lpstr>popUS05</vt:lpstr>
      <vt:lpstr>popUS06</vt:lpstr>
      <vt:lpstr>popUS07</vt:lpstr>
      <vt:lpstr>popUS08</vt:lpstr>
      <vt:lpstr>popUS15</vt:lpstr>
      <vt:lpstr>popWA03</vt:lpstr>
      <vt:lpstr>popWA07</vt:lpstr>
      <vt:lpstr>popWA08</vt:lpstr>
      <vt:lpstr>popWA10</vt:lpstr>
      <vt:lpstr>popWA11</vt:lpstr>
      <vt:lpstr>popWA12</vt:lpstr>
      <vt:lpstr>popWA13</vt:lpstr>
      <vt:lpstr>popWA14</vt:lpstr>
      <vt:lpstr>popWA15</vt:lpstr>
      <vt:lpstr>psiTOPa</vt:lpstr>
      <vt:lpstr>quad.yrTOGW</vt:lpstr>
      <vt:lpstr>quadTOEJ</vt:lpstr>
      <vt:lpstr>quadTOTWh</vt:lpstr>
      <vt:lpstr>SO2.S</vt:lpstr>
      <vt:lpstr>sTOday</vt:lpstr>
      <vt:lpstr>sTOhr</vt:lpstr>
      <vt:lpstr>STPvolume</vt:lpstr>
      <vt:lpstr>Tg.quadTOlb.mmBtu</vt:lpstr>
      <vt:lpstr>thermTOBtu</vt:lpstr>
      <vt:lpstr>thermTOGJ</vt:lpstr>
      <vt:lpstr>thermTOkWh</vt:lpstr>
      <vt:lpstr>thermTOMJ</vt:lpstr>
      <vt:lpstr>thermTOTJ</vt:lpstr>
      <vt:lpstr>ton.GWhTOlb.MWh</vt:lpstr>
      <vt:lpstr>tonTOkg</vt:lpstr>
      <vt:lpstr>tonTOlb</vt:lpstr>
      <vt:lpstr>tonTOMg</vt:lpstr>
      <vt:lpstr>TWh.yrTOGW</vt:lpstr>
      <vt:lpstr>TWhTOEJ</vt:lpstr>
      <vt:lpstr>TWhTOquad</vt:lpstr>
      <vt:lpstr>WhTOBtu</vt:lpstr>
      <vt:lpstr>WhTOJ</vt:lpstr>
      <vt:lpstr>yd2TOft2</vt:lpstr>
      <vt:lpstr>yd3TOm3</vt:lpstr>
      <vt:lpstr>yrTOday</vt:lpstr>
      <vt:lpstr>yrTOhr</vt:lpstr>
      <vt:lpstr>yrTOmo</vt:lpstr>
    </vt:vector>
  </TitlesOfParts>
  <Company>Stockholm Environment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 Hammerschlag</dc:creator>
  <cp:lastModifiedBy>Brian Harmon</cp:lastModifiedBy>
  <cp:lastPrinted>2009-12-04T17:25:03Z</cp:lastPrinted>
  <dcterms:created xsi:type="dcterms:W3CDTF">2003-01-23T18:00:18Z</dcterms:created>
  <dcterms:modified xsi:type="dcterms:W3CDTF">2017-06-23T16:29:25Z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f93b6fd1-e213-4c1f-9c81-0309a4389d76</vt:lpwstr>
  </property>
</Properties>
</file>