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armon\Dropbox (Cascadia)\KC 2015 GHG Inventory\Pierce County Inventory\PC15-60-0_Electricity\"/>
    </mc:Choice>
  </mc:AlternateContent>
  <bookViews>
    <workbookView xWindow="0" yWindow="0" windowWidth="21600" windowHeight="9735"/>
  </bookViews>
  <sheets>
    <sheet name="Sheet1" sheetId="3" r:id="rId1"/>
    <sheet name="units" sheetId="2" r:id="rId2"/>
  </sheets>
  <externalReferences>
    <externalReference r:id="rId3"/>
  </externalReferences>
  <definedNames>
    <definedName name="acreftTOgal">units!$D$65</definedName>
    <definedName name="acreftTOm3">units!$D$66</definedName>
    <definedName name="acreinTOgal">units!$D$67</definedName>
    <definedName name="acreTOft2">units!$D$45</definedName>
    <definedName name="acreTOha">units!$D$46</definedName>
    <definedName name="acreTOkm2" localSheetId="0">units!$D$47</definedName>
    <definedName name="acreTOkm2">units!$D$47</definedName>
    <definedName name="acreTOm2">units!$D$48</definedName>
    <definedName name="acreTOmi2">units!$D$49</definedName>
    <definedName name="atmTObar">units!$D$91</definedName>
    <definedName name="atmTOpsi">units!$D$92</definedName>
    <definedName name="barTOPa">units!$D$93</definedName>
    <definedName name="barTOpsi">units!$D$94</definedName>
    <definedName name="bblTOgal" localSheetId="0">units!$D$68</definedName>
    <definedName name="bblTOgal">units!$D$68</definedName>
    <definedName name="bblTOL">units!$D$69</definedName>
    <definedName name="Btu.ft3TOMJ.m3">units!$D$196</definedName>
    <definedName name="Btu.hphTOmmBtu.MWh">units!$D$164</definedName>
    <definedName name="Btu.lbTOMJ.kg">units!$D$187</definedName>
    <definedName name="Btu.lbTOmmBtu.ton" localSheetId="0">units!$D$188</definedName>
    <definedName name="Btu.lbTOmmBtu.ton">units!$D$188</definedName>
    <definedName name="BtuTOcal">units!$D$98</definedName>
    <definedName name="BtuTOJ" localSheetId="0">units!$D$99</definedName>
    <definedName name="BtuTOJ">units!$D$99</definedName>
    <definedName name="BtuTOkJ" localSheetId="0">units!$D$100</definedName>
    <definedName name="BtuTOkJ">units!$D$100</definedName>
    <definedName name="BtuTOkWh" localSheetId="0">units!$D$101</definedName>
    <definedName name="BtuTOkWh">units!$D$101</definedName>
    <definedName name="BtuTOMJ">units!$D$102</definedName>
    <definedName name="BtuTOWh">units!$D$103</definedName>
    <definedName name="calTOBtu">units!$D$104</definedName>
    <definedName name="calTOJ">units!$D$105</definedName>
    <definedName name="cmTOin">units!$D$6</definedName>
    <definedName name="CO2.C">[1]ref!$C$4</definedName>
    <definedName name="cruisecalls05">[1]ref!$C$94</definedName>
    <definedName name="cruisecalls08">[1]ref!$C$95</definedName>
    <definedName name="dayTOmin" localSheetId="0">units!$D$30</definedName>
    <definedName name="dayTOmin">units!$D$30</definedName>
    <definedName name="dayTOyr">units!$D$31</definedName>
    <definedName name="densityCH4">[1]ref!$C$42</definedName>
    <definedName name="efavgas">'[1]Emission Factors_OLD'!$C$76</definedName>
    <definedName name="efcoal">'[1]Emission Factors_OLD'!$C$81</definedName>
    <definedName name="efdistillate">'[1]Emission Factors_OLD'!$C$49</definedName>
    <definedName name="efgas">'[1]Emission Factors_OLD'!$C$61</definedName>
    <definedName name="efgas.com.ch4">'[1]Emission Factors'!$E$120</definedName>
    <definedName name="efgas.com.n2o">'[1]Emission Factors'!$E$121</definedName>
    <definedName name="efgas.res.ch4">'[1]Emission Factors'!$E$118</definedName>
    <definedName name="efgas.res.n2o">'[1]Emission Factors'!$E$119</definedName>
    <definedName name="efgasoline00">'[1]Emission Factors_OLD'!$C$42</definedName>
    <definedName name="efgasoline01">'[1]Emission Factors_OLD'!$C$41</definedName>
    <definedName name="efgasoline02">'[1]Emission Factors_OLD'!$C$40</definedName>
    <definedName name="efgasoline03">'[1]Emission Factors_OLD'!$C$39</definedName>
    <definedName name="efgasoline04">'[1]Emission Factors_OLD'!$C$38</definedName>
    <definedName name="efgasoline05">'[1]Emission Factors_OLD'!$C$37</definedName>
    <definedName name="efgasoline06">'[1]Emission Factors_OLD'!$C$36</definedName>
    <definedName name="efgasoline07">'[1]Emission Factors_OLD'!$C$35</definedName>
    <definedName name="efgasoline08">'[1]Emission Factors_OLD'!$C$34</definedName>
    <definedName name="efgasoline09">'[1]Emission Factors_OLD'!$C$33</definedName>
    <definedName name="efgasoline15">'[1]Emission Factors'!$C$47</definedName>
    <definedName name="efgdistillate">'[1]Emission Factors'!$C$91</definedName>
    <definedName name="efgdistillate.com.ch4">'[1]Emission Factors'!$E$94</definedName>
    <definedName name="efgdistillate.com.n2o">'[1]Emission Factors'!$E$95</definedName>
    <definedName name="efgdistillate.res.ch4">'[1]Emission Factors'!$E$92</definedName>
    <definedName name="efgdistillate.res.n2o">'[1]Emission Factors'!$E$93</definedName>
    <definedName name="efjetfuel">'[1]Emission Factors_OLD'!$C$71</definedName>
    <definedName name="efLPG">'[1]Emission Factors_OLD'!$C$66</definedName>
    <definedName name="efresidual">'[1]Emission Factors_OLD'!$C$56</definedName>
    <definedName name="efTDF">'[1]Emission Factors_OLD'!$C$83</definedName>
    <definedName name="EJTOTWh">units!$D$106</definedName>
    <definedName name="empComKC03">[1]ref!$C$132</definedName>
    <definedName name="empComKC08">[1]ref!$C$134</definedName>
    <definedName name="empComKC10">[1]ref!$C$136</definedName>
    <definedName name="empComWA03">[1]ref!$C$141</definedName>
    <definedName name="empComWA08">[1]ref!$C$143</definedName>
    <definedName name="empComWA10">[1]ref!$C$145</definedName>
    <definedName name="empComWA14">[1]ref!$C$147</definedName>
    <definedName name="empIndKC03">[1]ref!$C$133</definedName>
    <definedName name="empIndKC08">[1]ref!$C$135</definedName>
    <definedName name="empIndWA03">[1]ref!$C$142</definedName>
    <definedName name="empIndWA08">[1]ref!$C$144</definedName>
    <definedName name="F.C">[1]ref!$C$11</definedName>
    <definedName name="freezeF">[1]ref!$C$12</definedName>
    <definedName name="ft2TOm2">units!$D$50</definedName>
    <definedName name="ft2TOyd2">units!$D$51</definedName>
    <definedName name="ft3TOgal">units!$D$70</definedName>
    <definedName name="ft3TOL">units!$D$71</definedName>
    <definedName name="ft3TOm3" localSheetId="0">units!$D$72</definedName>
    <definedName name="ft3TOm3">units!$D$72</definedName>
    <definedName name="ftTOm">units!$D$7</definedName>
    <definedName name="g.hphTOlb.MWh">units!$D$172</definedName>
    <definedName name="g.kWhTOlb.MWh">units!$D$173</definedName>
    <definedName name="galTOacreft">units!$D$73</definedName>
    <definedName name="galTOacrein">units!$D$74</definedName>
    <definedName name="galTObbl">units!$D$75</definedName>
    <definedName name="galTOL" localSheetId="0">units!$D$76</definedName>
    <definedName name="galTOL">units!$D$76</definedName>
    <definedName name="galTOliter" localSheetId="0">units!$D$76</definedName>
    <definedName name="galTOliter">units!$D$76</definedName>
    <definedName name="galTOm3">units!$D$77</definedName>
    <definedName name="gasconstant">[1]ref!$C$32</definedName>
    <definedName name="ggeTOMJ">units!$D$107</definedName>
    <definedName name="GJ.hrTOMW" localSheetId="0">units!$D$146</definedName>
    <definedName name="GJ.hrTOMW">units!$D$146</definedName>
    <definedName name="GJTOmmBtu" localSheetId="0">units!$D$109</definedName>
    <definedName name="GJTOmmBtu">units!$D$109</definedName>
    <definedName name="GJTOMWh">units!$D$108</definedName>
    <definedName name="GJTOtherm" localSheetId="0">units!$D$110</definedName>
    <definedName name="GJTOtherm">units!$D$110</definedName>
    <definedName name="gpmTOliter.s">units!$D$159</definedName>
    <definedName name="gTOlb">units!$D$15</definedName>
    <definedName name="GWPCH4">[1]ref!$C$66</definedName>
    <definedName name="GWPN2O">[1]ref!$C$67</definedName>
    <definedName name="GWPSF6">[1]ref!$C$80</definedName>
    <definedName name="GWTOkW">units!$D$147</definedName>
    <definedName name="GWTOquad.yr">units!$D$148</definedName>
    <definedName name="GWTOTWh.yr">units!$D$149</definedName>
    <definedName name="haTOacre" localSheetId="0">units!$D$52</definedName>
    <definedName name="haTOacre">units!$D$52</definedName>
    <definedName name="haTOkm2">units!$D$53</definedName>
    <definedName name="HHVavgas">'[1]Emission Factors_OLD'!$C$73</definedName>
    <definedName name="HHVcoal">'[1]Emission Factors_OLD'!$C$78</definedName>
    <definedName name="HHVdistillate">'[1]Emission Factors_OLD'!$C$46</definedName>
    <definedName name="HHVgas">'[1]Emission Factors_OLD'!$C$58</definedName>
    <definedName name="HHVgasoline">'[1]Emission Factors_OLD'!$C$6</definedName>
    <definedName name="HHVjetfuel">'[1]Emission Factors_OLD'!$C$68</definedName>
    <definedName name="HHVLPG">'[1]Emission Factors_OLD'!$C$63</definedName>
    <definedName name="HHVresidual">'[1]Emission Factors_OLD'!$C$53</definedName>
    <definedName name="hpTOkW">units!$D$150</definedName>
    <definedName name="hrTOday">units!$D$32</definedName>
    <definedName name="hrTOs">units!$D$33</definedName>
    <definedName name="hrTOyr" localSheetId="0">units!$D$34</definedName>
    <definedName name="hrTOyr">units!$D$34</definedName>
    <definedName name="inTOcm">units!$D$8</definedName>
    <definedName name="inTOmm">units!$D$9</definedName>
    <definedName name="JTOBtu">units!$D$111</definedName>
    <definedName name="JTOcal">units!$D$112</definedName>
    <definedName name="JTOWh">units!$D$113</definedName>
    <definedName name="K0degC">[1]ref!$C$33</definedName>
    <definedName name="K15degC">[1]ref!$C$34</definedName>
    <definedName name="K60degF">[1]ref!$C$35</definedName>
    <definedName name="kcalTOMJ">units!$D$114</definedName>
    <definedName name="kg.GJTOlb.MWh">units!$D$174</definedName>
    <definedName name="kgTOg">units!$D$16</definedName>
    <definedName name="kgTOlb">units!$D$17</definedName>
    <definedName name="kJ.kWhTOmmBtu.MWh">units!$D$165</definedName>
    <definedName name="kJTOBtu" localSheetId="0">units!$D$115</definedName>
    <definedName name="kJTOBtu">units!$D$115</definedName>
    <definedName name="km.lTOmi.gal">units!$D$200</definedName>
    <definedName name="km2TOacre">units!$D$54</definedName>
    <definedName name="km2TOm2">units!$D$55</definedName>
    <definedName name="km2TOmi2">units!$D$56</definedName>
    <definedName name="kmTOmi" localSheetId="0">units!$D$10</definedName>
    <definedName name="kmTOmi">units!$D$10</definedName>
    <definedName name="kWh.tonTOMJ.kg">units!$D$189</definedName>
    <definedName name="kWhTOBtu" localSheetId="0">units!$D$116</definedName>
    <definedName name="kWhTOBtu">units!$D$116</definedName>
    <definedName name="kWhTOMJ">units!$D$117</definedName>
    <definedName name="kWTOhp">units!$D$151</definedName>
    <definedName name="L.sTOgpm" localSheetId="0">units!$D$160</definedName>
    <definedName name="L.sTOgpm">units!$D$160</definedName>
    <definedName name="lb.mmBtuTOMg.mmBtu">units!$D$175</definedName>
    <definedName name="lb.mmBtuTOng.J">units!$D$176</definedName>
    <definedName name="lb.mmBtuTOTg.quad">units!$D$177</definedName>
    <definedName name="lb.MWhTOg.hph">units!$D$178</definedName>
    <definedName name="lb.MWhTOg.kWh">units!$D$179</definedName>
    <definedName name="lb.MWhTOkg.GJ">units!$D$180</definedName>
    <definedName name="lb.MWhTOton.GWh">units!$D$181</definedName>
    <definedName name="lbTOg">units!$D$18</definedName>
    <definedName name="lbTOkg" localSheetId="0">units!$D$19</definedName>
    <definedName name="lbTOkg">units!$D$19</definedName>
    <definedName name="lbTOMg">units!$D$20</definedName>
    <definedName name="lbTON">units!$D$88</definedName>
    <definedName name="lbTOoz" localSheetId="0">units!$D$23</definedName>
    <definedName name="lbTOoz">units!$D$23</definedName>
    <definedName name="lbTOton">units!$D$21</definedName>
    <definedName name="LTOft3">units!$D$78</definedName>
    <definedName name="LTOgal">units!$D$79</definedName>
    <definedName name="LTOm3" localSheetId="0">units!$D$80</definedName>
    <definedName name="LTOm3">units!$D$80</definedName>
    <definedName name="m2TOacre">units!$D$57</definedName>
    <definedName name="m2TOft2">units!$D$58</definedName>
    <definedName name="m2TOkm2">units!$D$59</definedName>
    <definedName name="m3.dayTOgpm">units!$D$161</definedName>
    <definedName name="m3TOacreft">units!$D$81</definedName>
    <definedName name="m3TOft3">units!$D$82</definedName>
    <definedName name="m3TOgal">units!$D$83</definedName>
    <definedName name="m3TOliter">units!$D$84</definedName>
    <definedName name="massC">[1]ref!$C$16</definedName>
    <definedName name="massCH4">[1]ref!$C$24</definedName>
    <definedName name="massCO2">[1]ref!$C$26</definedName>
    <definedName name="massH">[1]ref!$C$17</definedName>
    <definedName name="massN">[1]ref!$C$18</definedName>
    <definedName name="massO">[1]ref!$C$19</definedName>
    <definedName name="massS">[1]ref!$C$20</definedName>
    <definedName name="Mg.hayrTOton.acreyr">units!$D$203</definedName>
    <definedName name="MgTOton" localSheetId="0">units!$D$22</definedName>
    <definedName name="MgTOton">units!$D$22</definedName>
    <definedName name="mi2TOacre">units!$D$60</definedName>
    <definedName name="mi2TOkm2">units!$D$62</definedName>
    <definedName name="minTOday">units!$D$35</definedName>
    <definedName name="miTOkm">units!$D$11</definedName>
    <definedName name="MJ.hrTOkW">units!$D$152</definedName>
    <definedName name="MJ.kgTOBtu.lb" localSheetId="0">units!$D$190</definedName>
    <definedName name="MJ.kgTOBtu.lb">units!$D$190</definedName>
    <definedName name="MJ.kgTOkWh.ton">units!$D$191</definedName>
    <definedName name="MJ.kgTOmmBtu.ton">units!$D$192</definedName>
    <definedName name="MJ.kWhTOmmBtu.MWh">units!$D$166</definedName>
    <definedName name="MJ.m3TOBtu.ft3">units!$D$197</definedName>
    <definedName name="MJTOBtu">units!$D$118</definedName>
    <definedName name="MJTOkcal">units!$D$120</definedName>
    <definedName name="MJTOkWh" localSheetId="0">units!$D$119</definedName>
    <definedName name="MJTOkWh">units!$D$119</definedName>
    <definedName name="MJTOMWh">units!$D$121</definedName>
    <definedName name="MJTOtherm" localSheetId="0">units!$D$122</definedName>
    <definedName name="MJTOtherm">units!$D$122</definedName>
    <definedName name="mmBtu.MWhTOBtu.hph">units!$D$167</definedName>
    <definedName name="mmBtu.MWhTOkJ.kWh">units!$D$168</definedName>
    <definedName name="mmBtu.MWhTOMJ.kWh">units!$D$169</definedName>
    <definedName name="mmBtu.tonTOBtu.lb">units!$D$193</definedName>
    <definedName name="mmBtuTOMJ" localSheetId="0">units!$D$123</definedName>
    <definedName name="mmBtuTOMJ">units!$D$123</definedName>
    <definedName name="mmBtuTOMWh">units!$D$124</definedName>
    <definedName name="mmBtuTOtherm" localSheetId="0">units!$D$125</definedName>
    <definedName name="mmBtuTOtherm">units!$D$125</definedName>
    <definedName name="mmBtuTOTJ">units!$D$126</definedName>
    <definedName name="mmTOin">units!$D$12</definedName>
    <definedName name="molVol15degC">[1]ref!$C$37</definedName>
    <definedName name="molVol60degF">[1]ref!$C$38</definedName>
    <definedName name="moTOday">units!$D$36</definedName>
    <definedName name="moTOyr">units!$D$37</definedName>
    <definedName name="MtoeTOGWh">units!$D$127</definedName>
    <definedName name="MtoeTOmmBtu">units!$D$128</definedName>
    <definedName name="MtoeTOTJ">units!$D$129</definedName>
    <definedName name="MWhTOGJ" localSheetId="0">units!$D$130</definedName>
    <definedName name="MWhTOGJ">units!$D$130</definedName>
    <definedName name="MWhTOmmBtu">units!$D$131</definedName>
    <definedName name="MWhTOTJ">units!$D$132</definedName>
    <definedName name="MWTOGJ.hr">units!$D$153</definedName>
    <definedName name="MWTOkW">units!$D$154</definedName>
    <definedName name="ng.JTOlb.mmBtu">units!$D$182</definedName>
    <definedName name="ozTOkg">units!$D$24</definedName>
    <definedName name="popKC03">[1]ref!$C$118</definedName>
    <definedName name="popKC05">[1]ref!$C$120</definedName>
    <definedName name="popKC08">[1]ref!$C$123</definedName>
    <definedName name="popKC10">[1]ref!$C$125</definedName>
    <definedName name="popKC15">[1]ref!$C$130</definedName>
    <definedName name="popWA03">[1]ref!$C$149</definedName>
    <definedName name="popWA07">[1]ref!$C$150</definedName>
    <definedName name="popWA08">[1]ref!$C$151</definedName>
    <definedName name="psiTOPa">units!$D$95</definedName>
    <definedName name="quad.yrTOGW">units!$D$155</definedName>
    <definedName name="quadTOEJ">units!$D$133</definedName>
    <definedName name="quadTOTWh" localSheetId="0">units!$D$134</definedName>
    <definedName name="quadTOTWh">units!$D$134</definedName>
    <definedName name="shorepow05">[1]ref!$C$98</definedName>
    <definedName name="shorepow08">[1]ref!$C$99</definedName>
    <definedName name="sTOday">units!$D$38</definedName>
    <definedName name="sTOhr">units!$D$39</definedName>
    <definedName name="Tg.quadTOlb.mmBtu">units!$D$183</definedName>
    <definedName name="thermTOBtu" localSheetId="0">units!$D$135</definedName>
    <definedName name="thermTOBtu">units!$D$135</definedName>
    <definedName name="thermTOGJ">units!$D$136</definedName>
    <definedName name="thermTOkWh">units!$D$137</definedName>
    <definedName name="thermTOMJ" localSheetId="0">units!$D$138</definedName>
    <definedName name="thermTOMJ">units!$D$138</definedName>
    <definedName name="thermTOTJ">units!$D$139</definedName>
    <definedName name="ton.GWhTOlb.MWh">units!$D$184</definedName>
    <definedName name="tonTOkg">units!$D$26</definedName>
    <definedName name="tonTOlb">units!$D$25</definedName>
    <definedName name="tonTOMg" localSheetId="0">units!$D$27</definedName>
    <definedName name="tonTOMg">units!$D$27</definedName>
    <definedName name="TWh.yrTOGW">units!$D$156</definedName>
    <definedName name="TWhTOEJ" localSheetId="0">units!$D$140</definedName>
    <definedName name="TWhTOEJ">units!$D$140</definedName>
    <definedName name="TWhTOquad">units!$D$141</definedName>
    <definedName name="WhTOBtu">units!$D$142</definedName>
    <definedName name="WhTOJ" localSheetId="0">units!$D$143</definedName>
    <definedName name="WhTOJ">units!$D$143</definedName>
    <definedName name="yd2TOft2">units!$D$61</definedName>
    <definedName name="yd3TOm3">units!$D$85</definedName>
    <definedName name="yrTOday" localSheetId="0">units!$D$40</definedName>
    <definedName name="yrTOday">units!$D$40</definedName>
    <definedName name="yrTOhr">units!$D$41</definedName>
    <definedName name="yrTOmo" localSheetId="0">units!$D$42</definedName>
    <definedName name="yrTOmo">units!$D$42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3" l="1"/>
  <c r="F71" i="3"/>
  <c r="G15" i="3" l="1"/>
  <c r="H15" i="3"/>
  <c r="I15" i="3"/>
  <c r="G16" i="3"/>
  <c r="H16" i="3"/>
  <c r="I16" i="3"/>
  <c r="G18" i="3"/>
  <c r="H18" i="3"/>
  <c r="I18" i="3"/>
  <c r="F15" i="3"/>
  <c r="G14" i="3"/>
  <c r="F16" i="3"/>
  <c r="F61" i="3"/>
  <c r="F60" i="3"/>
  <c r="F59" i="3"/>
  <c r="F57" i="3" s="1"/>
  <c r="H17" i="3" s="1"/>
  <c r="F58" i="3"/>
  <c r="F56" i="3"/>
  <c r="F52" i="3"/>
  <c r="D52" i="3"/>
  <c r="F51" i="3"/>
  <c r="D51" i="3"/>
  <c r="F50" i="3"/>
  <c r="F18" i="3" s="1"/>
  <c r="D50" i="3"/>
  <c r="F49" i="3"/>
  <c r="D49" i="3"/>
  <c r="F48" i="3"/>
  <c r="D48" i="3"/>
  <c r="F47" i="3"/>
  <c r="F90" i="3"/>
  <c r="F33" i="3"/>
  <c r="H14" i="3" l="1"/>
  <c r="G17" i="3"/>
  <c r="F17" i="3"/>
  <c r="F19" i="3" s="1"/>
  <c r="F14" i="3"/>
  <c r="I17" i="3"/>
  <c r="I14" i="3"/>
  <c r="I33" i="3"/>
  <c r="H33" i="3" l="1"/>
  <c r="G33" i="3"/>
  <c r="D193" i="2"/>
  <c r="D188" i="2"/>
  <c r="D184" i="2"/>
  <c r="D181" i="2" s="1"/>
  <c r="D183" i="2"/>
  <c r="D177" i="2" s="1"/>
  <c r="D182" i="2"/>
  <c r="D176" i="2" s="1"/>
  <c r="D169" i="2"/>
  <c r="D166" i="2" s="1"/>
  <c r="D168" i="2"/>
  <c r="D165" i="2" s="1"/>
  <c r="D164" i="2"/>
  <c r="D167" i="2" s="1"/>
  <c r="D160" i="2"/>
  <c r="D161" i="2" s="1"/>
  <c r="D156" i="2"/>
  <c r="D149" i="2" s="1"/>
  <c r="D151" i="2"/>
  <c r="D146" i="2"/>
  <c r="D153" i="2" s="1"/>
  <c r="D140" i="2"/>
  <c r="D106" i="2" s="1"/>
  <c r="D137" i="2"/>
  <c r="D124" i="2"/>
  <c r="D131" i="2" s="1"/>
  <c r="D141" i="2" s="1"/>
  <c r="D134" i="2" s="1"/>
  <c r="D123" i="2"/>
  <c r="D126" i="2" s="1"/>
  <c r="D120" i="2"/>
  <c r="D118" i="2"/>
  <c r="D117" i="2"/>
  <c r="D119" i="2" s="1"/>
  <c r="D121" i="2" s="1"/>
  <c r="D116" i="2"/>
  <c r="D114" i="2"/>
  <c r="D113" i="2"/>
  <c r="D112" i="2"/>
  <c r="D111" i="2"/>
  <c r="D107" i="2"/>
  <c r="D104" i="2"/>
  <c r="D103" i="2"/>
  <c r="D142" i="2" s="1"/>
  <c r="D102" i="2"/>
  <c r="D100" i="2"/>
  <c r="D187" i="2" s="1"/>
  <c r="D190" i="2" s="1"/>
  <c r="D192" i="2" s="1"/>
  <c r="D84" i="2"/>
  <c r="D83" i="2"/>
  <c r="D82" i="2"/>
  <c r="D81" i="2"/>
  <c r="D79" i="2"/>
  <c r="D75" i="2"/>
  <c r="D74" i="2"/>
  <c r="D73" i="2"/>
  <c r="D69" i="2"/>
  <c r="D60" i="2"/>
  <c r="D58" i="2"/>
  <c r="D57" i="2"/>
  <c r="D54" i="2"/>
  <c r="D52" i="2"/>
  <c r="D203" i="2" s="1"/>
  <c r="D51" i="2"/>
  <c r="D39" i="2"/>
  <c r="D37" i="2"/>
  <c r="D36" i="2"/>
  <c r="D35" i="2"/>
  <c r="D34" i="2"/>
  <c r="D31" i="2"/>
  <c r="D26" i="2"/>
  <c r="D24" i="2"/>
  <c r="D22" i="2"/>
  <c r="D21" i="2"/>
  <c r="D20" i="2"/>
  <c r="D175" i="2" s="1"/>
  <c r="D18" i="2"/>
  <c r="D17" i="2"/>
  <c r="D173" i="2" s="1"/>
  <c r="D179" i="2" s="1"/>
  <c r="D12" i="2"/>
  <c r="D10" i="2"/>
  <c r="D200" i="2" s="1"/>
  <c r="D8" i="2"/>
  <c r="D6" i="2" s="1"/>
  <c r="I19" i="3" l="1"/>
  <c r="G19" i="3"/>
  <c r="H19" i="3"/>
  <c r="D133" i="2"/>
  <c r="D155" i="2"/>
  <c r="D148" i="2" s="1"/>
  <c r="D189" i="2"/>
  <c r="D191" i="2" s="1"/>
  <c r="D130" i="2"/>
  <c r="D152" i="2"/>
  <c r="D172" i="2"/>
  <c r="D178" i="2" s="1"/>
  <c r="D196" i="2"/>
  <c r="D197" i="2" s="1"/>
  <c r="D115" i="2"/>
  <c r="D109" i="2" s="1"/>
  <c r="D110" i="2" s="1"/>
  <c r="D132" i="2" l="1"/>
  <c r="D180" i="2"/>
  <c r="D174" i="2" s="1"/>
  <c r="D108" i="2"/>
  <c r="D136" i="2"/>
  <c r="D122" i="2"/>
  <c r="D138" i="2" s="1"/>
  <c r="D139" i="2" s="1"/>
</calcChain>
</file>

<file path=xl/sharedStrings.xml><?xml version="1.0" encoding="utf-8"?>
<sst xmlns="http://schemas.openxmlformats.org/spreadsheetml/2006/main" count="692" uniqueCount="344">
  <si>
    <t>Conversion factors for physical units</t>
  </si>
  <si>
    <t>To convert</t>
  </si>
  <si>
    <t>Multiply</t>
  </si>
  <si>
    <t>from</t>
  </si>
  <si>
    <t>to</t>
  </si>
  <si>
    <t>(cell name)</t>
  </si>
  <si>
    <t>by</t>
  </si>
  <si>
    <t>Source if not 05-801</t>
  </si>
  <si>
    <t>distance</t>
  </si>
  <si>
    <t>cm</t>
  </si>
  <si>
    <t>in</t>
  </si>
  <si>
    <t>cmTOin</t>
  </si>
  <si>
    <t>ft</t>
  </si>
  <si>
    <t>m</t>
  </si>
  <si>
    <t>ftTOm</t>
  </si>
  <si>
    <t>inTOcm</t>
  </si>
  <si>
    <t>mm</t>
  </si>
  <si>
    <t>inTOmm</t>
  </si>
  <si>
    <t>km</t>
  </si>
  <si>
    <t>mi</t>
  </si>
  <si>
    <t>kmTOmi</t>
  </si>
  <si>
    <t>miTOkm</t>
  </si>
  <si>
    <t>mmTOin</t>
  </si>
  <si>
    <t>mass</t>
  </si>
  <si>
    <t>g</t>
  </si>
  <si>
    <t>lb</t>
  </si>
  <si>
    <t>gTOlb</t>
  </si>
  <si>
    <t>kg</t>
  </si>
  <si>
    <t>kgTOg</t>
  </si>
  <si>
    <t>kgTOlb</t>
  </si>
  <si>
    <t>lbTOg</t>
  </si>
  <si>
    <t>lbTOkg</t>
  </si>
  <si>
    <t>Mg</t>
  </si>
  <si>
    <t>lbTOMg</t>
  </si>
  <si>
    <t>ton</t>
  </si>
  <si>
    <t>lbTOton</t>
  </si>
  <si>
    <t>MgTOton</t>
  </si>
  <si>
    <t>oz</t>
  </si>
  <si>
    <t>lbTOoz</t>
  </si>
  <si>
    <t>ozTOkg</t>
  </si>
  <si>
    <t>tonTOlb</t>
  </si>
  <si>
    <t>tonTOkg</t>
  </si>
  <si>
    <t>tonTOMg</t>
  </si>
  <si>
    <t>time</t>
  </si>
  <si>
    <t>day</t>
  </si>
  <si>
    <t>min</t>
  </si>
  <si>
    <t>dayTOmin</t>
  </si>
  <si>
    <t>Roel</t>
  </si>
  <si>
    <t>yr</t>
  </si>
  <si>
    <t>dayTOyr</t>
  </si>
  <si>
    <t>hr</t>
  </si>
  <si>
    <t>hrTOday</t>
  </si>
  <si>
    <t>s</t>
  </si>
  <si>
    <t>hrTOs</t>
  </si>
  <si>
    <t>hrTOyr</t>
  </si>
  <si>
    <t>minTOday</t>
  </si>
  <si>
    <t>mo</t>
  </si>
  <si>
    <t>moTOday</t>
  </si>
  <si>
    <t>moTOyr</t>
  </si>
  <si>
    <t>sTOday</t>
  </si>
  <si>
    <t>sTOhr</t>
  </si>
  <si>
    <t>yrTOday</t>
  </si>
  <si>
    <t>yrTOhr</t>
  </si>
  <si>
    <t>yrTOmo</t>
  </si>
  <si>
    <t>area (distance x distance)</t>
  </si>
  <si>
    <t>acre</t>
  </si>
  <si>
    <t>ft2</t>
  </si>
  <si>
    <t>acreTOft2</t>
  </si>
  <si>
    <t>ha</t>
  </si>
  <si>
    <t>acreTOha</t>
  </si>
  <si>
    <t>km2</t>
  </si>
  <si>
    <t>acreTOkm2</t>
  </si>
  <si>
    <t>m2</t>
  </si>
  <si>
    <t>acreTOm2</t>
  </si>
  <si>
    <t>mi2</t>
  </si>
  <si>
    <t>acreTOmi2</t>
  </si>
  <si>
    <t>ft2TOm2</t>
  </si>
  <si>
    <t>yd2</t>
  </si>
  <si>
    <t>ft2TOyd2</t>
  </si>
  <si>
    <t>haTOacre</t>
  </si>
  <si>
    <t>haTOkm2</t>
  </si>
  <si>
    <t>km2TOacre</t>
  </si>
  <si>
    <t>km2TOm2</t>
  </si>
  <si>
    <t>km2TOmi2</t>
  </si>
  <si>
    <t>m2TOacre</t>
  </si>
  <si>
    <t>m2TOft2</t>
  </si>
  <si>
    <t>m2TOkm2</t>
  </si>
  <si>
    <t>mi2TOacre</t>
  </si>
  <si>
    <t>yd2TOft2</t>
  </si>
  <si>
    <t>mi2TOkm2</t>
  </si>
  <si>
    <t>volume (area x distance)</t>
  </si>
  <si>
    <t>acre-ft</t>
  </si>
  <si>
    <t>gal</t>
  </si>
  <si>
    <t>acreftTOgal</t>
  </si>
  <si>
    <t>m3</t>
  </si>
  <si>
    <t>acreftTOm3</t>
  </si>
  <si>
    <t>acre-in</t>
  </si>
  <si>
    <t>acreinTOgal</t>
  </si>
  <si>
    <t>bbl</t>
  </si>
  <si>
    <t>bblTOgal</t>
  </si>
  <si>
    <t>L</t>
  </si>
  <si>
    <t>bblTOL</t>
  </si>
  <si>
    <t>ft3</t>
  </si>
  <si>
    <t>ft3TOgal</t>
  </si>
  <si>
    <t>ft3TOL</t>
  </si>
  <si>
    <t>ft3TOm3</t>
  </si>
  <si>
    <t>galTOacreft</t>
  </si>
  <si>
    <t>galTOacrein</t>
  </si>
  <si>
    <t>galTObbl</t>
  </si>
  <si>
    <t>galTOL</t>
  </si>
  <si>
    <t>galTOm3</t>
  </si>
  <si>
    <t>LTOft3</t>
  </si>
  <si>
    <t>LTOgal</t>
  </si>
  <si>
    <t>LTOm3</t>
  </si>
  <si>
    <t>m3TOacreft</t>
  </si>
  <si>
    <t>m3TOft3</t>
  </si>
  <si>
    <t>m3TOgal</t>
  </si>
  <si>
    <t>liter</t>
  </si>
  <si>
    <t>m3TOliter</t>
  </si>
  <si>
    <t>yd3</t>
  </si>
  <si>
    <t>yd3TOm3</t>
  </si>
  <si>
    <t>force (mass x acceleration)</t>
  </si>
  <si>
    <t>N</t>
  </si>
  <si>
    <t>lbTON</t>
  </si>
  <si>
    <t>pressure (force/area)</t>
  </si>
  <si>
    <t>atm</t>
  </si>
  <si>
    <t>bar</t>
  </si>
  <si>
    <t>atmTObar</t>
  </si>
  <si>
    <t>psi</t>
  </si>
  <si>
    <t>atmTOpsi</t>
  </si>
  <si>
    <t>Pa</t>
  </si>
  <si>
    <t>barTOPa</t>
  </si>
  <si>
    <t>barTOpsi</t>
  </si>
  <si>
    <t>psiTOPa</t>
  </si>
  <si>
    <t>energy (force x distance)</t>
  </si>
  <si>
    <t>Btu</t>
  </si>
  <si>
    <t>cal</t>
  </si>
  <si>
    <t>BtuTOcal</t>
  </si>
  <si>
    <t>J</t>
  </si>
  <si>
    <t>BtuTOJ</t>
  </si>
  <si>
    <t>kJ</t>
  </si>
  <si>
    <t>BtuTOkJ</t>
  </si>
  <si>
    <t>kWh</t>
  </si>
  <si>
    <t>BtuTOkWh</t>
  </si>
  <si>
    <t>MJ</t>
  </si>
  <si>
    <t>BtuTOMJ</t>
  </si>
  <si>
    <t>Wh</t>
  </si>
  <si>
    <t>BtuTOWh</t>
  </si>
  <si>
    <t>calTOBtu</t>
  </si>
  <si>
    <t>calTOJ</t>
  </si>
  <si>
    <t>EJ</t>
  </si>
  <si>
    <t>TWh</t>
  </si>
  <si>
    <t>EJTOTWh</t>
  </si>
  <si>
    <t>gge</t>
  </si>
  <si>
    <t>ggeTOMJ</t>
  </si>
  <si>
    <t>GJ</t>
  </si>
  <si>
    <t>MWh</t>
  </si>
  <si>
    <t>GJTOMWh</t>
  </si>
  <si>
    <t>mmBtu</t>
  </si>
  <si>
    <t>GJTOmmBtu</t>
  </si>
  <si>
    <t>therm</t>
  </si>
  <si>
    <t>GJTOtherm</t>
  </si>
  <si>
    <t>JTOBtu</t>
  </si>
  <si>
    <t>JTOcal</t>
  </si>
  <si>
    <t>JTOWh</t>
  </si>
  <si>
    <t>kcal</t>
  </si>
  <si>
    <t>kcalTOMJ</t>
  </si>
  <si>
    <t>kJTOBtu</t>
  </si>
  <si>
    <t>kWhTOBtu</t>
  </si>
  <si>
    <t>kWhTOMJ</t>
  </si>
  <si>
    <t>MJTOBtu</t>
  </si>
  <si>
    <t>MJTOkWh</t>
  </si>
  <si>
    <t>MJTOkcal</t>
  </si>
  <si>
    <t>MJTOMWh</t>
  </si>
  <si>
    <t>MJTOtherm</t>
  </si>
  <si>
    <t>mmBtuTOMJ</t>
  </si>
  <si>
    <t>mmBtuTOMWh</t>
  </si>
  <si>
    <t>mmBtuTOtherm</t>
  </si>
  <si>
    <t>TJ</t>
  </si>
  <si>
    <t>mmBtuTOTJ</t>
  </si>
  <si>
    <t>Mtoe</t>
  </si>
  <si>
    <t>GWh</t>
  </si>
  <si>
    <t>MtoeTOGWh</t>
  </si>
  <si>
    <t>MtoeTOmmBtu</t>
  </si>
  <si>
    <t>MtoeTOTJ</t>
  </si>
  <si>
    <t>MWhTOGJ</t>
  </si>
  <si>
    <t>MWhTOmmBtu</t>
  </si>
  <si>
    <t>MWhTOTJ</t>
  </si>
  <si>
    <t>quad</t>
  </si>
  <si>
    <t>quadTOEJ</t>
  </si>
  <si>
    <t>quadTOTWh</t>
  </si>
  <si>
    <t>thermTOBtu</t>
  </si>
  <si>
    <t>thermTOGJ</t>
  </si>
  <si>
    <t>thermTOkWh</t>
  </si>
  <si>
    <t>thermTOMJ</t>
  </si>
  <si>
    <t>thermTOTJ</t>
  </si>
  <si>
    <t>TWhTOEJ</t>
  </si>
  <si>
    <t>TWhTOquad</t>
  </si>
  <si>
    <t>WhTOBtu</t>
  </si>
  <si>
    <t>WhTOJ</t>
  </si>
  <si>
    <t>power (energy/time)</t>
  </si>
  <si>
    <t>GJ/hr</t>
  </si>
  <si>
    <t>MW</t>
  </si>
  <si>
    <t>GJ.hrTOMW</t>
  </si>
  <si>
    <t>GW</t>
  </si>
  <si>
    <t>kW</t>
  </si>
  <si>
    <t>GWTOkW</t>
  </si>
  <si>
    <t>quad/yr</t>
  </si>
  <si>
    <t>GWTOquad.yr</t>
  </si>
  <si>
    <t>TWh/yr</t>
  </si>
  <si>
    <t>GWTOTWh.yr</t>
  </si>
  <si>
    <t>hp</t>
  </si>
  <si>
    <t>hpTOkW</t>
  </si>
  <si>
    <t>kWTOhp</t>
  </si>
  <si>
    <t>MJ/hr</t>
  </si>
  <si>
    <t>MJ.hrTOkW</t>
  </si>
  <si>
    <t>MWTOGJ.hr</t>
  </si>
  <si>
    <t>MWTOkW</t>
  </si>
  <si>
    <t>quad.yrTOGW</t>
  </si>
  <si>
    <t>TWh.yrTOGW</t>
  </si>
  <si>
    <t>flow (volume/time)</t>
  </si>
  <si>
    <t>gpm</t>
  </si>
  <si>
    <t>liter/s</t>
  </si>
  <si>
    <t>gpmTOliter.s</t>
  </si>
  <si>
    <t>L/s</t>
  </si>
  <si>
    <t>L.sTOgpm</t>
  </si>
  <si>
    <r>
      <t>m</t>
    </r>
    <r>
      <rPr>
        <vertAlign val="superscript"/>
        <sz val="9"/>
        <rFont val="Arial"/>
        <family val="2"/>
      </rPr>
      <t>3</t>
    </r>
    <r>
      <rPr>
        <sz val="11"/>
        <color theme="1"/>
        <rFont val="Calibri"/>
        <family val="2"/>
        <scheme val="minor"/>
      </rPr>
      <t>/day</t>
    </r>
  </si>
  <si>
    <t>m3.dayTOgpm</t>
  </si>
  <si>
    <t>heat rate (energy/energy)</t>
  </si>
  <si>
    <t>Btu/hp-h</t>
  </si>
  <si>
    <t>mmBtu/MWh</t>
  </si>
  <si>
    <t>Btu.hphTOmmBtu.MWh</t>
  </si>
  <si>
    <t>kJ/kWh</t>
  </si>
  <si>
    <t>kJ.kWhTOmmBtu.MWh</t>
  </si>
  <si>
    <t>MJ/kWh</t>
  </si>
  <si>
    <t>MJ.kWhTOmmBtu.MWh</t>
  </si>
  <si>
    <t>mmBtu.MWhTOBtu.hph</t>
  </si>
  <si>
    <t>mmBtu.MWhTOkJ.kWh</t>
  </si>
  <si>
    <t>mmBtu.MWhTOMJ.kWh</t>
  </si>
  <si>
    <t>emission rate (mass/energy)</t>
  </si>
  <si>
    <t>g/hp-h</t>
  </si>
  <si>
    <t>lb/MWh</t>
  </si>
  <si>
    <t>g.hphTOlb.MWh</t>
  </si>
  <si>
    <t>g/kWh</t>
  </si>
  <si>
    <t>g.kWhTOlb.MWh</t>
  </si>
  <si>
    <t>kg/GJ</t>
  </si>
  <si>
    <t>kg.GJTOlb.MWh</t>
  </si>
  <si>
    <t>lb/mmBtu</t>
  </si>
  <si>
    <t>Mg/mmBtu</t>
  </si>
  <si>
    <t>lb.mmBtuTOMg.mmBtu</t>
  </si>
  <si>
    <t>ng/J</t>
  </si>
  <si>
    <t>lb.mmBtuTOng.J</t>
  </si>
  <si>
    <t>Tg/quad</t>
  </si>
  <si>
    <t>lb.mmBtuTOTg.quad</t>
  </si>
  <si>
    <t>lb.MWhTOg.hph</t>
  </si>
  <si>
    <t>lb.MWhTOg.kWh</t>
  </si>
  <si>
    <t>lb.MWhTOkg.GJ</t>
  </si>
  <si>
    <t>ton/GWh</t>
  </si>
  <si>
    <t>lb.MWhTOton.GWh</t>
  </si>
  <si>
    <t>ng.JTOlb.mmBtu</t>
  </si>
  <si>
    <t>Tg.quadTOlb.mmBtu</t>
  </si>
  <si>
    <t>ton.GWhTOlb.MWh</t>
  </si>
  <si>
    <t>heating value (energy/mass)</t>
  </si>
  <si>
    <t>Btu/lb</t>
  </si>
  <si>
    <t>MJ/kg</t>
  </si>
  <si>
    <t>Btu.lbTOMJ.kg</t>
  </si>
  <si>
    <t>mmBtu/ton</t>
  </si>
  <si>
    <t>Btu.lbTOmmBtu.ton</t>
  </si>
  <si>
    <t>kWh/ton</t>
  </si>
  <si>
    <t>kWh.tonTOMJ.kg</t>
  </si>
  <si>
    <t>MJ.kgTOBtu.lb</t>
  </si>
  <si>
    <t>MJ.kgTOkWh.ton</t>
  </si>
  <si>
    <t>MJ.kgTOmmBtu.ton</t>
  </si>
  <si>
    <t>mmBtu.tonTOBtu.lb</t>
  </si>
  <si>
    <t>heating value (energy/volume)</t>
  </si>
  <si>
    <t>Btu/ft3</t>
  </si>
  <si>
    <t>MJ/m3</t>
  </si>
  <si>
    <t>Btu.ft3TOMJ.m3</t>
  </si>
  <si>
    <t>MJ.m3TOBtu.ft3</t>
  </si>
  <si>
    <t>fuel efficiency (distance/volume)</t>
  </si>
  <si>
    <t>km/l</t>
  </si>
  <si>
    <t>mi/gal</t>
  </si>
  <si>
    <t>km.lTOmi.gal</t>
  </si>
  <si>
    <t>yield (mass/area-time)</t>
  </si>
  <si>
    <t>Mg/ha-yr</t>
  </si>
  <si>
    <t>ton/acre-yr</t>
  </si>
  <si>
    <t>Mg.hayrTOton.acreyr</t>
  </si>
  <si>
    <t>Notes:</t>
  </si>
  <si>
    <r>
      <t>Values shown in blue</t>
    </r>
    <r>
      <rPr>
        <sz val="11"/>
        <color theme="1"/>
        <rFont val="Calibri"/>
        <family val="2"/>
        <scheme val="minor"/>
      </rPr>
      <t xml:space="preserve"> are from an outside source.</t>
    </r>
  </si>
  <si>
    <r>
      <t>Values shown in blue</t>
    </r>
    <r>
      <rPr>
        <sz val="11"/>
        <color theme="1"/>
        <rFont val="Calibri"/>
        <family val="2"/>
        <scheme val="minor"/>
      </rPr>
      <t xml:space="preserve"> contain the same number of significant digits as the original source.</t>
    </r>
  </si>
  <si>
    <t>Values shown in black are calculated, displayed to 4 significant digits.</t>
  </si>
  <si>
    <t>Joules are absolute joules (not archaic international joules).</t>
  </si>
  <si>
    <t>"cal" or "calorie" is the gram-based calorie.  kg-based Calories are referred to as "kcal."</t>
  </si>
  <si>
    <t>Gallons are U.S. liquid gallons (not dry gallons).</t>
  </si>
  <si>
    <t>Barrels are U.S. "blue barrel" oil barrels</t>
  </si>
  <si>
    <t>English system weights are in the avoirdupois system unless noted otherwise.</t>
  </si>
  <si>
    <t xml:space="preserve">1. Downloaded utility fuel mix data from the utility reports </t>
  </si>
  <si>
    <t xml:space="preserve">Data Source: </t>
  </si>
  <si>
    <t xml:space="preserve">http://www.commerce.wa.gov/site/539/default.aspx </t>
  </si>
  <si>
    <t>note that table labeling changed in 2007 to reflect actual data year rather than reporting year (year after actual data)</t>
  </si>
  <si>
    <t>2. Calculated statewide average fuel-specific emission factors based on separate state reporting (lower rows)</t>
  </si>
  <si>
    <t xml:space="preserve">Data Sources: </t>
  </si>
  <si>
    <t>for cogeneration, assumed same as natural gas based on the plant claims in the utility-specific reporting shown below (2008) (lowest rows).  Does not account for efficiency benefit of cogen.</t>
  </si>
  <si>
    <t>for landfill gas, assume zero net emissions (since CO2 is biogenic)</t>
  </si>
  <si>
    <t>3. Multiplied fuel mix percentages by fuel-specific emission factors to generate utility emission rates</t>
  </si>
  <si>
    <t>Puget Sound Energy</t>
  </si>
  <si>
    <t>Biomass</t>
  </si>
  <si>
    <t>Coal</t>
  </si>
  <si>
    <t>Natural Gas</t>
  </si>
  <si>
    <t>Cogeneration</t>
  </si>
  <si>
    <t>Other</t>
  </si>
  <si>
    <t>Geothermal</t>
  </si>
  <si>
    <t>Hydro</t>
  </si>
  <si>
    <t>Landfill</t>
  </si>
  <si>
    <t>Natural</t>
  </si>
  <si>
    <t>Nuclear</t>
  </si>
  <si>
    <t>Petroleum</t>
  </si>
  <si>
    <t>Solar</t>
  </si>
  <si>
    <t>Waste</t>
  </si>
  <si>
    <t>Wind</t>
  </si>
  <si>
    <t>Total</t>
  </si>
  <si>
    <t>Landfill Gases</t>
  </si>
  <si>
    <t>tCO2e (metric)/MWh</t>
  </si>
  <si>
    <t>Tons of CO2 (short tons)</t>
  </si>
  <si>
    <t>-</t>
  </si>
  <si>
    <t>kg/mmbtu</t>
  </si>
  <si>
    <t>MtCo2e/MWh</t>
  </si>
  <si>
    <r>
      <t>Anthropogenic MtCo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e/MWh</t>
    </r>
  </si>
  <si>
    <t>Community Protocol Appendix C Table B.3</t>
  </si>
  <si>
    <t>Emission factors</t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</si>
  <si>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</si>
  <si>
    <r>
      <t>N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</si>
  <si>
    <t>Penninsula Light</t>
  </si>
  <si>
    <t>Tacoma Power</t>
  </si>
  <si>
    <t>Lakeview Light and Power</t>
  </si>
  <si>
    <t>Previous Average emission rate (tCO2e/MWh)</t>
  </si>
  <si>
    <t xml:space="preserve"> Anthropogenic (MtCO2/MWh)</t>
  </si>
  <si>
    <t>Biogenic Mtco2/MWh</t>
  </si>
  <si>
    <t>Biogenic MtCo2e (CH4 and N2O)/MWh</t>
  </si>
  <si>
    <t>Biogas</t>
  </si>
  <si>
    <t xml:space="preserve">* Kg to metric tons, btu to mmbtu, mmbtu to kWh, kwH to MWh, emissions factor </t>
  </si>
  <si>
    <t>unreported</t>
  </si>
  <si>
    <t>Anthropogenic MtCo2e (CH4 and N2O)/MWh</t>
  </si>
  <si>
    <t>Cogeneration assumed to be equal to 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</si>
</sst>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#,##0.000"/>
    <numFmt numFmtId="165" formatCode="0.0000"/>
    <numFmt numFmtId="166" formatCode="0.000"/>
    <numFmt numFmtId="167" formatCode="0.00000"/>
    <numFmt numFmtId="168" formatCode="#,##0.0"/>
    <numFmt numFmtId="169" formatCode="0.0000000"/>
    <numFmt numFmtId="170" formatCode="#,##0.00000"/>
    <numFmt numFmtId="171" formatCode="0.000000"/>
    <numFmt numFmtId="172" formatCode="0.0000E+00"/>
    <numFmt numFmtId="173" formatCode="#,##0.0000"/>
    <numFmt numFmtId="174" formatCode="0.0"/>
    <numFmt numFmtId="175" formatCode="0.000E+00"/>
    <numFmt numFmtId="176" formatCode="#,##0.000000"/>
    <numFmt numFmtId="177" formatCode="0.0%"/>
    <numFmt numFmtId="178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color indexed="39"/>
      <name val="Arial"/>
      <family val="2"/>
    </font>
    <font>
      <sz val="9"/>
      <name val="Times New Roman"/>
      <family val="1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" fillId="0" borderId="0" applyNumberFormat="0" applyFill="0" applyBorder="0" applyProtection="0">
      <alignment horizontal="left" vertical="top"/>
    </xf>
    <xf numFmtId="0" fontId="5" fillId="0" borderId="0"/>
    <xf numFmtId="0" fontId="6" fillId="0" borderId="1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3" fontId="3" fillId="0" borderId="0" xfId="3" applyAlignment="1">
      <alignment horizontal="left" vertical="center"/>
    </xf>
    <xf numFmtId="3" fontId="4" fillId="0" borderId="0" xfId="3" applyFont="1">
      <alignment horizontal="left" vertical="top"/>
    </xf>
    <xf numFmtId="0" fontId="5" fillId="0" borderId="0" xfId="4" applyFont="1"/>
    <xf numFmtId="0" fontId="5" fillId="0" borderId="0" xfId="4" applyFont="1" applyAlignment="1">
      <alignment horizontal="left"/>
    </xf>
    <xf numFmtId="3" fontId="4" fillId="0" borderId="0" xfId="3" applyFont="1" applyAlignment="1">
      <alignment horizontal="centerContinuous" vertical="top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3" fontId="4" fillId="0" borderId="0" xfId="3" applyFont="1" applyAlignment="1">
      <alignment horizontal="center" vertical="top"/>
    </xf>
    <xf numFmtId="0" fontId="5" fillId="0" borderId="0" xfId="4" applyFont="1" applyAlignment="1">
      <alignment horizontal="center"/>
    </xf>
    <xf numFmtId="0" fontId="4" fillId="2" borderId="0" xfId="5" applyFont="1" applyFill="1" applyBorder="1"/>
    <xf numFmtId="164" fontId="5" fillId="0" borderId="0" xfId="4" applyNumberFormat="1" applyFont="1" applyFill="1" applyBorder="1"/>
    <xf numFmtId="165" fontId="5" fillId="0" borderId="0" xfId="4" applyNumberFormat="1" applyFont="1"/>
    <xf numFmtId="0" fontId="7" fillId="0" borderId="0" xfId="4" applyFont="1"/>
    <xf numFmtId="166" fontId="5" fillId="0" borderId="0" xfId="4" applyNumberFormat="1" applyFont="1"/>
    <xf numFmtId="167" fontId="5" fillId="0" borderId="0" xfId="4" applyNumberFormat="1" applyFont="1"/>
    <xf numFmtId="168" fontId="5" fillId="0" borderId="0" xfId="4" applyNumberFormat="1" applyFont="1"/>
    <xf numFmtId="169" fontId="5" fillId="0" borderId="0" xfId="4" applyNumberFormat="1" applyFont="1"/>
    <xf numFmtId="170" fontId="5" fillId="0" borderId="0" xfId="4" applyNumberFormat="1" applyFont="1"/>
    <xf numFmtId="0" fontId="5" fillId="0" borderId="0" xfId="4" applyFont="1" applyFill="1" applyBorder="1"/>
    <xf numFmtId="3" fontId="8" fillId="0" borderId="0" xfId="4" applyNumberFormat="1" applyFont="1"/>
    <xf numFmtId="171" fontId="5" fillId="0" borderId="0" xfId="4" applyNumberFormat="1" applyFont="1"/>
    <xf numFmtId="167" fontId="8" fillId="0" borderId="0" xfId="4" applyNumberFormat="1" applyFont="1"/>
    <xf numFmtId="4" fontId="5" fillId="0" borderId="0" xfId="4" applyNumberFormat="1" applyFont="1"/>
    <xf numFmtId="172" fontId="8" fillId="0" borderId="0" xfId="4" applyNumberFormat="1" applyFont="1"/>
    <xf numFmtId="172" fontId="5" fillId="0" borderId="0" xfId="4" applyNumberFormat="1" applyFont="1" applyAlignment="1">
      <alignment horizontal="left"/>
    </xf>
    <xf numFmtId="4" fontId="8" fillId="0" borderId="0" xfId="4" applyNumberFormat="1" applyFont="1"/>
    <xf numFmtId="173" fontId="5" fillId="0" borderId="0" xfId="4" applyNumberFormat="1" applyFont="1"/>
    <xf numFmtId="1" fontId="8" fillId="0" borderId="0" xfId="4" applyNumberFormat="1" applyFont="1"/>
    <xf numFmtId="173" fontId="8" fillId="0" borderId="0" xfId="4" applyNumberFormat="1" applyFont="1"/>
    <xf numFmtId="2" fontId="5" fillId="0" borderId="0" xfId="4" applyNumberFormat="1" applyFont="1"/>
    <xf numFmtId="174" fontId="5" fillId="0" borderId="0" xfId="4" applyNumberFormat="1" applyFont="1"/>
    <xf numFmtId="175" fontId="7" fillId="0" borderId="0" xfId="4" applyNumberFormat="1" applyFont="1"/>
    <xf numFmtId="0" fontId="7" fillId="0" borderId="0" xfId="4" applyNumberFormat="1" applyFont="1"/>
    <xf numFmtId="3" fontId="7" fillId="0" borderId="0" xfId="4" applyNumberFormat="1" applyFont="1"/>
    <xf numFmtId="175" fontId="5" fillId="0" borderId="0" xfId="4" applyNumberFormat="1" applyFont="1"/>
    <xf numFmtId="3" fontId="5" fillId="0" borderId="0" xfId="4" applyNumberFormat="1" applyFont="1"/>
    <xf numFmtId="167" fontId="7" fillId="0" borderId="0" xfId="4" applyNumberFormat="1" applyFont="1"/>
    <xf numFmtId="170" fontId="7" fillId="0" borderId="0" xfId="4" applyNumberFormat="1" applyFont="1"/>
    <xf numFmtId="173" fontId="7" fillId="0" borderId="0" xfId="4" applyNumberFormat="1" applyFont="1"/>
    <xf numFmtId="4" fontId="7" fillId="0" borderId="0" xfId="4" applyNumberFormat="1" applyFont="1"/>
    <xf numFmtId="0" fontId="9" fillId="0" borderId="0" xfId="4" applyFont="1" applyAlignment="1">
      <alignment horizontal="left" indent="2"/>
    </xf>
    <xf numFmtId="0" fontId="7" fillId="0" borderId="0" xfId="4" applyNumberFormat="1" applyFont="1" applyAlignment="1"/>
    <xf numFmtId="0" fontId="9" fillId="0" borderId="0" xfId="4" applyFont="1"/>
    <xf numFmtId="1" fontId="5" fillId="0" borderId="0" xfId="4" applyNumberFormat="1" applyFont="1"/>
    <xf numFmtId="176" fontId="5" fillId="0" borderId="0" xfId="4" applyNumberFormat="1" applyFont="1"/>
    <xf numFmtId="175" fontId="8" fillId="0" borderId="0" xfId="4" applyNumberFormat="1" applyFont="1"/>
    <xf numFmtId="164" fontId="5" fillId="0" borderId="0" xfId="4" applyNumberFormat="1" applyFont="1"/>
    <xf numFmtId="0" fontId="4" fillId="0" borderId="0" xfId="4" applyFont="1"/>
    <xf numFmtId="0" fontId="0" fillId="0" borderId="0" xfId="0" applyFont="1"/>
    <xf numFmtId="0" fontId="0" fillId="0" borderId="0" xfId="0" applyFont="1" applyAlignment="1">
      <alignment horizontal="right"/>
    </xf>
    <xf numFmtId="0" fontId="11" fillId="0" borderId="0" xfId="6" applyAlignment="1" applyProtection="1"/>
    <xf numFmtId="0" fontId="12" fillId="0" borderId="0" xfId="6" applyFont="1" applyAlignment="1" applyProtection="1"/>
    <xf numFmtId="0" fontId="1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right"/>
    </xf>
    <xf numFmtId="10" fontId="0" fillId="0" borderId="0" xfId="0" applyNumberFormat="1" applyFont="1"/>
    <xf numFmtId="177" fontId="0" fillId="0" borderId="0" xfId="2" applyNumberFormat="1" applyFont="1"/>
    <xf numFmtId="177" fontId="0" fillId="0" borderId="0" xfId="0" applyNumberFormat="1" applyFont="1"/>
    <xf numFmtId="4" fontId="0" fillId="0" borderId="0" xfId="0" applyNumberFormat="1" applyFont="1"/>
    <xf numFmtId="43" fontId="0" fillId="0" borderId="0" xfId="1" applyFont="1"/>
    <xf numFmtId="43" fontId="0" fillId="0" borderId="0" xfId="0" applyNumberFormat="1" applyFont="1"/>
    <xf numFmtId="0" fontId="0" fillId="0" borderId="0" xfId="0" applyNumberFormat="1" applyFont="1"/>
    <xf numFmtId="9" fontId="0" fillId="0" borderId="0" xfId="0" applyNumberFormat="1" applyFont="1"/>
    <xf numFmtId="0" fontId="0" fillId="0" borderId="0" xfId="0" applyFont="1" applyBorder="1"/>
    <xf numFmtId="166" fontId="0" fillId="0" borderId="0" xfId="0" applyNumberFormat="1" applyFont="1"/>
    <xf numFmtId="0" fontId="15" fillId="0" borderId="0" xfId="0" applyFont="1" applyAlignment="1">
      <alignment horizontal="left" readingOrder="2"/>
    </xf>
    <xf numFmtId="2" fontId="15" fillId="0" borderId="0" xfId="0" applyNumberFormat="1" applyFont="1" applyAlignment="1">
      <alignment horizontal="right" readingOrder="2"/>
    </xf>
    <xf numFmtId="164" fontId="16" fillId="0" borderId="0" xfId="0" applyNumberFormat="1" applyFont="1"/>
    <xf numFmtId="164" fontId="17" fillId="0" borderId="0" xfId="0" applyNumberFormat="1" applyFont="1"/>
    <xf numFmtId="0" fontId="18" fillId="0" borderId="0" xfId="0" applyFont="1" applyBorder="1"/>
    <xf numFmtId="2" fontId="0" fillId="0" borderId="0" xfId="0" applyNumberFormat="1" applyFont="1"/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Border="1" applyAlignment="1">
      <alignment horizontal="right"/>
    </xf>
    <xf numFmtId="0" fontId="19" fillId="0" borderId="0" xfId="0" applyFont="1" applyBorder="1"/>
    <xf numFmtId="178" fontId="15" fillId="0" borderId="0" xfId="1" applyNumberFormat="1" applyFont="1" applyAlignment="1">
      <alignment horizontal="right" readingOrder="2"/>
    </xf>
    <xf numFmtId="178" fontId="15" fillId="0" borderId="0" xfId="0" applyNumberFormat="1" applyFont="1" applyAlignment="1">
      <alignment horizontal="left" readingOrder="2"/>
    </xf>
    <xf numFmtId="178" fontId="15" fillId="0" borderId="0" xfId="1" applyNumberFormat="1" applyFont="1" applyBorder="1" applyAlignment="1">
      <alignment horizontal="right"/>
    </xf>
    <xf numFmtId="3" fontId="1" fillId="0" borderId="0" xfId="0" applyNumberFormat="1" applyFont="1"/>
    <xf numFmtId="178" fontId="0" fillId="0" borderId="0" xfId="1" applyNumberFormat="1" applyFont="1" applyAlignment="1">
      <alignment horizontal="right"/>
    </xf>
    <xf numFmtId="178" fontId="0" fillId="0" borderId="0" xfId="1" applyNumberFormat="1" applyFont="1"/>
    <xf numFmtId="178" fontId="1" fillId="0" borderId="0" xfId="1" applyNumberFormat="1" applyFont="1"/>
    <xf numFmtId="178" fontId="0" fillId="0" borderId="0" xfId="0" applyNumberFormat="1" applyFont="1"/>
    <xf numFmtId="178" fontId="1" fillId="0" borderId="0" xfId="1" applyNumberFormat="1" applyFont="1" applyBorder="1" applyAlignment="1">
      <alignment horizontal="right"/>
    </xf>
    <xf numFmtId="43" fontId="1" fillId="0" borderId="0" xfId="1" applyFont="1"/>
    <xf numFmtId="3" fontId="1" fillId="0" borderId="0" xfId="0" applyNumberFormat="1" applyFont="1" applyAlignment="1">
      <alignment horizontal="right"/>
    </xf>
    <xf numFmtId="178" fontId="0" fillId="0" borderId="0" xfId="1" quotePrefix="1" applyNumberFormat="1" applyFont="1"/>
    <xf numFmtId="3" fontId="0" fillId="0" borderId="0" xfId="0" applyNumberFormat="1" applyFont="1"/>
    <xf numFmtId="165" fontId="14" fillId="0" borderId="0" xfId="0" applyNumberFormat="1" applyFont="1" applyBorder="1" applyAlignment="1">
      <alignment horizontal="right"/>
    </xf>
    <xf numFmtId="167" fontId="14" fillId="0" borderId="0" xfId="0" applyNumberFormat="1" applyFont="1" applyFill="1" applyBorder="1"/>
    <xf numFmtId="0" fontId="23" fillId="0" borderId="0" xfId="0" applyFont="1"/>
    <xf numFmtId="0" fontId="23" fillId="0" borderId="2" xfId="0" applyFont="1" applyBorder="1" applyAlignment="1">
      <alignment horizontal="right"/>
    </xf>
    <xf numFmtId="166" fontId="23" fillId="0" borderId="2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166" fontId="23" fillId="0" borderId="0" xfId="0" applyNumberFormat="1" applyFont="1" applyFill="1" applyBorder="1"/>
    <xf numFmtId="167" fontId="23" fillId="0" borderId="0" xfId="0" applyNumberFormat="1" applyFont="1" applyFill="1" applyBorder="1"/>
    <xf numFmtId="0" fontId="0" fillId="0" borderId="2" xfId="0" applyFont="1" applyBorder="1"/>
    <xf numFmtId="0" fontId="20" fillId="0" borderId="2" xfId="6" applyFont="1" applyBorder="1" applyAlignment="1" applyProtection="1"/>
    <xf numFmtId="0" fontId="0" fillId="0" borderId="0" xfId="0" applyFont="1" applyFill="1"/>
    <xf numFmtId="0" fontId="0" fillId="0" borderId="0" xfId="0" applyFont="1" applyFill="1" applyBorder="1"/>
    <xf numFmtId="0" fontId="0" fillId="0" borderId="2" xfId="0" applyFont="1" applyFill="1" applyBorder="1"/>
    <xf numFmtId="0" fontId="20" fillId="0" borderId="2" xfId="6" applyFont="1" applyFill="1" applyBorder="1" applyAlignment="1" applyProtection="1"/>
    <xf numFmtId="166" fontId="23" fillId="0" borderId="0" xfId="0" applyNumberFormat="1" applyFont="1" applyBorder="1"/>
    <xf numFmtId="0" fontId="0" fillId="0" borderId="0" xfId="0" applyBorder="1"/>
    <xf numFmtId="177" fontId="0" fillId="0" borderId="0" xfId="0" applyNumberFormat="1" applyFont="1" applyBorder="1"/>
    <xf numFmtId="10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177" fontId="0" fillId="0" borderId="0" xfId="2" applyNumberFormat="1" applyFont="1" applyBorder="1"/>
    <xf numFmtId="9" fontId="0" fillId="0" borderId="0" xfId="0" applyNumberFormat="1" applyFont="1" applyBorder="1"/>
    <xf numFmtId="9" fontId="0" fillId="0" borderId="0" xfId="2" applyNumberFormat="1" applyFont="1" applyBorder="1"/>
    <xf numFmtId="165" fontId="23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/>
    <xf numFmtId="177" fontId="0" fillId="0" borderId="0" xfId="2" applyNumberFormat="1" applyFont="1" applyFill="1"/>
    <xf numFmtId="178" fontId="0" fillId="0" borderId="0" xfId="1" applyNumberFormat="1" applyFont="1" applyFill="1" applyAlignment="1">
      <alignment horizontal="right"/>
    </xf>
  </cellXfs>
  <cellStyles count="7">
    <cellStyle name="Comma" xfId="1" builtinId="3"/>
    <cellStyle name="Heading" xfId="5"/>
    <cellStyle name="Hyperlink" xfId="6" builtinId="8"/>
    <cellStyle name="Normal" xfId="0" builtinId="0"/>
    <cellStyle name="Normal_Ref" xfId="4"/>
    <cellStyle name="Percent" xfId="2" builtinId="5"/>
    <cellStyle name="Title_Ref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KING%20COUNTY\KC%20Green%20Tools%202015\Task%206.16%20-%20KC%20GHG%20Inventory\KC_2015_GHGInventory\KC15-00-1_MasterSpreadsheet_2016-04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8_ReportTbl"/>
      <sheetName val="03-08_SectorTbl"/>
      <sheetName val="10_Trk_FW"/>
      <sheetName val="frontmatter"/>
      <sheetName val="revs"/>
      <sheetName val="USGPC_Scope"/>
      <sheetName val="Summary_RptTbls"/>
      <sheetName val="Electricity"/>
      <sheetName val="Res-Heat &amp; Hot Water"/>
      <sheetName val="Commercial- Heat &amp; Hot Water"/>
      <sheetName val="Commercial- Equip"/>
      <sheetName val="Res- Garden &amp; Rec"/>
      <sheetName val="Ind- Operations"/>
      <sheetName val="Ind- Process"/>
      <sheetName val="Ind- Small Equip"/>
      <sheetName val="Ind- Fug. Gases"/>
      <sheetName val="Trans- Road"/>
      <sheetName val="Trans- Marine"/>
      <sheetName val="Trans-Rail"/>
      <sheetName val="Trans- Air"/>
      <sheetName val="Waste- Management"/>
      <sheetName val="Waste- Landfills"/>
      <sheetName val="Water-Potable"/>
      <sheetName val="Water-Waste"/>
      <sheetName val="Agr"/>
      <sheetName val="Land_Use"/>
      <sheetName val="Emission Factors"/>
      <sheetName val="Emission Factors-mobile"/>
      <sheetName val="Emission Factors_OLD"/>
      <sheetName val="ref"/>
      <sheetName val="un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7">
          <cell r="C47">
            <v>2355.8986594140329</v>
          </cell>
        </row>
        <row r="91">
          <cell r="C91">
            <v>10221.753903779909</v>
          </cell>
        </row>
        <row r="92">
          <cell r="E92">
            <v>1.5E-3</v>
          </cell>
        </row>
        <row r="93">
          <cell r="E93">
            <v>1E-4</v>
          </cell>
        </row>
        <row r="94">
          <cell r="E94">
            <v>1.5E-3</v>
          </cell>
        </row>
        <row r="95">
          <cell r="E95">
            <v>1E-4</v>
          </cell>
        </row>
        <row r="118">
          <cell r="E118">
            <v>3</v>
          </cell>
        </row>
        <row r="119">
          <cell r="E119">
            <v>0.6</v>
          </cell>
        </row>
        <row r="120">
          <cell r="E120">
            <v>3</v>
          </cell>
        </row>
        <row r="121">
          <cell r="E121">
            <v>0.6</v>
          </cell>
        </row>
      </sheetData>
      <sheetData sheetId="27" refreshError="1"/>
      <sheetData sheetId="28" refreshError="1">
        <row r="6">
          <cell r="C6">
            <v>34.830611975333802</v>
          </cell>
        </row>
        <row r="33">
          <cell r="C33">
            <v>2355.8986594140329</v>
          </cell>
        </row>
        <row r="34">
          <cell r="C34">
            <v>2355.8986594140329</v>
          </cell>
        </row>
        <row r="35">
          <cell r="C35">
            <v>2368.0050245703233</v>
          </cell>
        </row>
        <row r="36">
          <cell r="C36">
            <v>2354.6880228984041</v>
          </cell>
        </row>
        <row r="37">
          <cell r="C37">
            <v>2343.7922942577429</v>
          </cell>
        </row>
        <row r="38">
          <cell r="C38">
            <v>2346.2135672890008</v>
          </cell>
        </row>
        <row r="39">
          <cell r="C39">
            <v>2343.7922942577429</v>
          </cell>
        </row>
        <row r="40">
          <cell r="C40">
            <v>2346.2135672890008</v>
          </cell>
        </row>
        <row r="41">
          <cell r="C41">
            <v>2341.371021226485</v>
          </cell>
        </row>
        <row r="42">
          <cell r="C42">
            <v>2340.1603847108554</v>
          </cell>
        </row>
        <row r="46">
          <cell r="C46">
            <v>38.517233002991439</v>
          </cell>
        </row>
        <row r="49">
          <cell r="C49">
            <v>2700.310113536194</v>
          </cell>
        </row>
        <row r="53">
          <cell r="C53">
            <v>41.885584589412453</v>
          </cell>
        </row>
        <row r="56">
          <cell r="C56">
            <v>2981.5850181191208</v>
          </cell>
        </row>
        <row r="58">
          <cell r="C58">
            <v>3.8233140174037596E-2</v>
          </cell>
        </row>
        <row r="61">
          <cell r="C61">
            <v>50.294581081599674</v>
          </cell>
        </row>
        <row r="63">
          <cell r="C63">
            <v>25.355465485184933</v>
          </cell>
        </row>
        <row r="66">
          <cell r="C66">
            <v>1483.2295454393659</v>
          </cell>
        </row>
        <row r="68">
          <cell r="C68">
            <v>37.595577746077026</v>
          </cell>
        </row>
        <row r="71">
          <cell r="C71">
            <v>2574.2792339471457</v>
          </cell>
        </row>
        <row r="73">
          <cell r="C73">
            <v>33.471336236719019</v>
          </cell>
        </row>
        <row r="76">
          <cell r="C76">
            <v>2194.1555006412191</v>
          </cell>
        </row>
        <row r="78">
          <cell r="C78">
            <v>32.53641975308642</v>
          </cell>
        </row>
        <row r="81">
          <cell r="C81">
            <v>2919.9718471004103</v>
          </cell>
        </row>
        <row r="83">
          <cell r="C83">
            <v>3080.0679027315418</v>
          </cell>
        </row>
      </sheetData>
      <sheetData sheetId="29" refreshError="1">
        <row r="4">
          <cell r="C4">
            <v>3.6640912818506139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80">
          <cell r="C80">
            <v>23900</v>
          </cell>
        </row>
        <row r="94">
          <cell r="C94">
            <v>167</v>
          </cell>
        </row>
        <row r="95">
          <cell r="C95">
            <v>209</v>
          </cell>
        </row>
        <row r="98">
          <cell r="C98">
            <v>31</v>
          </cell>
        </row>
        <row r="99">
          <cell r="C99">
            <v>108</v>
          </cell>
        </row>
        <row r="118">
          <cell r="C118">
            <v>1763669</v>
          </cell>
        </row>
        <row r="120">
          <cell r="C120">
            <v>1782942</v>
          </cell>
        </row>
        <row r="123">
          <cell r="C123">
            <v>1857506</v>
          </cell>
        </row>
        <row r="125">
          <cell r="C125">
            <v>1916441</v>
          </cell>
        </row>
        <row r="130">
          <cell r="C130">
            <v>2017250</v>
          </cell>
        </row>
        <row r="132">
          <cell r="C132">
            <v>0</v>
          </cell>
        </row>
        <row r="133">
          <cell r="C133">
            <v>926409</v>
          </cell>
        </row>
        <row r="134">
          <cell r="C134">
            <v>926409</v>
          </cell>
        </row>
        <row r="135">
          <cell r="C135">
            <v>1005634</v>
          </cell>
        </row>
        <row r="136">
          <cell r="C136">
            <v>1005634</v>
          </cell>
        </row>
        <row r="141">
          <cell r="C141">
            <v>0</v>
          </cell>
        </row>
        <row r="142">
          <cell r="C142">
            <v>2180230</v>
          </cell>
        </row>
        <row r="143">
          <cell r="C143">
            <v>2409221</v>
          </cell>
        </row>
        <row r="144">
          <cell r="C144">
            <v>2409221</v>
          </cell>
        </row>
        <row r="145">
          <cell r="C145">
            <v>294970</v>
          </cell>
        </row>
        <row r="147">
          <cell r="C147">
            <v>261806</v>
          </cell>
        </row>
        <row r="149">
          <cell r="C149">
            <v>541518</v>
          </cell>
        </row>
        <row r="150">
          <cell r="C150">
            <v>6113262</v>
          </cell>
        </row>
        <row r="151">
          <cell r="C151">
            <v>6464979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merce.wa.gov/site/539/default.aspx" TargetMode="External"/><Relationship Id="rId1" Type="http://schemas.openxmlformats.org/officeDocument/2006/relationships/hyperlink" Target="http://www.commerce.wa.gov/site/539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18"/>
  <sheetViews>
    <sheetView tabSelected="1" workbookViewId="0">
      <selection activeCell="K86" sqref="K86"/>
    </sheetView>
  </sheetViews>
  <sheetFormatPr defaultColWidth="9.140625" defaultRowHeight="15" x14ac:dyDescent="0.25"/>
  <cols>
    <col min="1" max="2" width="9.140625" style="49"/>
    <col min="3" max="3" width="10.5703125" style="49" customWidth="1"/>
    <col min="4" max="5" width="15.140625" style="49" customWidth="1"/>
    <col min="6" max="6" width="19" style="49" customWidth="1"/>
    <col min="7" max="9" width="13.85546875" style="49" customWidth="1"/>
    <col min="10" max="10" width="14.28515625" style="49" bestFit="1" customWidth="1"/>
    <col min="11" max="11" width="12" style="49" customWidth="1"/>
    <col min="12" max="12" width="12.140625" style="49" customWidth="1"/>
    <col min="13" max="28" width="9.140625" style="49"/>
    <col min="29" max="30" width="10.5703125" style="49" bestFit="1" customWidth="1"/>
    <col min="31" max="16384" width="9.140625" style="49"/>
  </cols>
  <sheetData>
    <row r="2" spans="2:18" x14ac:dyDescent="0.25">
      <c r="B2" t="s">
        <v>296</v>
      </c>
    </row>
    <row r="3" spans="2:18" x14ac:dyDescent="0.25">
      <c r="C3" s="50" t="s">
        <v>297</v>
      </c>
      <c r="D3" s="51" t="s">
        <v>298</v>
      </c>
      <c r="E3" s="51"/>
      <c r="F3" s="51"/>
      <c r="G3" s="51"/>
      <c r="H3" s="51"/>
      <c r="I3" s="51"/>
      <c r="J3" s="52"/>
    </row>
    <row r="4" spans="2:18" x14ac:dyDescent="0.25">
      <c r="C4" s="53" t="s">
        <v>299</v>
      </c>
    </row>
    <row r="6" spans="2:18" x14ac:dyDescent="0.25">
      <c r="B6" s="54" t="s">
        <v>300</v>
      </c>
    </row>
    <row r="7" spans="2:18" x14ac:dyDescent="0.25">
      <c r="C7" s="55" t="s">
        <v>301</v>
      </c>
      <c r="D7" s="51" t="s">
        <v>298</v>
      </c>
      <c r="E7" s="51"/>
      <c r="F7" s="51"/>
      <c r="G7" s="51"/>
      <c r="H7" s="51"/>
      <c r="I7" s="51"/>
      <c r="J7" s="52"/>
    </row>
    <row r="8" spans="2:18" x14ac:dyDescent="0.25">
      <c r="C8" t="s">
        <v>302</v>
      </c>
    </row>
    <row r="9" spans="2:18" x14ac:dyDescent="0.25">
      <c r="C9" t="s">
        <v>303</v>
      </c>
    </row>
    <row r="11" spans="2:18" x14ac:dyDescent="0.25">
      <c r="B11" s="54" t="s">
        <v>304</v>
      </c>
    </row>
    <row r="12" spans="2:18" x14ac:dyDescent="0.25">
      <c r="F12" s="54" t="s">
        <v>305</v>
      </c>
      <c r="G12" s="54" t="s">
        <v>332</v>
      </c>
      <c r="H12" s="54" t="s">
        <v>333</v>
      </c>
      <c r="I12" s="54" t="s">
        <v>334</v>
      </c>
      <c r="K12" s="65"/>
      <c r="L12" s="65"/>
      <c r="M12" s="65"/>
      <c r="N12" s="65"/>
      <c r="O12" s="65"/>
      <c r="P12" s="65"/>
      <c r="Q12" s="65"/>
      <c r="R12" s="65"/>
    </row>
    <row r="13" spans="2:18" x14ac:dyDescent="0.25">
      <c r="C13" s="54" t="s">
        <v>305</v>
      </c>
      <c r="F13" s="49">
        <v>2015</v>
      </c>
      <c r="G13" s="49">
        <v>2015</v>
      </c>
      <c r="H13" s="49">
        <v>2015</v>
      </c>
      <c r="I13" s="49">
        <v>2015</v>
      </c>
      <c r="K13" s="65"/>
      <c r="L13" s="65"/>
      <c r="M13" s="65"/>
      <c r="N13" s="65"/>
      <c r="O13" s="65"/>
      <c r="P13" s="65"/>
      <c r="Q13" s="65"/>
      <c r="R13" s="65"/>
    </row>
    <row r="14" spans="2:18" x14ac:dyDescent="0.25">
      <c r="C14" s="92"/>
      <c r="D14" s="93" t="s">
        <v>335</v>
      </c>
      <c r="E14" s="93"/>
      <c r="F14" s="94">
        <f>F21*$F$56+F22*$F$57+F25*$F$58+F26*$F$59+F29*$F$60+F31*$F$61</f>
        <v>0.48408825208780237</v>
      </c>
      <c r="G14" s="94">
        <f t="shared" ref="G14:I14" si="0">G21*$F$56+G22*$F$57+G25*$F$58+G26*$F$59+G29*$F$60+G31*$F$61</f>
        <v>3.289969560129858E-2</v>
      </c>
      <c r="H14" s="94">
        <f t="shared" si="0"/>
        <v>3.1168119724676077E-2</v>
      </c>
      <c r="I14" s="94">
        <f t="shared" si="0"/>
        <v>2.7145706215911322E-2</v>
      </c>
      <c r="J14" s="94"/>
      <c r="K14" s="106"/>
      <c r="L14" s="98"/>
      <c r="M14" s="106"/>
      <c r="N14" s="106"/>
      <c r="O14" s="106"/>
      <c r="P14" s="106"/>
      <c r="Q14" s="98"/>
      <c r="R14" s="107"/>
    </row>
    <row r="15" spans="2:18" x14ac:dyDescent="0.25">
      <c r="C15" s="92"/>
      <c r="D15" s="95" t="s">
        <v>336</v>
      </c>
      <c r="E15" s="95"/>
      <c r="F15" s="96">
        <f>F21*$F$56+F26*$F$59+F29*$F$60</f>
        <v>0.48408825208780237</v>
      </c>
      <c r="G15" s="96">
        <f t="shared" ref="G15:I15" si="1">G21*$F$56+G26*$F$59+G29*$F$60</f>
        <v>3.1705756279642443E-2</v>
      </c>
      <c r="H15" s="96">
        <f t="shared" si="1"/>
        <v>3.1088419559935597E-2</v>
      </c>
      <c r="I15" s="96">
        <f t="shared" si="1"/>
        <v>2.7026155968800602E-2</v>
      </c>
      <c r="J15" s="96"/>
      <c r="K15" s="96"/>
      <c r="L15" s="96"/>
      <c r="M15" s="96"/>
      <c r="N15" s="96"/>
      <c r="O15" s="96"/>
      <c r="P15" s="96"/>
      <c r="Q15" s="96"/>
      <c r="R15" s="107"/>
    </row>
    <row r="16" spans="2:18" x14ac:dyDescent="0.25">
      <c r="C16" s="92"/>
      <c r="D16" s="95" t="s">
        <v>342</v>
      </c>
      <c r="E16" s="95"/>
      <c r="F16" s="114">
        <f>F21*$D$47+F21*$F$47+F26*$D$48+F26*$F$48+F29*$D$49+F29*$F$49</f>
        <v>9.3699086641058473E-4</v>
      </c>
      <c r="G16" s="114">
        <f t="shared" ref="G16:I16" si="2">G21*$D$47+G21*$F$47+G26*$D$48+G26*$F$48+G29*$D$49+G29*$F$49</f>
        <v>6.8495433205292345E-5</v>
      </c>
      <c r="H16" s="114">
        <f t="shared" si="2"/>
        <v>6.7236875800256079E-5</v>
      </c>
      <c r="I16" s="114">
        <f t="shared" si="2"/>
        <v>5.834571062740076E-5</v>
      </c>
      <c r="J16" s="114"/>
      <c r="K16" s="97"/>
      <c r="L16" s="97"/>
      <c r="M16" s="97"/>
      <c r="N16" s="97"/>
      <c r="O16" s="97"/>
      <c r="P16" s="97"/>
      <c r="Q16" s="97"/>
      <c r="R16" s="107"/>
    </row>
    <row r="17" spans="2:38" x14ac:dyDescent="0.25">
      <c r="C17" s="92" t="s">
        <v>337</v>
      </c>
      <c r="D17" s="95"/>
      <c r="E17" s="95"/>
      <c r="F17" s="114">
        <f>F20*$F$57+F22*$F$57+F25*$F$58+F28*$F$57+F31*$F$57</f>
        <v>1.7932537066607823E-3</v>
      </c>
      <c r="G17" s="114">
        <f t="shared" ref="G17:I17" si="3">G20*$F$57+G22*$F$57+G25*$F$58+G28*$F$57+G31*$F$57</f>
        <v>1.1955024711071882E-3</v>
      </c>
      <c r="H17" s="114">
        <f t="shared" si="3"/>
        <v>9.5640197688575063E-4</v>
      </c>
      <c r="I17" s="114">
        <f t="shared" si="3"/>
        <v>1.1556523887369487E-3</v>
      </c>
      <c r="J17" s="114"/>
      <c r="K17" s="97"/>
      <c r="L17" s="97"/>
      <c r="M17" s="97"/>
      <c r="N17" s="97"/>
      <c r="O17" s="97"/>
      <c r="P17" s="97"/>
      <c r="Q17" s="97"/>
      <c r="R17" s="107"/>
    </row>
    <row r="18" spans="2:38" x14ac:dyDescent="0.25">
      <c r="C18" s="92" t="s">
        <v>338</v>
      </c>
      <c r="D18" s="95"/>
      <c r="E18" s="95"/>
      <c r="F18" s="114">
        <f>F20*$D$50+F20*$F$50+F22*$D$47+F22*$F$47+F25*$D$49+F25*$F$49+F28*$D$47+F28*$F$47+F31*$D$51+F31*$F$51</f>
        <v>2.4702005975245413E-5</v>
      </c>
      <c r="G18" s="114">
        <f t="shared" ref="G18:I18" si="4">G20*$D$50+G20*$F$50+G22*$D$47+G22*$F$47+G25*$D$49+G25*$F$49+G28*$D$47+G28*$F$47+G31*$D$51+G31*$F$51</f>
        <v>1.7189586000853607E-5</v>
      </c>
      <c r="H18" s="114">
        <f t="shared" si="4"/>
        <v>1.3578489116517287E-5</v>
      </c>
      <c r="I18" s="114">
        <f t="shared" si="4"/>
        <v>1.6515578318395224E-5</v>
      </c>
      <c r="J18" s="114"/>
      <c r="K18" s="97"/>
      <c r="L18" s="97"/>
      <c r="M18" s="97"/>
      <c r="N18" s="97"/>
      <c r="O18" s="97"/>
      <c r="P18" s="97"/>
      <c r="Q18" s="97"/>
      <c r="R18" s="107"/>
    </row>
    <row r="19" spans="2:38" ht="18" x14ac:dyDescent="0.35">
      <c r="B19" s="54" t="s">
        <v>327</v>
      </c>
      <c r="C19" s="54"/>
      <c r="D19" s="56"/>
      <c r="E19" s="56"/>
      <c r="F19" s="115">
        <f>SUM(F15:F18)</f>
        <v>0.486843198666849</v>
      </c>
      <c r="G19" s="115">
        <f>SUM(G15:G16)</f>
        <v>3.1774251712847736E-2</v>
      </c>
      <c r="H19" s="115">
        <f t="shared" ref="H19:I19" si="5">SUM(H15:H16)</f>
        <v>3.1155656435735854E-2</v>
      </c>
      <c r="I19" s="115">
        <f t="shared" si="5"/>
        <v>2.7084501679428004E-2</v>
      </c>
      <c r="J19" s="115"/>
      <c r="K19" s="90"/>
      <c r="L19" s="90"/>
      <c r="M19" s="90"/>
      <c r="N19" s="90"/>
      <c r="O19" s="90"/>
      <c r="P19" s="90"/>
      <c r="Q19" s="90"/>
      <c r="R19" s="107"/>
    </row>
    <row r="20" spans="2:38" x14ac:dyDescent="0.25">
      <c r="D20" s="49" t="s">
        <v>306</v>
      </c>
      <c r="F20" s="116">
        <v>3.2000000000000002E-3</v>
      </c>
      <c r="G20" s="116">
        <v>0</v>
      </c>
      <c r="H20" s="116">
        <v>1.8E-3</v>
      </c>
      <c r="I20" s="116">
        <v>2.2000000000000001E-3</v>
      </c>
      <c r="J20" s="117"/>
      <c r="K20" s="108"/>
      <c r="L20" s="108"/>
      <c r="M20" s="108"/>
      <c r="N20" s="108"/>
      <c r="O20" s="108"/>
      <c r="P20" s="109"/>
      <c r="Q20" s="109"/>
      <c r="R20" s="110"/>
      <c r="U20" s="60"/>
      <c r="AB20" s="50"/>
      <c r="AC20" s="61"/>
      <c r="AD20" s="61"/>
      <c r="AE20" s="61"/>
      <c r="AF20" s="61"/>
      <c r="AG20" s="61"/>
      <c r="AH20" s="61"/>
      <c r="AI20" s="61"/>
      <c r="AJ20" s="61"/>
    </row>
    <row r="21" spans="2:38" x14ac:dyDescent="0.25">
      <c r="D21" s="49" t="s">
        <v>307</v>
      </c>
      <c r="F21" s="116">
        <v>0.36649999999999999</v>
      </c>
      <c r="G21" s="116">
        <v>2.76E-2</v>
      </c>
      <c r="H21" s="116">
        <v>2.7099999999999999E-2</v>
      </c>
      <c r="I21" s="116">
        <v>2.35E-2</v>
      </c>
      <c r="J21" s="117"/>
      <c r="K21" s="108"/>
      <c r="L21" s="108"/>
      <c r="M21" s="108"/>
      <c r="N21" s="108"/>
      <c r="O21" s="111"/>
      <c r="P21" s="109"/>
      <c r="Q21" s="109"/>
      <c r="R21" s="65"/>
      <c r="S21" s="60"/>
      <c r="U21" s="60"/>
      <c r="AB21" s="50"/>
      <c r="AC21" s="61"/>
      <c r="AD21" s="61"/>
      <c r="AE21" s="61"/>
      <c r="AF21" s="61"/>
      <c r="AG21" s="61"/>
      <c r="AH21" s="61"/>
      <c r="AI21" s="61"/>
      <c r="AJ21" s="61"/>
    </row>
    <row r="22" spans="2:38" x14ac:dyDescent="0.25">
      <c r="D22" s="49" t="s">
        <v>309</v>
      </c>
      <c r="F22" s="116">
        <v>0</v>
      </c>
      <c r="G22" s="116">
        <v>2.9999999999999997E-4</v>
      </c>
      <c r="H22" s="116">
        <v>2.0000000000000001E-4</v>
      </c>
      <c r="I22" s="116">
        <v>2.9999999999999997E-4</v>
      </c>
      <c r="J22" s="117"/>
      <c r="K22" s="108"/>
      <c r="L22" s="108"/>
      <c r="M22" s="108"/>
      <c r="N22" s="108"/>
      <c r="O22" s="111"/>
      <c r="P22" s="109"/>
      <c r="Q22" s="109"/>
      <c r="R22" s="65"/>
      <c r="U22" s="60"/>
      <c r="AB22" s="50"/>
      <c r="AC22" s="61"/>
      <c r="AD22" s="61"/>
      <c r="AE22" s="61"/>
      <c r="AF22" s="61"/>
      <c r="AG22" s="61"/>
      <c r="AH22" s="61"/>
      <c r="AI22" s="61"/>
      <c r="AJ22" s="61"/>
    </row>
    <row r="23" spans="2:38" x14ac:dyDescent="0.25">
      <c r="D23" s="49" t="s">
        <v>311</v>
      </c>
      <c r="F23" s="116">
        <v>0</v>
      </c>
      <c r="G23" s="116">
        <v>0</v>
      </c>
      <c r="H23" s="116">
        <v>0</v>
      </c>
      <c r="I23" s="116">
        <v>0</v>
      </c>
      <c r="J23" s="117"/>
      <c r="K23" s="108"/>
      <c r="L23" s="108"/>
      <c r="M23" s="108"/>
      <c r="N23" s="108"/>
      <c r="O23" s="111"/>
      <c r="P23" s="109"/>
      <c r="Q23" s="109"/>
      <c r="R23" s="65"/>
      <c r="AC23" s="62"/>
      <c r="AD23" s="62"/>
      <c r="AE23" s="62"/>
      <c r="AF23" s="62"/>
      <c r="AG23" s="62"/>
    </row>
    <row r="24" spans="2:38" x14ac:dyDescent="0.25">
      <c r="D24" s="49" t="s">
        <v>312</v>
      </c>
      <c r="F24" s="116">
        <v>0.28649999999999998</v>
      </c>
      <c r="G24" s="116">
        <v>0.83520000000000005</v>
      </c>
      <c r="H24" s="116">
        <v>0.88639999999999997</v>
      </c>
      <c r="I24" s="116">
        <v>0.86299999999999999</v>
      </c>
      <c r="J24" s="117"/>
      <c r="K24" s="108"/>
      <c r="L24" s="108"/>
      <c r="M24" s="108"/>
      <c r="N24" s="108"/>
      <c r="O24" s="111"/>
      <c r="P24" s="109"/>
      <c r="Q24" s="109"/>
      <c r="R24" s="65"/>
      <c r="S24" s="60"/>
      <c r="U24" s="60"/>
      <c r="AC24" s="63"/>
      <c r="AD24" s="63"/>
      <c r="AE24" s="63"/>
      <c r="AF24" s="63"/>
      <c r="AG24" s="63"/>
      <c r="AH24" s="63"/>
      <c r="AI24" s="63"/>
      <c r="AJ24" s="63"/>
    </row>
    <row r="25" spans="2:38" x14ac:dyDescent="0.25">
      <c r="D25" s="49" t="s">
        <v>313</v>
      </c>
      <c r="F25" s="116">
        <v>0</v>
      </c>
      <c r="G25" s="116">
        <v>0</v>
      </c>
      <c r="H25" s="116">
        <v>0</v>
      </c>
      <c r="I25" s="116">
        <v>0</v>
      </c>
      <c r="J25" s="117"/>
      <c r="K25" s="108"/>
      <c r="L25" s="108"/>
      <c r="M25" s="108"/>
      <c r="N25" s="108"/>
      <c r="O25" s="111"/>
      <c r="P25" s="109"/>
      <c r="Q25" s="109"/>
      <c r="R25" s="65"/>
      <c r="S25" s="60"/>
      <c r="U25" s="60"/>
      <c r="AB25" s="50"/>
      <c r="AC25" s="62"/>
      <c r="AD25" s="62"/>
      <c r="AE25" s="62"/>
      <c r="AF25" s="62"/>
      <c r="AG25" s="62"/>
      <c r="AH25" s="62"/>
      <c r="AI25" s="62"/>
      <c r="AJ25" s="62"/>
    </row>
    <row r="26" spans="2:38" x14ac:dyDescent="0.25">
      <c r="D26" s="49" t="s">
        <v>314</v>
      </c>
      <c r="F26" s="116">
        <v>0.29659999999999997</v>
      </c>
      <c r="G26" s="116">
        <v>1.01E-2</v>
      </c>
      <c r="H26" s="116">
        <v>9.7999999999999997E-3</v>
      </c>
      <c r="I26" s="116">
        <v>8.6E-3</v>
      </c>
      <c r="J26" s="117"/>
      <c r="K26" s="108"/>
      <c r="L26" s="108"/>
      <c r="M26" s="108"/>
      <c r="N26" s="108"/>
      <c r="O26" s="111"/>
      <c r="P26" s="109"/>
      <c r="Q26" s="109"/>
      <c r="R26" s="65"/>
      <c r="AB26" s="50"/>
      <c r="AC26" s="62"/>
      <c r="AD26" s="62"/>
      <c r="AE26" s="62"/>
      <c r="AF26" s="62"/>
      <c r="AG26" s="62"/>
      <c r="AH26" s="62"/>
      <c r="AI26" s="62"/>
      <c r="AJ26" s="62"/>
    </row>
    <row r="27" spans="2:38" x14ac:dyDescent="0.25">
      <c r="D27" s="49" t="s">
        <v>315</v>
      </c>
      <c r="F27" s="116">
        <v>5.8999999999999999E-3</v>
      </c>
      <c r="G27" s="116">
        <v>9.8199999999999996E-2</v>
      </c>
      <c r="H27" s="116">
        <v>6.1100000000000002E-2</v>
      </c>
      <c r="I27" s="116">
        <v>0.1018</v>
      </c>
      <c r="J27" s="117"/>
      <c r="K27" s="108"/>
      <c r="L27" s="108"/>
      <c r="M27" s="108"/>
      <c r="N27" s="108"/>
      <c r="O27" s="111"/>
      <c r="P27" s="109"/>
      <c r="Q27" s="109"/>
      <c r="R27" s="65"/>
      <c r="S27" s="60"/>
      <c r="U27" s="60"/>
      <c r="AB27" s="50"/>
      <c r="AC27" s="62"/>
      <c r="AD27" s="62"/>
      <c r="AE27" s="62"/>
      <c r="AF27" s="62"/>
      <c r="AG27" s="62"/>
      <c r="AH27" s="62"/>
      <c r="AI27" s="62"/>
      <c r="AJ27" s="62"/>
    </row>
    <row r="28" spans="2:38" x14ac:dyDescent="0.25">
      <c r="D28" s="49" t="s">
        <v>310</v>
      </c>
      <c r="F28" s="116">
        <v>1.2999999999999999E-3</v>
      </c>
      <c r="G28" s="116">
        <v>4.0000000000000002E-4</v>
      </c>
      <c r="H28" s="116">
        <v>4.0000000000000002E-4</v>
      </c>
      <c r="I28" s="116">
        <v>4.0000000000000002E-4</v>
      </c>
      <c r="J28" s="117"/>
      <c r="K28" s="108"/>
      <c r="L28" s="108"/>
      <c r="M28" s="108"/>
      <c r="N28" s="108"/>
      <c r="O28" s="111"/>
      <c r="P28" s="109"/>
      <c r="Q28" s="109"/>
      <c r="R28" s="65"/>
      <c r="S28" s="60"/>
      <c r="U28" s="60"/>
    </row>
    <row r="29" spans="2:38" x14ac:dyDescent="0.25">
      <c r="D29" s="49" t="s">
        <v>316</v>
      </c>
      <c r="F29" s="116">
        <v>1E-3</v>
      </c>
      <c r="G29" s="116">
        <v>2.0000000000000001E-4</v>
      </c>
      <c r="H29" s="116">
        <v>2.0000000000000001E-4</v>
      </c>
      <c r="I29" s="116">
        <v>2.0000000000000001E-4</v>
      </c>
      <c r="J29" s="117"/>
      <c r="K29" s="108"/>
      <c r="L29" s="108"/>
      <c r="M29" s="108"/>
      <c r="N29" s="108"/>
      <c r="O29" s="111"/>
      <c r="P29" s="109"/>
      <c r="Q29" s="109"/>
      <c r="R29" s="65"/>
      <c r="S29" s="60"/>
      <c r="U29" s="60"/>
      <c r="AE29" s="63"/>
      <c r="AF29" s="63"/>
      <c r="AG29" s="63"/>
      <c r="AH29" s="63"/>
      <c r="AI29" s="63"/>
      <c r="AJ29" s="63"/>
      <c r="AK29" s="63"/>
      <c r="AL29" s="63"/>
    </row>
    <row r="30" spans="2:38" x14ac:dyDescent="0.25">
      <c r="D30" s="49" t="s">
        <v>317</v>
      </c>
      <c r="F30" s="116">
        <v>0</v>
      </c>
      <c r="G30" s="116">
        <v>0</v>
      </c>
      <c r="H30" s="116">
        <v>0</v>
      </c>
      <c r="I30" s="116">
        <v>0</v>
      </c>
      <c r="J30" s="117"/>
      <c r="K30" s="108"/>
      <c r="L30" s="108"/>
      <c r="M30" s="108"/>
      <c r="N30" s="108"/>
      <c r="O30" s="111"/>
      <c r="P30" s="109"/>
      <c r="Q30" s="109"/>
      <c r="R30" s="65"/>
      <c r="AE30" s="62"/>
      <c r="AF30" s="62"/>
      <c r="AG30" s="62"/>
      <c r="AH30" s="62"/>
      <c r="AI30" s="62"/>
      <c r="AJ30" s="62"/>
      <c r="AK30" s="62"/>
      <c r="AL30" s="62"/>
    </row>
    <row r="31" spans="2:38" x14ac:dyDescent="0.25">
      <c r="D31" s="49" t="s">
        <v>318</v>
      </c>
      <c r="F31" s="57">
        <v>0</v>
      </c>
      <c r="G31" s="57">
        <v>2.3E-3</v>
      </c>
      <c r="H31" s="57">
        <v>0</v>
      </c>
      <c r="I31" s="57">
        <v>0</v>
      </c>
      <c r="J31" s="58"/>
      <c r="K31" s="108"/>
      <c r="L31" s="108"/>
      <c r="M31" s="108"/>
      <c r="N31" s="108"/>
      <c r="O31" s="111"/>
      <c r="P31" s="109"/>
      <c r="Q31" s="109"/>
      <c r="R31" s="65"/>
      <c r="S31" s="60"/>
      <c r="U31" s="60"/>
    </row>
    <row r="32" spans="2:38" x14ac:dyDescent="0.25">
      <c r="D32" s="49" t="s">
        <v>319</v>
      </c>
      <c r="F32" s="57">
        <v>3.9E-2</v>
      </c>
      <c r="G32" s="57">
        <v>2.5700000000000001E-2</v>
      </c>
      <c r="H32" s="57">
        <v>1.2999999999999999E-2</v>
      </c>
      <c r="I32" s="57">
        <v>0</v>
      </c>
      <c r="J32" s="58"/>
      <c r="K32" s="108"/>
      <c r="L32" s="108"/>
      <c r="M32" s="108"/>
      <c r="N32" s="108"/>
      <c r="O32" s="111"/>
      <c r="P32" s="109"/>
      <c r="Q32" s="109"/>
      <c r="R32" s="65"/>
      <c r="U32" s="60"/>
    </row>
    <row r="33" spans="1:22" x14ac:dyDescent="0.25">
      <c r="D33" s="49" t="s">
        <v>320</v>
      </c>
      <c r="F33" s="64">
        <f>SUM(F20:F32)</f>
        <v>0.99999999999999989</v>
      </c>
      <c r="G33" s="57">
        <f>SUM(G20:G32)</f>
        <v>1</v>
      </c>
      <c r="H33" s="57">
        <f t="shared" ref="H33:I33" si="6">SUM(H20:H32)</f>
        <v>1</v>
      </c>
      <c r="I33" s="57">
        <f t="shared" si="6"/>
        <v>1</v>
      </c>
      <c r="J33" s="59"/>
      <c r="K33" s="112"/>
      <c r="L33" s="112"/>
      <c r="M33" s="112"/>
      <c r="N33" s="112"/>
      <c r="O33" s="113"/>
      <c r="P33" s="113"/>
      <c r="Q33" s="113"/>
      <c r="R33" s="65"/>
      <c r="S33" s="60"/>
      <c r="U33" s="60"/>
    </row>
    <row r="34" spans="1:22" x14ac:dyDescent="0.25">
      <c r="K34" s="112"/>
      <c r="L34" s="112"/>
      <c r="M34" s="112"/>
      <c r="N34" s="112"/>
      <c r="O34" s="113"/>
      <c r="P34" s="65"/>
      <c r="Q34" s="65"/>
      <c r="R34" s="65"/>
      <c r="S34" s="60"/>
      <c r="U34" s="60"/>
    </row>
    <row r="35" spans="1:22" x14ac:dyDescent="0.25">
      <c r="C35" s="54"/>
      <c r="F35" s="63"/>
      <c r="G35" s="63"/>
      <c r="H35" s="63"/>
      <c r="I35" s="63"/>
      <c r="K35" s="65"/>
      <c r="L35" s="65"/>
      <c r="M35" s="65"/>
      <c r="N35" s="65"/>
      <c r="O35" s="65"/>
      <c r="P35" s="65"/>
      <c r="Q35" s="65"/>
      <c r="R35" s="65"/>
    </row>
    <row r="36" spans="1:22" x14ac:dyDescent="0.25">
      <c r="C36" s="49" t="s">
        <v>329</v>
      </c>
      <c r="K36" s="106"/>
      <c r="L36" s="98"/>
      <c r="M36" s="98"/>
      <c r="N36" s="98"/>
      <c r="O36" s="98"/>
      <c r="P36" s="98"/>
      <c r="Q36" s="98"/>
      <c r="R36" s="107"/>
    </row>
    <row r="37" spans="1:22" ht="18" x14ac:dyDescent="0.35">
      <c r="C37" s="100"/>
      <c r="D37" s="100" t="s">
        <v>330</v>
      </c>
      <c r="E37" s="100"/>
      <c r="F37" s="101" t="s">
        <v>331</v>
      </c>
      <c r="K37" s="98"/>
      <c r="L37" s="98"/>
      <c r="M37" s="98"/>
      <c r="N37" s="98"/>
      <c r="O37" s="98"/>
      <c r="P37" s="98"/>
      <c r="Q37" s="98"/>
      <c r="R37" s="107"/>
    </row>
    <row r="38" spans="1:22" x14ac:dyDescent="0.25">
      <c r="A38" s="102"/>
      <c r="B38" s="102"/>
      <c r="C38" s="102" t="s">
        <v>307</v>
      </c>
      <c r="D38" s="102">
        <v>0.01</v>
      </c>
      <c r="E38" s="102"/>
      <c r="F38" s="102">
        <v>1.6000000000000001E-3</v>
      </c>
      <c r="G38" s="102" t="s">
        <v>325</v>
      </c>
      <c r="H38" s="102" t="s">
        <v>328</v>
      </c>
      <c r="K38" s="99"/>
      <c r="L38" s="99"/>
      <c r="M38" s="99"/>
      <c r="N38" s="99"/>
      <c r="O38" s="99"/>
      <c r="P38" s="99"/>
      <c r="Q38" s="99"/>
      <c r="R38" s="107"/>
    </row>
    <row r="39" spans="1:22" x14ac:dyDescent="0.25">
      <c r="A39" s="102"/>
      <c r="B39" s="102"/>
      <c r="C39" s="102" t="s">
        <v>314</v>
      </c>
      <c r="D39" s="102">
        <v>1E-3</v>
      </c>
      <c r="E39" s="102"/>
      <c r="F39" s="102">
        <v>1E-4</v>
      </c>
      <c r="G39" s="102" t="s">
        <v>325</v>
      </c>
      <c r="H39" s="102" t="s">
        <v>328</v>
      </c>
      <c r="K39" s="91"/>
      <c r="L39" s="91"/>
      <c r="M39" s="91"/>
      <c r="N39" s="91"/>
      <c r="O39" s="91"/>
      <c r="P39" s="91"/>
      <c r="Q39" s="91"/>
      <c r="R39" s="107"/>
    </row>
    <row r="40" spans="1:22" x14ac:dyDescent="0.25">
      <c r="A40" s="102"/>
      <c r="B40" s="102"/>
      <c r="C40" s="103" t="s">
        <v>316</v>
      </c>
      <c r="D40" s="103">
        <v>3.0000000000000001E-3</v>
      </c>
      <c r="E40" s="103"/>
      <c r="F40" s="103">
        <v>5.9999999999999995E-4</v>
      </c>
      <c r="G40" s="102" t="s">
        <v>325</v>
      </c>
      <c r="H40" s="102" t="s">
        <v>328</v>
      </c>
      <c r="K40" s="108"/>
      <c r="L40" s="108"/>
      <c r="M40" s="108"/>
      <c r="N40" s="108"/>
      <c r="O40" s="108"/>
      <c r="P40" s="109"/>
      <c r="Q40" s="109"/>
      <c r="R40" s="65"/>
    </row>
    <row r="41" spans="1:22" x14ac:dyDescent="0.25">
      <c r="A41" s="102"/>
      <c r="B41" s="102"/>
      <c r="C41" s="103" t="s">
        <v>318</v>
      </c>
      <c r="D41" s="103">
        <v>3.2000000000000001E-2</v>
      </c>
      <c r="E41" s="103"/>
      <c r="F41" s="103">
        <v>4.1999999999999997E-3</v>
      </c>
      <c r="G41" s="102" t="s">
        <v>325</v>
      </c>
      <c r="H41" s="102" t="s">
        <v>328</v>
      </c>
      <c r="K41" s="59"/>
      <c r="L41" s="59"/>
      <c r="M41" s="59"/>
      <c r="N41" s="59"/>
      <c r="O41" s="59"/>
      <c r="P41" s="57"/>
      <c r="Q41" s="57"/>
    </row>
    <row r="42" spans="1:22" x14ac:dyDescent="0.25">
      <c r="A42" s="102"/>
      <c r="B42" s="102"/>
      <c r="C42" s="103" t="s">
        <v>306</v>
      </c>
      <c r="D42" s="103">
        <v>3.2000000000000001E-2</v>
      </c>
      <c r="E42" s="102"/>
      <c r="F42" s="103">
        <v>4.1999999999999997E-3</v>
      </c>
      <c r="G42" s="102" t="s">
        <v>325</v>
      </c>
      <c r="H42" s="102" t="s">
        <v>328</v>
      </c>
      <c r="K42" s="59"/>
      <c r="L42" s="59"/>
      <c r="M42" s="59"/>
      <c r="N42" s="59"/>
      <c r="O42" s="59"/>
      <c r="P42" s="57"/>
      <c r="Q42" s="57"/>
    </row>
    <row r="43" spans="1:22" x14ac:dyDescent="0.25">
      <c r="A43" s="102"/>
      <c r="B43" s="102"/>
      <c r="C43" s="103" t="s">
        <v>339</v>
      </c>
      <c r="D43" s="103">
        <v>3.2000000000000002E-3</v>
      </c>
      <c r="E43" s="102"/>
      <c r="F43" s="103">
        <v>6.3000000000000003E-4</v>
      </c>
      <c r="G43" s="102" t="s">
        <v>325</v>
      </c>
      <c r="H43" s="102" t="s">
        <v>328</v>
      </c>
      <c r="K43" s="59"/>
      <c r="L43" s="59"/>
      <c r="M43" s="59"/>
      <c r="N43" s="59"/>
      <c r="O43" s="59"/>
      <c r="P43" s="57"/>
      <c r="Q43" s="57"/>
    </row>
    <row r="44" spans="1:22" x14ac:dyDescent="0.25">
      <c r="A44" s="102"/>
      <c r="B44" s="102"/>
      <c r="C44" s="103"/>
      <c r="D44" s="103"/>
      <c r="E44" s="103"/>
      <c r="F44" s="103"/>
      <c r="G44" s="102"/>
      <c r="H44" s="102"/>
      <c r="K44" s="59"/>
      <c r="L44" s="59"/>
      <c r="M44" s="59"/>
      <c r="N44" s="59"/>
      <c r="O44" s="59"/>
      <c r="P44" s="57"/>
      <c r="Q44" s="57"/>
    </row>
    <row r="45" spans="1:22" x14ac:dyDescent="0.25">
      <c r="A45" s="102"/>
      <c r="B45" s="102"/>
      <c r="C45" s="103"/>
      <c r="D45" s="103"/>
      <c r="E45" s="103"/>
      <c r="F45" s="103"/>
      <c r="G45" s="102"/>
      <c r="H45" s="102"/>
      <c r="K45" s="59"/>
      <c r="L45" s="59"/>
      <c r="M45" s="59"/>
      <c r="N45" s="59"/>
      <c r="O45" s="59"/>
      <c r="P45" s="57"/>
      <c r="Q45" s="57"/>
    </row>
    <row r="46" spans="1:22" ht="18" x14ac:dyDescent="0.35">
      <c r="A46" s="102"/>
      <c r="B46" s="102"/>
      <c r="C46" s="104"/>
      <c r="D46" s="104" t="s">
        <v>330</v>
      </c>
      <c r="E46" s="104"/>
      <c r="F46" s="105" t="s">
        <v>331</v>
      </c>
      <c r="G46" s="102"/>
      <c r="H46" s="102"/>
      <c r="K46" s="59"/>
      <c r="L46" s="59"/>
      <c r="M46" s="59"/>
      <c r="N46" s="59"/>
      <c r="O46" s="59"/>
      <c r="P46" s="57"/>
      <c r="Q46" s="57"/>
      <c r="V46" s="57"/>
    </row>
    <row r="47" spans="1:22" x14ac:dyDescent="0.25">
      <c r="A47" s="102"/>
      <c r="B47" s="102"/>
      <c r="C47" s="102" t="s">
        <v>307</v>
      </c>
      <c r="D47" s="103">
        <f>D38/1000/1000000/BtuTOkWh*1000*GWPCH4</f>
        <v>7.1702944942381565E-4</v>
      </c>
      <c r="E47" s="102"/>
      <c r="F47" s="102">
        <f t="shared" ref="F47:F52" si="7">F38/1000/1000000/BtuTOkWh*1000*GWPN2O</f>
        <v>1.6935552710200595E-3</v>
      </c>
      <c r="G47" s="102" t="s">
        <v>326</v>
      </c>
      <c r="H47" s="102" t="s">
        <v>340</v>
      </c>
      <c r="K47" s="59"/>
      <c r="L47" s="59"/>
      <c r="M47" s="59"/>
      <c r="N47" s="59"/>
      <c r="O47" s="59"/>
      <c r="P47" s="57"/>
      <c r="Q47" s="57"/>
    </row>
    <row r="48" spans="1:22" x14ac:dyDescent="0.25">
      <c r="A48" s="102"/>
      <c r="B48" s="102"/>
      <c r="C48" s="102" t="s">
        <v>314</v>
      </c>
      <c r="D48" s="103">
        <f t="shared" ref="D48:D52" si="8">D39/1000/1000000/BtuTOkWh*1000*GWPCH4</f>
        <v>7.1702944942381557E-5</v>
      </c>
      <c r="E48" s="102"/>
      <c r="F48" s="102">
        <f t="shared" si="7"/>
        <v>1.0584720443875372E-4</v>
      </c>
      <c r="G48" s="102" t="s">
        <v>326</v>
      </c>
      <c r="H48" s="102"/>
      <c r="K48" s="59"/>
      <c r="L48" s="59"/>
      <c r="M48" s="59"/>
      <c r="N48" s="59"/>
      <c r="O48" s="59"/>
      <c r="P48" s="57"/>
      <c r="Q48" s="57"/>
    </row>
    <row r="49" spans="1:38" x14ac:dyDescent="0.25">
      <c r="A49" s="102"/>
      <c r="B49" s="102"/>
      <c r="C49" s="103" t="s">
        <v>316</v>
      </c>
      <c r="D49" s="103">
        <f t="shared" si="8"/>
        <v>2.1510883482714468E-4</v>
      </c>
      <c r="E49" s="103"/>
      <c r="F49" s="102">
        <f t="shared" si="7"/>
        <v>6.3508322663252236E-4</v>
      </c>
      <c r="G49" s="102" t="s">
        <v>326</v>
      </c>
      <c r="H49" s="102"/>
      <c r="K49" s="59"/>
      <c r="L49" s="59"/>
      <c r="M49" s="59"/>
      <c r="N49" s="59"/>
      <c r="O49" s="59"/>
      <c r="P49" s="57"/>
      <c r="Q49" s="57"/>
    </row>
    <row r="50" spans="1:38" x14ac:dyDescent="0.25">
      <c r="A50" s="102"/>
      <c r="B50" s="103"/>
      <c r="C50" s="103" t="s">
        <v>318</v>
      </c>
      <c r="D50" s="103">
        <f t="shared" si="8"/>
        <v>2.2944942381562098E-3</v>
      </c>
      <c r="E50" s="103"/>
      <c r="F50" s="102">
        <f t="shared" si="7"/>
        <v>4.4455825864276573E-3</v>
      </c>
      <c r="G50" s="102" t="s">
        <v>326</v>
      </c>
      <c r="H50" s="103"/>
      <c r="K50" s="59"/>
      <c r="L50" s="59"/>
      <c r="M50" s="59"/>
      <c r="N50" s="59"/>
      <c r="O50" s="59"/>
      <c r="P50" s="57"/>
      <c r="Q50" s="57"/>
    </row>
    <row r="51" spans="1:38" x14ac:dyDescent="0.25">
      <c r="A51" s="102"/>
      <c r="B51" s="102"/>
      <c r="C51" s="103" t="s">
        <v>306</v>
      </c>
      <c r="D51" s="103">
        <f t="shared" si="8"/>
        <v>2.2944942381562098E-3</v>
      </c>
      <c r="E51" s="103"/>
      <c r="F51" s="102">
        <f t="shared" si="7"/>
        <v>4.4455825864276573E-3</v>
      </c>
      <c r="G51" s="102" t="s">
        <v>326</v>
      </c>
      <c r="H51" s="102"/>
      <c r="K51" s="59"/>
      <c r="L51" s="59"/>
      <c r="M51" s="59"/>
      <c r="N51" s="59"/>
      <c r="O51" s="59"/>
      <c r="P51" s="57"/>
      <c r="Q51" s="57"/>
    </row>
    <row r="52" spans="1:38" x14ac:dyDescent="0.25">
      <c r="A52" s="102"/>
      <c r="B52" s="102"/>
      <c r="C52" s="103" t="s">
        <v>339</v>
      </c>
      <c r="D52" s="103">
        <f t="shared" si="8"/>
        <v>2.2944942381562098E-4</v>
      </c>
      <c r="E52" s="103"/>
      <c r="F52" s="102">
        <f t="shared" si="7"/>
        <v>6.6683738796414864E-4</v>
      </c>
      <c r="G52" s="102" t="s">
        <v>326</v>
      </c>
      <c r="H52" s="102"/>
      <c r="K52" s="59"/>
      <c r="L52" s="59"/>
      <c r="M52" s="59"/>
      <c r="N52" s="59"/>
      <c r="O52" s="59"/>
      <c r="P52" s="57"/>
      <c r="Q52" s="57"/>
    </row>
    <row r="53" spans="1:38" x14ac:dyDescent="0.25">
      <c r="A53" s="102"/>
      <c r="B53" s="102"/>
      <c r="C53" s="103"/>
      <c r="D53" s="103"/>
      <c r="E53" s="103"/>
      <c r="F53" s="103"/>
      <c r="G53" s="102"/>
      <c r="H53" s="102"/>
      <c r="K53" s="64"/>
      <c r="L53" s="64"/>
      <c r="M53" s="64"/>
      <c r="N53" s="64"/>
      <c r="O53" s="64"/>
      <c r="P53" s="64"/>
      <c r="Q53" s="64"/>
    </row>
    <row r="55" spans="1:38" x14ac:dyDescent="0.25">
      <c r="C55" s="54" t="s">
        <v>322</v>
      </c>
      <c r="E55" s="49">
        <v>2015</v>
      </c>
      <c r="F55" s="49">
        <v>2014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E55" s="66"/>
      <c r="AF55" s="66"/>
      <c r="AG55" s="66"/>
      <c r="AH55" s="66"/>
      <c r="AI55" s="66"/>
      <c r="AJ55" s="66"/>
      <c r="AK55" s="66"/>
      <c r="AL55" s="66"/>
    </row>
    <row r="56" spans="1:38" x14ac:dyDescent="0.25">
      <c r="D56" s="67" t="s">
        <v>307</v>
      </c>
      <c r="E56" s="67" t="s">
        <v>341</v>
      </c>
      <c r="F56" s="68">
        <f t="shared" ref="F56" si="9">F75/1.102/F65</f>
        <v>0.99557294519225603</v>
      </c>
      <c r="G56" s="68"/>
      <c r="H56" s="68"/>
      <c r="I56" s="68"/>
      <c r="J56" s="68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E56" s="66"/>
      <c r="AF56" s="66"/>
      <c r="AG56" s="66"/>
      <c r="AH56" s="66"/>
      <c r="AI56" s="66"/>
      <c r="AJ56" s="66"/>
      <c r="AK56" s="66"/>
      <c r="AL56" s="66"/>
    </row>
    <row r="57" spans="1:38" x14ac:dyDescent="0.25">
      <c r="D57" s="49" t="s">
        <v>309</v>
      </c>
      <c r="E57" s="67" t="s">
        <v>341</v>
      </c>
      <c r="F57" s="68">
        <f>F59</f>
        <v>0.39850082370239609</v>
      </c>
      <c r="G57" s="72" t="s">
        <v>343</v>
      </c>
      <c r="H57" s="72"/>
      <c r="I57" s="72"/>
      <c r="J57" s="72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E57" s="66"/>
      <c r="AF57" s="66"/>
      <c r="AG57" s="66"/>
      <c r="AH57" s="66"/>
      <c r="AI57" s="66"/>
      <c r="AJ57" s="66"/>
      <c r="AK57" s="66"/>
      <c r="AL57" s="66"/>
    </row>
    <row r="58" spans="1:38" x14ac:dyDescent="0.25">
      <c r="D58" s="49" t="s">
        <v>321</v>
      </c>
      <c r="E58" s="67" t="s">
        <v>341</v>
      </c>
      <c r="F58" s="68">
        <f t="shared" ref="F58:F61" si="10">+F77/1.102/F67</f>
        <v>0.65603108129941934</v>
      </c>
      <c r="G58" s="69"/>
      <c r="H58" s="69"/>
      <c r="I58" s="69"/>
      <c r="J58" s="69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E58" s="66"/>
      <c r="AF58" s="66"/>
      <c r="AG58" s="66"/>
      <c r="AH58" s="66"/>
      <c r="AI58" s="66"/>
      <c r="AJ58" s="66"/>
      <c r="AK58" s="66"/>
      <c r="AL58" s="66"/>
    </row>
    <row r="59" spans="1:38" ht="14.25" customHeight="1" x14ac:dyDescent="0.25">
      <c r="D59" s="49" t="s">
        <v>308</v>
      </c>
      <c r="E59" s="67" t="s">
        <v>341</v>
      </c>
      <c r="F59" s="68">
        <f t="shared" si="10"/>
        <v>0.39850082370239609</v>
      </c>
      <c r="G59" s="69"/>
      <c r="H59" s="69"/>
      <c r="I59" s="69"/>
      <c r="J59" s="69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E59" s="66"/>
      <c r="AF59" s="66"/>
      <c r="AG59" s="66"/>
      <c r="AH59" s="66"/>
      <c r="AI59" s="66"/>
      <c r="AJ59" s="66"/>
      <c r="AK59" s="66"/>
      <c r="AL59" s="66"/>
    </row>
    <row r="60" spans="1:38" ht="14.25" customHeight="1" x14ac:dyDescent="0.25">
      <c r="D60" s="49" t="s">
        <v>316</v>
      </c>
      <c r="E60" s="67" t="s">
        <v>341</v>
      </c>
      <c r="F60" s="68">
        <f t="shared" si="10"/>
        <v>1.0154233647099025</v>
      </c>
      <c r="G60" s="69"/>
      <c r="H60" s="69"/>
      <c r="I60" s="69"/>
      <c r="J60" s="69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E60" s="66"/>
      <c r="AF60" s="66"/>
      <c r="AG60" s="66"/>
      <c r="AH60" s="66"/>
      <c r="AI60" s="66"/>
      <c r="AJ60" s="66"/>
      <c r="AK60" s="66"/>
      <c r="AL60" s="66"/>
    </row>
    <row r="61" spans="1:38" x14ac:dyDescent="0.25">
      <c r="D61" s="49" t="s">
        <v>318</v>
      </c>
      <c r="E61" s="67" t="s">
        <v>341</v>
      </c>
      <c r="F61" s="68">
        <f t="shared" si="10"/>
        <v>0.46712568458496362</v>
      </c>
      <c r="G61" s="69"/>
      <c r="H61" s="69"/>
      <c r="I61" s="69"/>
      <c r="J61" s="69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E61" s="66"/>
      <c r="AF61" s="66"/>
      <c r="AG61" s="66"/>
      <c r="AH61" s="66"/>
      <c r="AI61" s="66"/>
      <c r="AJ61" s="66"/>
      <c r="AK61" s="66"/>
      <c r="AL61" s="66"/>
    </row>
    <row r="62" spans="1:38" x14ac:dyDescent="0.25">
      <c r="D62" s="67" t="s">
        <v>320</v>
      </c>
      <c r="E62" s="67" t="s">
        <v>341</v>
      </c>
      <c r="F62" s="68"/>
      <c r="G62" s="67"/>
      <c r="H62" s="67"/>
      <c r="I62" s="67"/>
      <c r="J62" s="67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E62" s="66"/>
      <c r="AF62" s="66"/>
      <c r="AG62" s="66"/>
      <c r="AH62" s="66"/>
      <c r="AI62" s="66"/>
      <c r="AJ62" s="66"/>
      <c r="AK62" s="66"/>
      <c r="AL62" s="66"/>
    </row>
    <row r="63" spans="1:38" x14ac:dyDescent="0.25">
      <c r="D63" s="67"/>
      <c r="E63" s="67"/>
      <c r="F63" s="67"/>
      <c r="G63" s="67"/>
      <c r="H63" s="67"/>
      <c r="I63" s="67"/>
      <c r="J63" s="67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E63" s="66"/>
      <c r="AF63" s="66"/>
      <c r="AG63" s="66"/>
      <c r="AH63" s="66"/>
      <c r="AI63" s="66"/>
      <c r="AJ63" s="66"/>
      <c r="AK63" s="66"/>
      <c r="AL63" s="66"/>
    </row>
    <row r="64" spans="1:38" x14ac:dyDescent="0.25">
      <c r="C64" s="54" t="s">
        <v>156</v>
      </c>
      <c r="E64" s="49">
        <v>2015</v>
      </c>
      <c r="F64" s="49">
        <v>2014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E64" s="66"/>
      <c r="AF64" s="66"/>
      <c r="AG64" s="66"/>
      <c r="AH64" s="66"/>
      <c r="AI64" s="66"/>
      <c r="AJ64" s="66"/>
      <c r="AK64" s="66"/>
      <c r="AL64" s="66"/>
    </row>
    <row r="65" spans="3:38" x14ac:dyDescent="0.25">
      <c r="D65" s="67" t="s">
        <v>307</v>
      </c>
      <c r="E65" s="67" t="s">
        <v>341</v>
      </c>
      <c r="F65" s="77">
        <v>14026540</v>
      </c>
      <c r="G65" s="77"/>
      <c r="H65" s="77"/>
      <c r="I65" s="77"/>
      <c r="J65" s="78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E65" s="66"/>
      <c r="AF65" s="66"/>
      <c r="AG65" s="66"/>
      <c r="AH65" s="66"/>
      <c r="AI65" s="66"/>
      <c r="AJ65" s="66"/>
      <c r="AK65" s="66"/>
      <c r="AL65" s="66"/>
    </row>
    <row r="66" spans="3:38" x14ac:dyDescent="0.25">
      <c r="D66" s="49" t="s">
        <v>309</v>
      </c>
      <c r="E66" s="67" t="s">
        <v>341</v>
      </c>
      <c r="F66" s="118"/>
      <c r="G66" s="81" t="s">
        <v>341</v>
      </c>
      <c r="H66" s="81"/>
      <c r="I66" s="81"/>
      <c r="J66" s="82"/>
      <c r="L66" s="54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E66" s="66"/>
      <c r="AF66" s="66"/>
      <c r="AG66" s="66"/>
      <c r="AH66" s="66"/>
      <c r="AI66" s="66"/>
      <c r="AJ66" s="66"/>
      <c r="AK66" s="66"/>
      <c r="AL66" s="66"/>
    </row>
    <row r="67" spans="3:38" x14ac:dyDescent="0.25">
      <c r="D67" s="49" t="s">
        <v>321</v>
      </c>
      <c r="E67" s="67" t="s">
        <v>341</v>
      </c>
      <c r="F67" s="81">
        <v>104431</v>
      </c>
      <c r="G67" s="81"/>
      <c r="H67" s="81"/>
      <c r="I67" s="81"/>
      <c r="J67" s="84"/>
      <c r="K67" s="68"/>
      <c r="L67" s="69"/>
      <c r="M67" s="70"/>
      <c r="N67" s="70"/>
      <c r="O67" s="70"/>
      <c r="P67" s="70"/>
      <c r="Q67" s="70"/>
      <c r="R67" s="71"/>
      <c r="S67" s="71"/>
      <c r="T67" s="71"/>
      <c r="U67" s="71"/>
      <c r="V67" s="71"/>
      <c r="W67" s="71"/>
      <c r="X67" s="71"/>
      <c r="Y67" s="65"/>
      <c r="Z67" s="65"/>
      <c r="AA67" s="65"/>
      <c r="AB67" s="65"/>
    </row>
    <row r="68" spans="3:38" x14ac:dyDescent="0.25">
      <c r="D68" s="49" t="s">
        <v>308</v>
      </c>
      <c r="E68" s="67" t="s">
        <v>341</v>
      </c>
      <c r="F68" s="81">
        <v>10442484</v>
      </c>
      <c r="G68" s="81"/>
      <c r="H68" s="81"/>
      <c r="I68" s="81"/>
      <c r="J68" s="84"/>
      <c r="K68" s="72"/>
      <c r="L68" s="69"/>
      <c r="M68" s="70"/>
      <c r="N68" s="70"/>
      <c r="O68" s="70"/>
      <c r="P68" s="70"/>
      <c r="Q68" s="70"/>
      <c r="R68" s="71"/>
      <c r="S68" s="71"/>
      <c r="T68" s="71"/>
      <c r="U68" s="71"/>
      <c r="V68" s="71"/>
      <c r="W68" s="71"/>
      <c r="X68" s="71"/>
      <c r="Y68" s="65"/>
      <c r="Z68" s="65"/>
      <c r="AA68" s="65"/>
      <c r="AB68" s="65"/>
    </row>
    <row r="69" spans="3:38" x14ac:dyDescent="0.25">
      <c r="D69" s="49" t="s">
        <v>316</v>
      </c>
      <c r="E69" s="67" t="s">
        <v>341</v>
      </c>
      <c r="F69" s="81">
        <v>59674</v>
      </c>
      <c r="G69" s="81"/>
      <c r="H69" s="81"/>
      <c r="I69" s="81"/>
      <c r="J69" s="84"/>
      <c r="K69" s="72"/>
      <c r="L69" s="69"/>
      <c r="M69" s="70"/>
      <c r="N69" s="70"/>
      <c r="O69" s="70"/>
      <c r="P69" s="70"/>
      <c r="Q69" s="70"/>
      <c r="R69" s="71"/>
      <c r="S69" s="71"/>
      <c r="T69" s="71"/>
      <c r="U69" s="71"/>
      <c r="V69" s="71"/>
      <c r="W69" s="71"/>
      <c r="X69" s="71"/>
      <c r="Y69" s="65"/>
      <c r="Z69" s="65"/>
      <c r="AA69" s="65"/>
      <c r="AB69" s="65"/>
    </row>
    <row r="70" spans="3:38" x14ac:dyDescent="0.25">
      <c r="D70" s="49" t="s">
        <v>318</v>
      </c>
      <c r="E70" s="67" t="s">
        <v>341</v>
      </c>
      <c r="F70" s="81">
        <v>203960</v>
      </c>
      <c r="G70" s="81"/>
      <c r="H70" s="81"/>
      <c r="I70" s="81"/>
      <c r="J70" s="84"/>
      <c r="K70" s="72"/>
      <c r="L70" s="69"/>
      <c r="M70" s="70"/>
      <c r="N70" s="70"/>
      <c r="O70" s="70"/>
      <c r="P70" s="70"/>
      <c r="Q70" s="70"/>
      <c r="R70" s="71"/>
      <c r="S70" s="71"/>
      <c r="T70" s="71"/>
      <c r="U70" s="71"/>
      <c r="V70" s="71"/>
      <c r="W70" s="71"/>
      <c r="X70" s="71"/>
      <c r="Y70" s="65"/>
      <c r="Z70" s="65"/>
      <c r="AA70" s="65"/>
      <c r="AB70" s="65"/>
    </row>
    <row r="71" spans="3:38" x14ac:dyDescent="0.25">
      <c r="D71" s="67" t="s">
        <v>320</v>
      </c>
      <c r="E71" s="67" t="s">
        <v>341</v>
      </c>
      <c r="F71" s="77">
        <f>SUM(F65:F70)</f>
        <v>24837089</v>
      </c>
      <c r="G71" s="77"/>
      <c r="H71" s="77"/>
      <c r="I71" s="77"/>
      <c r="J71" s="77"/>
      <c r="K71" s="72"/>
      <c r="L71" s="69"/>
      <c r="M71" s="70"/>
      <c r="N71" s="70"/>
      <c r="O71" s="70"/>
      <c r="P71" s="70"/>
      <c r="Q71" s="70"/>
      <c r="R71" s="71"/>
      <c r="S71" s="71"/>
      <c r="T71" s="71"/>
      <c r="U71" s="71"/>
      <c r="V71" s="71"/>
      <c r="W71" s="71"/>
      <c r="X71" s="71"/>
      <c r="Y71" s="65"/>
      <c r="Z71" s="65"/>
      <c r="AA71" s="65"/>
      <c r="AB71" s="65"/>
    </row>
    <row r="72" spans="3:38" x14ac:dyDescent="0.25">
      <c r="K72" s="72"/>
      <c r="L72" s="69"/>
      <c r="M72" s="70"/>
      <c r="N72" s="70"/>
      <c r="O72" s="70"/>
      <c r="P72" s="70"/>
      <c r="Q72" s="70"/>
      <c r="R72" s="71"/>
      <c r="S72" s="71"/>
      <c r="T72" s="71"/>
      <c r="U72" s="71"/>
      <c r="V72" s="71"/>
      <c r="W72" s="71"/>
      <c r="X72" s="71"/>
      <c r="Y72" s="65"/>
      <c r="Z72" s="65"/>
      <c r="AA72" s="65"/>
      <c r="AB72" s="65"/>
    </row>
    <row r="73" spans="3:38" x14ac:dyDescent="0.25">
      <c r="C73" s="54" t="s">
        <v>323</v>
      </c>
      <c r="K73" s="73"/>
      <c r="L73" s="74"/>
      <c r="M73" s="73"/>
      <c r="N73" s="73"/>
      <c r="O73" s="71"/>
      <c r="P73" s="75"/>
      <c r="Q73" s="76"/>
      <c r="R73" s="71"/>
      <c r="S73" s="71"/>
      <c r="T73" s="71"/>
      <c r="U73" s="71"/>
      <c r="V73" s="71"/>
      <c r="W73" s="71"/>
      <c r="X73" s="71"/>
      <c r="Y73" s="65"/>
      <c r="Z73" s="65"/>
      <c r="AA73" s="65"/>
      <c r="AB73" s="65"/>
    </row>
    <row r="74" spans="3:38" x14ac:dyDescent="0.25">
      <c r="E74" s="49">
        <v>2015</v>
      </c>
      <c r="F74" s="49">
        <v>2014</v>
      </c>
      <c r="K74" s="73"/>
      <c r="L74" s="74"/>
      <c r="M74" s="73"/>
      <c r="N74" s="73"/>
      <c r="O74" s="71"/>
      <c r="P74" s="75"/>
      <c r="Q74" s="76"/>
      <c r="R74" s="71"/>
      <c r="S74" s="71"/>
      <c r="T74" s="71"/>
      <c r="U74" s="71"/>
      <c r="V74" s="71"/>
      <c r="W74" s="71"/>
      <c r="X74" s="71"/>
      <c r="Y74" s="65"/>
      <c r="Z74" s="65"/>
      <c r="AA74" s="65"/>
      <c r="AB74" s="65"/>
    </row>
    <row r="75" spans="3:38" x14ac:dyDescent="0.25">
      <c r="D75" s="49" t="s">
        <v>307</v>
      </c>
      <c r="E75" s="67" t="s">
        <v>341</v>
      </c>
      <c r="F75" s="82">
        <v>15388817</v>
      </c>
      <c r="G75" s="82"/>
      <c r="H75" s="68"/>
      <c r="I75" s="82"/>
      <c r="J75" s="82"/>
      <c r="L75" s="54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</row>
    <row r="76" spans="3:38" x14ac:dyDescent="0.25">
      <c r="D76" s="49" t="s">
        <v>309</v>
      </c>
      <c r="E76" s="67" t="s">
        <v>341</v>
      </c>
      <c r="F76" s="88" t="s">
        <v>324</v>
      </c>
      <c r="G76" s="88"/>
      <c r="H76" s="72"/>
      <c r="I76" s="88"/>
      <c r="K76" s="79"/>
      <c r="L76" s="80"/>
      <c r="M76" s="73"/>
      <c r="N76" s="73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65"/>
      <c r="Z76" s="65"/>
      <c r="AA76" s="65"/>
      <c r="AB76" s="65"/>
    </row>
    <row r="77" spans="3:38" x14ac:dyDescent="0.25">
      <c r="D77" s="49" t="s">
        <v>321</v>
      </c>
      <c r="E77" s="67" t="s">
        <v>341</v>
      </c>
      <c r="F77" s="82">
        <v>75498</v>
      </c>
      <c r="G77" s="82"/>
      <c r="H77" s="72"/>
      <c r="I77" s="82"/>
      <c r="J77" s="82"/>
      <c r="K77" s="79"/>
      <c r="L77" s="83"/>
      <c r="M77" s="73"/>
      <c r="N77" s="73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65"/>
      <c r="Z77" s="65"/>
      <c r="AA77" s="65"/>
      <c r="AB77" s="65"/>
    </row>
    <row r="78" spans="3:38" x14ac:dyDescent="0.25">
      <c r="D78" s="49" t="s">
        <v>308</v>
      </c>
      <c r="E78" s="67" t="s">
        <v>341</v>
      </c>
      <c r="F78" s="82">
        <v>4585795</v>
      </c>
      <c r="G78" s="82"/>
      <c r="H78" s="72"/>
      <c r="I78" s="82"/>
      <c r="J78" s="82"/>
      <c r="K78" s="85"/>
      <c r="L78" s="80"/>
      <c r="M78" s="73"/>
      <c r="N78" s="73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65"/>
      <c r="Z78" s="65"/>
      <c r="AA78" s="65"/>
      <c r="AB78" s="65"/>
    </row>
    <row r="79" spans="3:38" x14ac:dyDescent="0.25">
      <c r="D79" s="49" t="s">
        <v>316</v>
      </c>
      <c r="E79" s="67" t="s">
        <v>341</v>
      </c>
      <c r="F79" s="82">
        <v>66775</v>
      </c>
      <c r="G79" s="82"/>
      <c r="H79" s="72"/>
      <c r="I79" s="82"/>
      <c r="J79" s="82"/>
      <c r="K79" s="83"/>
      <c r="L79" s="80"/>
      <c r="M79" s="73"/>
      <c r="N79" s="73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65"/>
      <c r="Z79" s="65"/>
      <c r="AA79" s="65"/>
      <c r="AB79" s="65"/>
    </row>
    <row r="80" spans="3:38" x14ac:dyDescent="0.25">
      <c r="D80" s="49" t="s">
        <v>318</v>
      </c>
      <c r="E80" s="67" t="s">
        <v>341</v>
      </c>
      <c r="F80" s="82">
        <v>104993</v>
      </c>
      <c r="G80" s="82"/>
      <c r="H80" s="72"/>
      <c r="I80" s="82"/>
      <c r="J80" s="82"/>
      <c r="K80" s="85"/>
      <c r="L80" s="80"/>
      <c r="M80" s="73"/>
      <c r="N80" s="73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65"/>
      <c r="Z80" s="65"/>
      <c r="AA80" s="65"/>
      <c r="AB80" s="65"/>
    </row>
    <row r="81" spans="3:28" x14ac:dyDescent="0.25">
      <c r="D81" s="67" t="s">
        <v>320</v>
      </c>
      <c r="E81" s="67" t="s">
        <v>341</v>
      </c>
      <c r="F81" s="67"/>
      <c r="G81" s="67"/>
      <c r="H81" s="67"/>
      <c r="I81" s="67"/>
      <c r="J81" s="67"/>
      <c r="K81" s="85"/>
      <c r="L81" s="86"/>
      <c r="M81" s="73"/>
      <c r="N81" s="73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65"/>
      <c r="Z81" s="65"/>
      <c r="AA81" s="65"/>
      <c r="AB81" s="65"/>
    </row>
    <row r="82" spans="3:28" x14ac:dyDescent="0.25">
      <c r="D82" s="67"/>
      <c r="E82" s="67"/>
      <c r="F82" s="67"/>
      <c r="G82" s="67"/>
      <c r="H82" s="67"/>
      <c r="I82" s="67"/>
      <c r="J82" s="67"/>
      <c r="K82" s="77"/>
      <c r="L82" s="77"/>
      <c r="M82" s="73"/>
      <c r="N82" s="73"/>
      <c r="O82" s="71"/>
      <c r="P82" s="75"/>
      <c r="Q82" s="76"/>
      <c r="R82" s="71"/>
      <c r="S82" s="71"/>
      <c r="T82" s="71"/>
      <c r="U82" s="71"/>
      <c r="V82" s="71"/>
      <c r="W82" s="71"/>
      <c r="X82" s="71"/>
      <c r="Y82" s="65"/>
      <c r="Z82" s="65"/>
      <c r="AA82" s="65"/>
      <c r="AB82" s="65"/>
    </row>
    <row r="83" spans="3:28" x14ac:dyDescent="0.25">
      <c r="C83" s="54" t="s">
        <v>156</v>
      </c>
      <c r="E83" s="49">
        <v>2015</v>
      </c>
      <c r="F83" s="49">
        <v>2014</v>
      </c>
      <c r="K83" s="73"/>
      <c r="L83" s="73"/>
      <c r="M83" s="73"/>
      <c r="N83" s="73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65"/>
      <c r="Z83" s="65"/>
      <c r="AA83" s="65"/>
      <c r="AB83" s="65"/>
    </row>
    <row r="84" spans="3:28" x14ac:dyDescent="0.25">
      <c r="D84" s="67" t="s">
        <v>307</v>
      </c>
      <c r="E84" s="67" t="s">
        <v>341</v>
      </c>
      <c r="F84" s="77">
        <v>14026540</v>
      </c>
      <c r="G84" s="77"/>
      <c r="H84" s="77"/>
      <c r="I84" s="77"/>
      <c r="J84" s="78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</row>
    <row r="85" spans="3:28" x14ac:dyDescent="0.25">
      <c r="D85" s="49" t="s">
        <v>309</v>
      </c>
      <c r="E85" s="67" t="s">
        <v>341</v>
      </c>
      <c r="F85" s="81"/>
      <c r="G85" s="81"/>
      <c r="H85" s="81"/>
      <c r="I85" s="81"/>
      <c r="J85" s="82"/>
      <c r="L85" s="54"/>
      <c r="R85" s="65"/>
      <c r="S85" s="73"/>
      <c r="T85" s="73"/>
      <c r="U85" s="73"/>
      <c r="V85" s="73"/>
      <c r="W85" s="73"/>
      <c r="X85" s="73"/>
    </row>
    <row r="86" spans="3:28" x14ac:dyDescent="0.25">
      <c r="D86" s="49" t="s">
        <v>321</v>
      </c>
      <c r="E86" s="67" t="s">
        <v>341</v>
      </c>
      <c r="F86" s="81">
        <v>104431</v>
      </c>
      <c r="G86" s="81"/>
      <c r="H86" s="81"/>
      <c r="I86" s="81"/>
      <c r="J86" s="84"/>
      <c r="K86" s="83"/>
      <c r="L86" s="87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</row>
    <row r="87" spans="3:28" x14ac:dyDescent="0.25">
      <c r="D87" s="49" t="s">
        <v>308</v>
      </c>
      <c r="E87" s="67" t="s">
        <v>341</v>
      </c>
      <c r="F87" s="81">
        <v>10442484</v>
      </c>
      <c r="G87" s="81"/>
      <c r="H87" s="81"/>
      <c r="I87" s="81"/>
      <c r="J87" s="84"/>
      <c r="L87" s="87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</row>
    <row r="88" spans="3:28" x14ac:dyDescent="0.25">
      <c r="D88" s="49" t="s">
        <v>316</v>
      </c>
      <c r="E88" s="67" t="s">
        <v>341</v>
      </c>
      <c r="F88" s="81">
        <v>59674</v>
      </c>
      <c r="G88" s="81"/>
      <c r="H88" s="81"/>
      <c r="I88" s="81"/>
      <c r="J88" s="84"/>
      <c r="K88" s="83"/>
      <c r="L88" s="87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</row>
    <row r="89" spans="3:28" x14ac:dyDescent="0.25">
      <c r="D89" s="49" t="s">
        <v>318</v>
      </c>
      <c r="E89" s="67" t="s">
        <v>341</v>
      </c>
      <c r="F89" s="81">
        <v>203960</v>
      </c>
      <c r="G89" s="81"/>
      <c r="H89" s="81"/>
      <c r="I89" s="81"/>
      <c r="J89" s="84"/>
      <c r="K89" s="83"/>
      <c r="L89" s="87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</row>
    <row r="90" spans="3:28" x14ac:dyDescent="0.25">
      <c r="D90" s="67" t="s">
        <v>320</v>
      </c>
      <c r="E90" s="67" t="s">
        <v>341</v>
      </c>
      <c r="F90" s="77">
        <f>SUM(F84:F89)</f>
        <v>24837089</v>
      </c>
      <c r="G90" s="77"/>
      <c r="H90" s="77"/>
      <c r="I90" s="77"/>
      <c r="J90" s="77"/>
      <c r="K90" s="83"/>
      <c r="L90" s="87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</row>
    <row r="91" spans="3:28" x14ac:dyDescent="0.25">
      <c r="K91" s="83"/>
      <c r="L91" s="87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</row>
    <row r="92" spans="3:28" x14ac:dyDescent="0.25">
      <c r="C92" s="54" t="s">
        <v>323</v>
      </c>
    </row>
    <row r="93" spans="3:28" x14ac:dyDescent="0.25">
      <c r="E93" s="49">
        <v>2015</v>
      </c>
      <c r="F93" s="49">
        <v>2014</v>
      </c>
    </row>
    <row r="94" spans="3:28" x14ac:dyDescent="0.25">
      <c r="D94" s="49" t="s">
        <v>307</v>
      </c>
      <c r="E94" s="67" t="s">
        <v>341</v>
      </c>
      <c r="F94" s="82">
        <v>15388817</v>
      </c>
      <c r="G94" s="82"/>
      <c r="H94" s="68"/>
      <c r="I94" s="82"/>
      <c r="J94" s="82"/>
      <c r="L94" s="74"/>
    </row>
    <row r="95" spans="3:28" x14ac:dyDescent="0.25">
      <c r="D95" s="49" t="s">
        <v>309</v>
      </c>
      <c r="E95" s="67" t="s">
        <v>341</v>
      </c>
      <c r="F95" s="88" t="s">
        <v>324</v>
      </c>
      <c r="G95" s="88"/>
      <c r="H95" s="72"/>
      <c r="I95" s="88"/>
      <c r="L95" s="74"/>
    </row>
    <row r="96" spans="3:28" x14ac:dyDescent="0.25">
      <c r="D96" s="49" t="s">
        <v>321</v>
      </c>
      <c r="E96" s="67" t="s">
        <v>341</v>
      </c>
      <c r="F96" s="82">
        <v>75498</v>
      </c>
      <c r="G96" s="82"/>
      <c r="H96" s="72"/>
      <c r="I96" s="82"/>
      <c r="J96" s="82"/>
      <c r="L96" s="74"/>
    </row>
    <row r="97" spans="4:12" x14ac:dyDescent="0.25">
      <c r="D97" s="49" t="s">
        <v>308</v>
      </c>
      <c r="E97" s="67" t="s">
        <v>341</v>
      </c>
      <c r="F97" s="82">
        <v>4585795</v>
      </c>
      <c r="G97" s="82"/>
      <c r="H97" s="72"/>
      <c r="I97" s="82"/>
      <c r="J97" s="82"/>
      <c r="L97" s="74"/>
    </row>
    <row r="98" spans="4:12" x14ac:dyDescent="0.25">
      <c r="D98" s="49" t="s">
        <v>316</v>
      </c>
      <c r="E98" s="67" t="s">
        <v>341</v>
      </c>
      <c r="F98" s="82">
        <v>66775</v>
      </c>
      <c r="G98" s="82"/>
      <c r="H98" s="72"/>
      <c r="I98" s="82"/>
      <c r="J98" s="82"/>
      <c r="L98" s="74"/>
    </row>
    <row r="99" spans="4:12" x14ac:dyDescent="0.25">
      <c r="D99" s="49" t="s">
        <v>318</v>
      </c>
      <c r="E99" s="67" t="s">
        <v>341</v>
      </c>
      <c r="F99" s="82">
        <v>104993</v>
      </c>
      <c r="G99" s="82"/>
      <c r="H99" s="72"/>
      <c r="I99" s="82"/>
      <c r="J99" s="82"/>
      <c r="L99" s="74"/>
    </row>
    <row r="100" spans="4:12" x14ac:dyDescent="0.25">
      <c r="L100" s="74"/>
    </row>
    <row r="101" spans="4:12" x14ac:dyDescent="0.25">
      <c r="L101" s="74"/>
    </row>
    <row r="102" spans="4:12" x14ac:dyDescent="0.25">
      <c r="L102" s="74"/>
    </row>
    <row r="103" spans="4:12" x14ac:dyDescent="0.25">
      <c r="L103" s="74"/>
    </row>
    <row r="104" spans="4:12" x14ac:dyDescent="0.25">
      <c r="L104" s="74"/>
    </row>
    <row r="105" spans="4:12" x14ac:dyDescent="0.25">
      <c r="L105" s="74"/>
    </row>
    <row r="106" spans="4:12" x14ac:dyDescent="0.25">
      <c r="L106" s="74"/>
    </row>
    <row r="107" spans="4:12" x14ac:dyDescent="0.25">
      <c r="L107" s="74"/>
    </row>
    <row r="108" spans="4:12" x14ac:dyDescent="0.25">
      <c r="L108" s="74"/>
    </row>
    <row r="109" spans="4:12" x14ac:dyDescent="0.25">
      <c r="L109" s="74"/>
    </row>
    <row r="110" spans="4:12" x14ac:dyDescent="0.25">
      <c r="L110" s="74"/>
    </row>
    <row r="111" spans="4:12" x14ac:dyDescent="0.25">
      <c r="L111" s="74"/>
    </row>
    <row r="115" spans="12:13" x14ac:dyDescent="0.25">
      <c r="L115" s="89"/>
    </row>
    <row r="116" spans="12:13" x14ac:dyDescent="0.25">
      <c r="L116" s="89"/>
    </row>
    <row r="117" spans="12:13" x14ac:dyDescent="0.25">
      <c r="L117" s="89"/>
      <c r="M117"/>
    </row>
    <row r="118" spans="12:13" x14ac:dyDescent="0.25">
      <c r="L118" s="89"/>
    </row>
  </sheetData>
  <hyperlinks>
    <hyperlink ref="D3" r:id="rId1"/>
    <hyperlink ref="D7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pane ySplit="3" topLeftCell="A87" activePane="bottomLeft" state="frozen"/>
      <selection activeCell="F46" sqref="F46"/>
      <selection pane="bottomLeft" activeCell="D101" sqref="D101"/>
    </sheetView>
  </sheetViews>
  <sheetFormatPr defaultColWidth="8.85546875" defaultRowHeight="12" x14ac:dyDescent="0.2"/>
  <cols>
    <col min="1" max="2" width="14.7109375" style="3" customWidth="1"/>
    <col min="3" max="3" width="24.7109375" style="3" customWidth="1"/>
    <col min="4" max="4" width="12.7109375" style="3" customWidth="1"/>
    <col min="5" max="5" width="40.7109375" style="4" customWidth="1"/>
    <col min="6" max="6" width="12.7109375" style="3" customWidth="1"/>
    <col min="7" max="7" width="8.85546875" style="3"/>
    <col min="8" max="8" width="10.7109375" style="3" customWidth="1"/>
    <col min="9" max="16384" width="8.85546875" style="3"/>
  </cols>
  <sheetData>
    <row r="1" spans="1:9" ht="27.75" customHeight="1" x14ac:dyDescent="0.2">
      <c r="A1" s="1" t="s">
        <v>0</v>
      </c>
      <c r="B1" s="2"/>
    </row>
    <row r="2" spans="1:9" x14ac:dyDescent="0.2">
      <c r="A2" s="5" t="s">
        <v>1</v>
      </c>
      <c r="B2" s="5"/>
      <c r="D2" s="6" t="s">
        <v>2</v>
      </c>
      <c r="E2" s="7"/>
    </row>
    <row r="3" spans="1:9" x14ac:dyDescent="0.2">
      <c r="A3" s="8" t="s">
        <v>3</v>
      </c>
      <c r="B3" s="8" t="s">
        <v>4</v>
      </c>
      <c r="C3" s="9" t="s">
        <v>5</v>
      </c>
      <c r="D3" s="8" t="s">
        <v>6</v>
      </c>
      <c r="E3" s="7" t="s">
        <v>7</v>
      </c>
    </row>
    <row r="5" spans="1:9" s="11" customFormat="1" x14ac:dyDescent="0.2">
      <c r="A5" s="10"/>
      <c r="B5" s="10"/>
      <c r="C5" s="10" t="s">
        <v>8</v>
      </c>
      <c r="D5" s="10"/>
      <c r="E5" s="4"/>
      <c r="F5" s="3"/>
      <c r="G5" s="3"/>
      <c r="H5" s="3"/>
      <c r="I5" s="3"/>
    </row>
    <row r="6" spans="1:9" x14ac:dyDescent="0.2">
      <c r="A6" s="3" t="s">
        <v>9</v>
      </c>
      <c r="B6" s="3" t="s">
        <v>10</v>
      </c>
      <c r="C6" s="3" t="s">
        <v>11</v>
      </c>
      <c r="D6" s="12">
        <f>1/D8</f>
        <v>0.39370078740157477</v>
      </c>
    </row>
    <row r="7" spans="1:9" x14ac:dyDescent="0.2">
      <c r="A7" s="3" t="s">
        <v>12</v>
      </c>
      <c r="B7" s="3" t="s">
        <v>13</v>
      </c>
      <c r="C7" s="3" t="s">
        <v>14</v>
      </c>
      <c r="D7" s="13">
        <v>0.30480000000000002</v>
      </c>
    </row>
    <row r="8" spans="1:9" x14ac:dyDescent="0.2">
      <c r="A8" s="3" t="s">
        <v>10</v>
      </c>
      <c r="B8" s="3" t="s">
        <v>9</v>
      </c>
      <c r="C8" s="3" t="s">
        <v>15</v>
      </c>
      <c r="D8" s="14">
        <f>D9/10</f>
        <v>2.54</v>
      </c>
    </row>
    <row r="9" spans="1:9" x14ac:dyDescent="0.2">
      <c r="A9" s="3" t="s">
        <v>10</v>
      </c>
      <c r="B9" s="3" t="s">
        <v>16</v>
      </c>
      <c r="C9" s="3" t="s">
        <v>17</v>
      </c>
      <c r="D9" s="13">
        <v>25.4</v>
      </c>
    </row>
    <row r="10" spans="1:9" x14ac:dyDescent="0.2">
      <c r="A10" s="3" t="s">
        <v>18</v>
      </c>
      <c r="B10" s="3" t="s">
        <v>19</v>
      </c>
      <c r="C10" s="3" t="s">
        <v>20</v>
      </c>
      <c r="D10" s="12">
        <f>1/D11</f>
        <v>0.62150403977625857</v>
      </c>
    </row>
    <row r="11" spans="1:9" x14ac:dyDescent="0.2">
      <c r="A11" s="3" t="s">
        <v>19</v>
      </c>
      <c r="B11" s="3" t="s">
        <v>18</v>
      </c>
      <c r="C11" s="3" t="s">
        <v>21</v>
      </c>
      <c r="D11" s="13">
        <v>1.609</v>
      </c>
    </row>
    <row r="12" spans="1:9" x14ac:dyDescent="0.2">
      <c r="A12" s="3" t="s">
        <v>16</v>
      </c>
      <c r="B12" s="3" t="s">
        <v>10</v>
      </c>
      <c r="C12" s="3" t="s">
        <v>22</v>
      </c>
      <c r="D12" s="15">
        <f>1/D9</f>
        <v>3.937007874015748E-2</v>
      </c>
    </row>
    <row r="14" spans="1:9" x14ac:dyDescent="0.2">
      <c r="A14" s="10"/>
      <c r="B14" s="10"/>
      <c r="C14" s="10" t="s">
        <v>23</v>
      </c>
      <c r="D14" s="10"/>
    </row>
    <row r="15" spans="1:9" x14ac:dyDescent="0.2">
      <c r="A15" s="3" t="s">
        <v>24</v>
      </c>
      <c r="B15" s="3" t="s">
        <v>25</v>
      </c>
      <c r="C15" s="3" t="s">
        <v>26</v>
      </c>
      <c r="D15" s="13">
        <v>2.2049999999999999E-3</v>
      </c>
    </row>
    <row r="16" spans="1:9" x14ac:dyDescent="0.2">
      <c r="A16" s="3" t="s">
        <v>27</v>
      </c>
      <c r="B16" s="3" t="s">
        <v>24</v>
      </c>
      <c r="C16" s="3" t="s">
        <v>28</v>
      </c>
      <c r="D16" s="13">
        <v>1000</v>
      </c>
    </row>
    <row r="17" spans="1:9" x14ac:dyDescent="0.2">
      <c r="A17" s="3" t="s">
        <v>27</v>
      </c>
      <c r="B17" s="3" t="s">
        <v>25</v>
      </c>
      <c r="C17" s="3" t="s">
        <v>29</v>
      </c>
      <c r="D17" s="14">
        <f>1/D19</f>
        <v>2.204585537918871</v>
      </c>
    </row>
    <row r="18" spans="1:9" x14ac:dyDescent="0.2">
      <c r="A18" s="3" t="s">
        <v>25</v>
      </c>
      <c r="B18" s="3" t="s">
        <v>24</v>
      </c>
      <c r="C18" s="3" t="s">
        <v>30</v>
      </c>
      <c r="D18" s="16">
        <f>lbTOkg*1000</f>
        <v>453.6</v>
      </c>
    </row>
    <row r="19" spans="1:9" x14ac:dyDescent="0.2">
      <c r="A19" s="3" t="s">
        <v>25</v>
      </c>
      <c r="B19" s="3" t="s">
        <v>27</v>
      </c>
      <c r="C19" s="3" t="s">
        <v>31</v>
      </c>
      <c r="D19" s="13">
        <v>0.4536</v>
      </c>
    </row>
    <row r="20" spans="1:9" x14ac:dyDescent="0.2">
      <c r="A20" s="3" t="s">
        <v>25</v>
      </c>
      <c r="B20" s="3" t="s">
        <v>32</v>
      </c>
      <c r="C20" s="3" t="s">
        <v>33</v>
      </c>
      <c r="D20" s="17">
        <f>lbTOkg/1000</f>
        <v>4.5360000000000002E-4</v>
      </c>
    </row>
    <row r="21" spans="1:9" x14ac:dyDescent="0.2">
      <c r="A21" s="3" t="s">
        <v>25</v>
      </c>
      <c r="B21" s="3" t="s">
        <v>34</v>
      </c>
      <c r="C21" s="3" t="s">
        <v>35</v>
      </c>
      <c r="D21" s="17">
        <f>1/D25</f>
        <v>5.0000000000000001E-4</v>
      </c>
    </row>
    <row r="22" spans="1:9" x14ac:dyDescent="0.2">
      <c r="A22" s="3" t="s">
        <v>32</v>
      </c>
      <c r="B22" s="3" t="s">
        <v>34</v>
      </c>
      <c r="C22" s="3" t="s">
        <v>36</v>
      </c>
      <c r="D22" s="14">
        <f>1/D27</f>
        <v>1.1023170704821534</v>
      </c>
    </row>
    <row r="23" spans="1:9" x14ac:dyDescent="0.2">
      <c r="A23" s="3" t="s">
        <v>25</v>
      </c>
      <c r="B23" s="3" t="s">
        <v>37</v>
      </c>
      <c r="C23" s="3" t="s">
        <v>38</v>
      </c>
      <c r="D23" s="13">
        <v>16</v>
      </c>
    </row>
    <row r="24" spans="1:9" x14ac:dyDescent="0.2">
      <c r="A24" s="3" t="s">
        <v>37</v>
      </c>
      <c r="B24" s="3" t="s">
        <v>27</v>
      </c>
      <c r="C24" s="3" t="s">
        <v>39</v>
      </c>
      <c r="D24" s="18">
        <f>lbTOkg/lbTOoz</f>
        <v>2.835E-2</v>
      </c>
    </row>
    <row r="25" spans="1:9" x14ac:dyDescent="0.2">
      <c r="A25" s="3" t="s">
        <v>34</v>
      </c>
      <c r="B25" s="3" t="s">
        <v>25</v>
      </c>
      <c r="C25" s="3" t="s">
        <v>40</v>
      </c>
      <c r="D25" s="13">
        <v>2000</v>
      </c>
    </row>
    <row r="26" spans="1:9" x14ac:dyDescent="0.2">
      <c r="A26" s="3" t="s">
        <v>34</v>
      </c>
      <c r="B26" s="3" t="s">
        <v>27</v>
      </c>
      <c r="C26" s="3" t="s">
        <v>41</v>
      </c>
      <c r="D26" s="16">
        <f>tonTOMg*1000</f>
        <v>907.18</v>
      </c>
    </row>
    <row r="27" spans="1:9" x14ac:dyDescent="0.2">
      <c r="A27" s="3" t="s">
        <v>34</v>
      </c>
      <c r="B27" s="3" t="s">
        <v>32</v>
      </c>
      <c r="C27" s="3" t="s">
        <v>42</v>
      </c>
      <c r="D27" s="13">
        <v>0.90717999999999999</v>
      </c>
    </row>
    <row r="28" spans="1:9" x14ac:dyDescent="0.2">
      <c r="D28" s="15"/>
    </row>
    <row r="29" spans="1:9" s="19" customFormat="1" x14ac:dyDescent="0.2">
      <c r="A29" s="10"/>
      <c r="B29" s="10"/>
      <c r="C29" s="10" t="s">
        <v>43</v>
      </c>
      <c r="D29" s="10"/>
      <c r="E29" s="4"/>
      <c r="F29" s="3"/>
      <c r="G29" s="3"/>
      <c r="H29" s="3"/>
      <c r="I29" s="3"/>
    </row>
    <row r="30" spans="1:9" x14ac:dyDescent="0.2">
      <c r="A30" s="3" t="s">
        <v>44</v>
      </c>
      <c r="B30" s="3" t="s">
        <v>45</v>
      </c>
      <c r="C30" s="3" t="s">
        <v>46</v>
      </c>
      <c r="D30" s="20">
        <v>1440</v>
      </c>
      <c r="E30" s="4" t="s">
        <v>47</v>
      </c>
    </row>
    <row r="31" spans="1:9" x14ac:dyDescent="0.2">
      <c r="A31" s="3" t="s">
        <v>44</v>
      </c>
      <c r="B31" s="3" t="s">
        <v>48</v>
      </c>
      <c r="C31" s="3" t="s">
        <v>49</v>
      </c>
      <c r="D31" s="21">
        <f>1/D40</f>
        <v>2.7379257474537291E-3</v>
      </c>
    </row>
    <row r="32" spans="1:9" x14ac:dyDescent="0.2">
      <c r="A32" s="3" t="s">
        <v>50</v>
      </c>
      <c r="B32" s="3" t="s">
        <v>44</v>
      </c>
      <c r="C32" s="3" t="s">
        <v>51</v>
      </c>
      <c r="D32" s="22">
        <v>4.1669999999999999E-2</v>
      </c>
    </row>
    <row r="33" spans="1:5" x14ac:dyDescent="0.2">
      <c r="A33" s="3" t="s">
        <v>50</v>
      </c>
      <c r="B33" s="3" t="s">
        <v>52</v>
      </c>
      <c r="C33" s="3" t="s">
        <v>53</v>
      </c>
      <c r="D33" s="13">
        <v>3600</v>
      </c>
    </row>
    <row r="34" spans="1:5" x14ac:dyDescent="0.2">
      <c r="A34" s="3" t="s">
        <v>50</v>
      </c>
      <c r="B34" s="3" t="s">
        <v>48</v>
      </c>
      <c r="C34" s="3" t="s">
        <v>54</v>
      </c>
      <c r="D34" s="17">
        <f>1/D41</f>
        <v>1.1415525114155251E-4</v>
      </c>
    </row>
    <row r="35" spans="1:5" x14ac:dyDescent="0.2">
      <c r="A35" s="3" t="s">
        <v>45</v>
      </c>
      <c r="B35" s="3" t="s">
        <v>44</v>
      </c>
      <c r="C35" s="3" t="s">
        <v>55</v>
      </c>
      <c r="D35" s="3">
        <f>1/dayTOmin</f>
        <v>6.9444444444444447E-4</v>
      </c>
    </row>
    <row r="36" spans="1:5" x14ac:dyDescent="0.2">
      <c r="A36" s="3" t="s">
        <v>56</v>
      </c>
      <c r="B36" s="3" t="s">
        <v>44</v>
      </c>
      <c r="C36" s="3" t="s">
        <v>57</v>
      </c>
      <c r="D36" s="23">
        <f>yrTOday/yrTOmo</f>
        <v>30.436666666666667</v>
      </c>
    </row>
    <row r="37" spans="1:5" x14ac:dyDescent="0.2">
      <c r="A37" s="3" t="s">
        <v>56</v>
      </c>
      <c r="B37" s="3" t="s">
        <v>48</v>
      </c>
      <c r="C37" s="3" t="s">
        <v>58</v>
      </c>
      <c r="D37" s="18">
        <f>1/yrTOmo</f>
        <v>8.3333333333333329E-2</v>
      </c>
    </row>
    <row r="38" spans="1:5" x14ac:dyDescent="0.2">
      <c r="A38" s="3" t="s">
        <v>52</v>
      </c>
      <c r="B38" s="3" t="s">
        <v>44</v>
      </c>
      <c r="C38" s="3" t="s">
        <v>59</v>
      </c>
      <c r="D38" s="24">
        <v>1.1574E-5</v>
      </c>
      <c r="E38" s="25"/>
    </row>
    <row r="39" spans="1:5" x14ac:dyDescent="0.2">
      <c r="A39" s="3" t="s">
        <v>52</v>
      </c>
      <c r="B39" s="3" t="s">
        <v>50</v>
      </c>
      <c r="C39" s="3" t="s">
        <v>60</v>
      </c>
      <c r="D39" s="17">
        <f>1/D33</f>
        <v>2.7777777777777778E-4</v>
      </c>
    </row>
    <row r="40" spans="1:5" x14ac:dyDescent="0.2">
      <c r="A40" s="3" t="s">
        <v>48</v>
      </c>
      <c r="B40" s="3" t="s">
        <v>44</v>
      </c>
      <c r="C40" s="3" t="s">
        <v>61</v>
      </c>
      <c r="D40" s="26">
        <v>365.24</v>
      </c>
      <c r="E40" s="4" t="s">
        <v>47</v>
      </c>
    </row>
    <row r="41" spans="1:5" x14ac:dyDescent="0.2">
      <c r="A41" s="3" t="s">
        <v>48</v>
      </c>
      <c r="B41" s="3" t="s">
        <v>50</v>
      </c>
      <c r="C41" s="3" t="s">
        <v>62</v>
      </c>
      <c r="D41" s="13">
        <v>8760</v>
      </c>
    </row>
    <row r="42" spans="1:5" x14ac:dyDescent="0.2">
      <c r="A42" s="3" t="s">
        <v>48</v>
      </c>
      <c r="B42" s="3" t="s">
        <v>56</v>
      </c>
      <c r="C42" s="3" t="s">
        <v>63</v>
      </c>
      <c r="D42" s="13">
        <v>12</v>
      </c>
      <c r="E42" s="4" t="s">
        <v>47</v>
      </c>
    </row>
    <row r="44" spans="1:5" x14ac:dyDescent="0.2">
      <c r="A44" s="10"/>
      <c r="B44" s="10"/>
      <c r="C44" s="10" t="s">
        <v>64</v>
      </c>
      <c r="D44" s="10"/>
    </row>
    <row r="45" spans="1:5" x14ac:dyDescent="0.2">
      <c r="A45" s="3" t="s">
        <v>65</v>
      </c>
      <c r="B45" s="3" t="s">
        <v>66</v>
      </c>
      <c r="C45" s="3" t="s">
        <v>67</v>
      </c>
      <c r="D45" s="13">
        <v>43560</v>
      </c>
    </row>
    <row r="46" spans="1:5" x14ac:dyDescent="0.2">
      <c r="A46" s="3" t="s">
        <v>65</v>
      </c>
      <c r="B46" s="3" t="s">
        <v>68</v>
      </c>
      <c r="C46" s="3" t="s">
        <v>69</v>
      </c>
      <c r="D46" s="13">
        <v>0.40468700000000002</v>
      </c>
    </row>
    <row r="47" spans="1:5" x14ac:dyDescent="0.2">
      <c r="A47" s="3" t="s">
        <v>65</v>
      </c>
      <c r="B47" s="3" t="s">
        <v>70</v>
      </c>
      <c r="C47" s="3" t="s">
        <v>71</v>
      </c>
      <c r="D47" s="13">
        <v>4.0468600000000002E-3</v>
      </c>
    </row>
    <row r="48" spans="1:5" x14ac:dyDescent="0.2">
      <c r="A48" s="3" t="s">
        <v>65</v>
      </c>
      <c r="B48" s="3" t="s">
        <v>72</v>
      </c>
      <c r="C48" s="3" t="s">
        <v>73</v>
      </c>
      <c r="D48" s="13">
        <v>4046.856421</v>
      </c>
    </row>
    <row r="49" spans="1:5" x14ac:dyDescent="0.2">
      <c r="A49" s="3" t="s">
        <v>65</v>
      </c>
      <c r="B49" s="3" t="s">
        <v>74</v>
      </c>
      <c r="C49" s="3" t="s">
        <v>75</v>
      </c>
      <c r="D49" s="13">
        <v>1.5625000000000001E-3</v>
      </c>
    </row>
    <row r="50" spans="1:5" x14ac:dyDescent="0.2">
      <c r="A50" s="3" t="s">
        <v>66</v>
      </c>
      <c r="B50" s="3" t="s">
        <v>72</v>
      </c>
      <c r="C50" s="3" t="s">
        <v>76</v>
      </c>
      <c r="D50" s="13">
        <v>9.2899999999999996E-2</v>
      </c>
    </row>
    <row r="51" spans="1:5" x14ac:dyDescent="0.2">
      <c r="A51" s="3" t="s">
        <v>66</v>
      </c>
      <c r="B51" s="3" t="s">
        <v>77</v>
      </c>
      <c r="C51" s="3" t="s">
        <v>78</v>
      </c>
      <c r="D51" s="27">
        <f>1/D61</f>
        <v>0.1111111111111111</v>
      </c>
    </row>
    <row r="52" spans="1:5" x14ac:dyDescent="0.2">
      <c r="A52" s="3" t="s">
        <v>68</v>
      </c>
      <c r="B52" s="3" t="s">
        <v>65</v>
      </c>
      <c r="C52" s="3" t="s">
        <v>79</v>
      </c>
      <c r="D52" s="14">
        <f>1/D46</f>
        <v>2.4710455240716898</v>
      </c>
    </row>
    <row r="53" spans="1:5" x14ac:dyDescent="0.2">
      <c r="A53" s="3" t="s">
        <v>68</v>
      </c>
      <c r="B53" s="3" t="s">
        <v>70</v>
      </c>
      <c r="C53" s="3" t="s">
        <v>80</v>
      </c>
      <c r="D53" s="26">
        <v>0.01</v>
      </c>
      <c r="E53" s="4" t="s">
        <v>47</v>
      </c>
    </row>
    <row r="54" spans="1:5" x14ac:dyDescent="0.2">
      <c r="A54" s="3" t="s">
        <v>70</v>
      </c>
      <c r="B54" s="3" t="s">
        <v>65</v>
      </c>
      <c r="C54" s="3" t="s">
        <v>81</v>
      </c>
      <c r="D54" s="16">
        <f>1/acreTOkm2</f>
        <v>247.10516301527602</v>
      </c>
    </row>
    <row r="55" spans="1:5" x14ac:dyDescent="0.2">
      <c r="A55" s="3" t="s">
        <v>70</v>
      </c>
      <c r="B55" s="3" t="s">
        <v>72</v>
      </c>
      <c r="C55" s="3" t="s">
        <v>82</v>
      </c>
      <c r="D55" s="28">
        <v>1000000</v>
      </c>
    </row>
    <row r="56" spans="1:5" x14ac:dyDescent="0.2">
      <c r="A56" s="3" t="s">
        <v>70</v>
      </c>
      <c r="B56" s="3" t="s">
        <v>74</v>
      </c>
      <c r="C56" s="3" t="s">
        <v>83</v>
      </c>
      <c r="D56" s="29">
        <v>0.3861</v>
      </c>
    </row>
    <row r="57" spans="1:5" x14ac:dyDescent="0.2">
      <c r="A57" s="3" t="s">
        <v>72</v>
      </c>
      <c r="B57" s="3" t="s">
        <v>65</v>
      </c>
      <c r="C57" s="3" t="s">
        <v>84</v>
      </c>
      <c r="D57" s="17">
        <f>1/D48</f>
        <v>2.4710538155265082E-4</v>
      </c>
    </row>
    <row r="58" spans="1:5" x14ac:dyDescent="0.2">
      <c r="A58" s="3" t="s">
        <v>72</v>
      </c>
      <c r="B58" s="3" t="s">
        <v>66</v>
      </c>
      <c r="C58" s="3" t="s">
        <v>85</v>
      </c>
      <c r="D58" s="30">
        <f>1/D50</f>
        <v>10.764262648008613</v>
      </c>
    </row>
    <row r="59" spans="1:5" x14ac:dyDescent="0.2">
      <c r="A59" s="3" t="s">
        <v>72</v>
      </c>
      <c r="B59" s="3" t="s">
        <v>70</v>
      </c>
      <c r="C59" s="3" t="s">
        <v>86</v>
      </c>
      <c r="D59" s="24">
        <v>9.9999999999999995E-7</v>
      </c>
    </row>
    <row r="60" spans="1:5" x14ac:dyDescent="0.2">
      <c r="A60" s="3" t="s">
        <v>74</v>
      </c>
      <c r="B60" s="3" t="s">
        <v>65</v>
      </c>
      <c r="C60" s="3" t="s">
        <v>87</v>
      </c>
      <c r="D60" s="31">
        <f>1/D49</f>
        <v>640</v>
      </c>
    </row>
    <row r="61" spans="1:5" x14ac:dyDescent="0.2">
      <c r="A61" s="3" t="s">
        <v>77</v>
      </c>
      <c r="B61" s="3" t="s">
        <v>66</v>
      </c>
      <c r="C61" s="3" t="s">
        <v>88</v>
      </c>
      <c r="D61" s="20">
        <v>9</v>
      </c>
      <c r="E61" s="4" t="s">
        <v>47</v>
      </c>
    </row>
    <row r="62" spans="1:5" x14ac:dyDescent="0.2">
      <c r="A62" s="3" t="s">
        <v>74</v>
      </c>
      <c r="B62" s="3" t="s">
        <v>70</v>
      </c>
      <c r="C62" s="3" t="s">
        <v>89</v>
      </c>
      <c r="D62" s="22">
        <v>2.5899899999999998</v>
      </c>
    </row>
    <row r="64" spans="1:5" x14ac:dyDescent="0.2">
      <c r="A64" s="10"/>
      <c r="B64" s="10"/>
      <c r="C64" s="10" t="s">
        <v>90</v>
      </c>
      <c r="D64" s="10"/>
    </row>
    <row r="65" spans="1:4" x14ac:dyDescent="0.2">
      <c r="A65" s="3" t="s">
        <v>91</v>
      </c>
      <c r="B65" s="3" t="s">
        <v>92</v>
      </c>
      <c r="C65" s="3" t="s">
        <v>93</v>
      </c>
      <c r="D65" s="32">
        <v>325900</v>
      </c>
    </row>
    <row r="66" spans="1:4" x14ac:dyDescent="0.2">
      <c r="A66" s="3" t="s">
        <v>91</v>
      </c>
      <c r="B66" s="3" t="s">
        <v>94</v>
      </c>
      <c r="C66" s="3" t="s">
        <v>95</v>
      </c>
      <c r="D66" s="33">
        <v>1233.482</v>
      </c>
    </row>
    <row r="67" spans="1:4" x14ac:dyDescent="0.2">
      <c r="A67" s="3" t="s">
        <v>96</v>
      </c>
      <c r="B67" s="3" t="s">
        <v>92</v>
      </c>
      <c r="C67" s="3" t="s">
        <v>97</v>
      </c>
      <c r="D67" s="13">
        <v>27154.286</v>
      </c>
    </row>
    <row r="68" spans="1:4" x14ac:dyDescent="0.2">
      <c r="A68" s="3" t="s">
        <v>98</v>
      </c>
      <c r="B68" s="3" t="s">
        <v>92</v>
      </c>
      <c r="C68" s="3" t="s">
        <v>99</v>
      </c>
      <c r="D68" s="34">
        <v>42</v>
      </c>
    </row>
    <row r="69" spans="1:4" x14ac:dyDescent="0.2">
      <c r="A69" s="3" t="s">
        <v>98</v>
      </c>
      <c r="B69" s="3" t="s">
        <v>100</v>
      </c>
      <c r="C69" s="3" t="s">
        <v>101</v>
      </c>
      <c r="D69" s="16">
        <f>bblTOgal*galTOL</f>
        <v>158.98680000000002</v>
      </c>
    </row>
    <row r="70" spans="1:4" x14ac:dyDescent="0.2">
      <c r="A70" s="3" t="s">
        <v>102</v>
      </c>
      <c r="B70" s="3" t="s">
        <v>92</v>
      </c>
      <c r="C70" s="3" t="s">
        <v>103</v>
      </c>
      <c r="D70" s="13">
        <v>7.4805200000000003</v>
      </c>
    </row>
    <row r="71" spans="1:4" x14ac:dyDescent="0.2">
      <c r="A71" s="3" t="s">
        <v>102</v>
      </c>
      <c r="B71" s="3" t="s">
        <v>100</v>
      </c>
      <c r="C71" s="3" t="s">
        <v>104</v>
      </c>
      <c r="D71" s="13">
        <v>28.316870000000002</v>
      </c>
    </row>
    <row r="72" spans="1:4" x14ac:dyDescent="0.2">
      <c r="A72" s="3" t="s">
        <v>102</v>
      </c>
      <c r="B72" s="3" t="s">
        <v>94</v>
      </c>
      <c r="C72" s="3" t="s">
        <v>105</v>
      </c>
      <c r="D72" s="13">
        <v>2.8320000000000001E-2</v>
      </c>
    </row>
    <row r="73" spans="1:4" x14ac:dyDescent="0.2">
      <c r="A73" s="3" t="s">
        <v>92</v>
      </c>
      <c r="B73" s="3" t="s">
        <v>91</v>
      </c>
      <c r="C73" s="3" t="s">
        <v>106</v>
      </c>
      <c r="D73" s="35">
        <f>1/D65</f>
        <v>3.068425897514575E-6</v>
      </c>
    </row>
    <row r="74" spans="1:4" x14ac:dyDescent="0.2">
      <c r="A74" s="3" t="s">
        <v>92</v>
      </c>
      <c r="B74" s="3" t="s">
        <v>96</v>
      </c>
      <c r="C74" s="3" t="s">
        <v>107</v>
      </c>
      <c r="D74" s="35">
        <f>1/D67</f>
        <v>3.6826598939114067E-5</v>
      </c>
    </row>
    <row r="75" spans="1:4" x14ac:dyDescent="0.2">
      <c r="A75" s="3" t="s">
        <v>92</v>
      </c>
      <c r="B75" s="3" t="s">
        <v>98</v>
      </c>
      <c r="C75" s="3" t="s">
        <v>108</v>
      </c>
      <c r="D75" s="18">
        <f>1/bblTOgal</f>
        <v>2.3809523809523808E-2</v>
      </c>
    </row>
    <row r="76" spans="1:4" x14ac:dyDescent="0.2">
      <c r="A76" s="3" t="s">
        <v>92</v>
      </c>
      <c r="B76" s="3" t="s">
        <v>100</v>
      </c>
      <c r="C76" s="3" t="s">
        <v>109</v>
      </c>
      <c r="D76" s="13">
        <v>3.7854000000000001</v>
      </c>
    </row>
    <row r="77" spans="1:4" x14ac:dyDescent="0.2">
      <c r="A77" s="3" t="s">
        <v>92</v>
      </c>
      <c r="B77" s="3" t="s">
        <v>94</v>
      </c>
      <c r="C77" s="3" t="s">
        <v>110</v>
      </c>
      <c r="D77" s="13">
        <v>3.7850000000000002E-3</v>
      </c>
    </row>
    <row r="78" spans="1:4" x14ac:dyDescent="0.2">
      <c r="A78" s="3" t="s">
        <v>100</v>
      </c>
      <c r="B78" s="3" t="s">
        <v>102</v>
      </c>
      <c r="C78" s="3" t="s">
        <v>111</v>
      </c>
      <c r="D78" s="13">
        <v>3.5310000000000001E-2</v>
      </c>
    </row>
    <row r="79" spans="1:4" x14ac:dyDescent="0.2">
      <c r="A79" s="3" t="s">
        <v>100</v>
      </c>
      <c r="B79" s="3" t="s">
        <v>92</v>
      </c>
      <c r="C79" s="3" t="s">
        <v>112</v>
      </c>
      <c r="D79" s="27">
        <f>1/galTOliter</f>
        <v>0.2641728747292228</v>
      </c>
    </row>
    <row r="80" spans="1:4" x14ac:dyDescent="0.2">
      <c r="A80" s="3" t="s">
        <v>100</v>
      </c>
      <c r="B80" s="3" t="s">
        <v>94</v>
      </c>
      <c r="C80" s="3" t="s">
        <v>113</v>
      </c>
      <c r="D80" s="13">
        <v>1E-3</v>
      </c>
    </row>
    <row r="81" spans="1:4" x14ac:dyDescent="0.2">
      <c r="A81" s="3" t="s">
        <v>94</v>
      </c>
      <c r="B81" s="3" t="s">
        <v>91</v>
      </c>
      <c r="C81" s="3" t="s">
        <v>114</v>
      </c>
      <c r="D81" s="17">
        <f>1/D66</f>
        <v>8.1071308701707845E-4</v>
      </c>
    </row>
    <row r="82" spans="1:4" x14ac:dyDescent="0.2">
      <c r="A82" s="3" t="s">
        <v>94</v>
      </c>
      <c r="B82" s="3" t="s">
        <v>102</v>
      </c>
      <c r="C82" s="3" t="s">
        <v>115</v>
      </c>
      <c r="D82" s="30">
        <f>1/D72</f>
        <v>35.310734463276837</v>
      </c>
    </row>
    <row r="83" spans="1:4" x14ac:dyDescent="0.2">
      <c r="A83" s="3" t="s">
        <v>94</v>
      </c>
      <c r="B83" s="3" t="s">
        <v>92</v>
      </c>
      <c r="C83" s="3" t="s">
        <v>116</v>
      </c>
      <c r="D83" s="31">
        <f>1/D77</f>
        <v>264.20079260237782</v>
      </c>
    </row>
    <row r="84" spans="1:4" x14ac:dyDescent="0.2">
      <c r="A84" s="3" t="s">
        <v>94</v>
      </c>
      <c r="B84" s="3" t="s">
        <v>117</v>
      </c>
      <c r="C84" s="3" t="s">
        <v>118</v>
      </c>
      <c r="D84" s="36">
        <f>1/LTOm3</f>
        <v>1000</v>
      </c>
    </row>
    <row r="85" spans="1:4" x14ac:dyDescent="0.2">
      <c r="A85" s="3" t="s">
        <v>119</v>
      </c>
      <c r="B85" s="3" t="s">
        <v>94</v>
      </c>
      <c r="C85" s="3" t="s">
        <v>120</v>
      </c>
      <c r="D85" s="13">
        <v>0.76454999999999995</v>
      </c>
    </row>
    <row r="86" spans="1:4" x14ac:dyDescent="0.2">
      <c r="D86" s="31"/>
    </row>
    <row r="87" spans="1:4" x14ac:dyDescent="0.2">
      <c r="A87" s="10"/>
      <c r="B87" s="10"/>
      <c r="C87" s="10" t="s">
        <v>121</v>
      </c>
      <c r="D87" s="10"/>
    </row>
    <row r="88" spans="1:4" x14ac:dyDescent="0.2">
      <c r="A88" s="3" t="s">
        <v>25</v>
      </c>
      <c r="B88" s="3" t="s">
        <v>122</v>
      </c>
      <c r="C88" s="3" t="s">
        <v>123</v>
      </c>
      <c r="D88" s="37">
        <v>4.4482200000000001</v>
      </c>
    </row>
    <row r="89" spans="1:4" x14ac:dyDescent="0.2">
      <c r="D89" s="31"/>
    </row>
    <row r="90" spans="1:4" x14ac:dyDescent="0.2">
      <c r="A90" s="10"/>
      <c r="B90" s="10"/>
      <c r="C90" s="10" t="s">
        <v>124</v>
      </c>
      <c r="D90" s="10"/>
    </row>
    <row r="91" spans="1:4" x14ac:dyDescent="0.2">
      <c r="A91" s="3" t="s">
        <v>125</v>
      </c>
      <c r="B91" s="3" t="s">
        <v>126</v>
      </c>
      <c r="C91" s="3" t="s">
        <v>127</v>
      </c>
      <c r="D91" s="38">
        <v>1.01325</v>
      </c>
    </row>
    <row r="92" spans="1:4" x14ac:dyDescent="0.2">
      <c r="A92" s="3" t="s">
        <v>125</v>
      </c>
      <c r="B92" s="3" t="s">
        <v>128</v>
      </c>
      <c r="C92" s="3" t="s">
        <v>129</v>
      </c>
      <c r="D92" s="39">
        <v>14.696</v>
      </c>
    </row>
    <row r="93" spans="1:4" x14ac:dyDescent="0.2">
      <c r="A93" s="3" t="s">
        <v>126</v>
      </c>
      <c r="B93" s="3" t="s">
        <v>130</v>
      </c>
      <c r="C93" s="3" t="s">
        <v>131</v>
      </c>
      <c r="D93" s="13">
        <v>100000</v>
      </c>
    </row>
    <row r="94" spans="1:4" x14ac:dyDescent="0.2">
      <c r="A94" s="3" t="s">
        <v>126</v>
      </c>
      <c r="B94" s="3" t="s">
        <v>128</v>
      </c>
      <c r="C94" s="3" t="s">
        <v>132</v>
      </c>
      <c r="D94" s="39">
        <v>14.5038</v>
      </c>
    </row>
    <row r="95" spans="1:4" x14ac:dyDescent="0.2">
      <c r="A95" s="3" t="s">
        <v>128</v>
      </c>
      <c r="B95" s="3" t="s">
        <v>130</v>
      </c>
      <c r="C95" s="3" t="s">
        <v>133</v>
      </c>
      <c r="D95" s="40">
        <v>6894.76</v>
      </c>
    </row>
    <row r="97" spans="1:6" x14ac:dyDescent="0.2">
      <c r="A97" s="10"/>
      <c r="B97" s="10"/>
      <c r="C97" s="10" t="s">
        <v>134</v>
      </c>
      <c r="D97" s="10"/>
    </row>
    <row r="98" spans="1:6" x14ac:dyDescent="0.2">
      <c r="A98" s="3" t="s">
        <v>135</v>
      </c>
      <c r="B98" s="3" t="s">
        <v>136</v>
      </c>
      <c r="C98" s="3" t="s">
        <v>137</v>
      </c>
      <c r="D98" s="33">
        <v>251.99600000000001</v>
      </c>
      <c r="F98" s="41"/>
    </row>
    <row r="99" spans="1:6" x14ac:dyDescent="0.2">
      <c r="A99" s="3" t="s">
        <v>135</v>
      </c>
      <c r="B99" s="3" t="s">
        <v>138</v>
      </c>
      <c r="C99" s="3" t="s">
        <v>139</v>
      </c>
      <c r="D99" s="42">
        <v>1054.18</v>
      </c>
      <c r="F99" s="41"/>
    </row>
    <row r="100" spans="1:6" x14ac:dyDescent="0.2">
      <c r="A100" s="3" t="s">
        <v>135</v>
      </c>
      <c r="B100" s="3" t="s">
        <v>140</v>
      </c>
      <c r="C100" s="3" t="s">
        <v>141</v>
      </c>
      <c r="D100" s="14">
        <f>D99/1000</f>
        <v>1.0541800000000001</v>
      </c>
      <c r="F100" s="41"/>
    </row>
    <row r="101" spans="1:6" x14ac:dyDescent="0.2">
      <c r="A101" s="3" t="s">
        <v>135</v>
      </c>
      <c r="B101" s="3" t="s">
        <v>142</v>
      </c>
      <c r="C101" s="3" t="s">
        <v>143</v>
      </c>
      <c r="D101" s="13">
        <v>2.92875E-4</v>
      </c>
      <c r="F101" s="41"/>
    </row>
    <row r="102" spans="1:6" x14ac:dyDescent="0.2">
      <c r="A102" s="3" t="s">
        <v>135</v>
      </c>
      <c r="B102" s="3" t="s">
        <v>144</v>
      </c>
      <c r="C102" s="3" t="s">
        <v>145</v>
      </c>
      <c r="D102" s="21">
        <f>D99/1000000</f>
        <v>1.05418E-3</v>
      </c>
      <c r="F102" s="43"/>
    </row>
    <row r="103" spans="1:6" x14ac:dyDescent="0.2">
      <c r="A103" s="3" t="s">
        <v>135</v>
      </c>
      <c r="B103" s="3" t="s">
        <v>146</v>
      </c>
      <c r="C103" s="3" t="s">
        <v>147</v>
      </c>
      <c r="D103" s="12">
        <f>D101*1000</f>
        <v>0.292875</v>
      </c>
    </row>
    <row r="104" spans="1:6" x14ac:dyDescent="0.2">
      <c r="A104" s="3" t="s">
        <v>136</v>
      </c>
      <c r="B104" s="3" t="s">
        <v>135</v>
      </c>
      <c r="C104" s="3" t="s">
        <v>148</v>
      </c>
      <c r="D104" s="21">
        <f>1/D98</f>
        <v>3.9683169574120224E-3</v>
      </c>
    </row>
    <row r="105" spans="1:6" x14ac:dyDescent="0.2">
      <c r="A105" s="3" t="s">
        <v>136</v>
      </c>
      <c r="B105" s="3" t="s">
        <v>138</v>
      </c>
      <c r="C105" s="3" t="s">
        <v>149</v>
      </c>
      <c r="D105" s="13">
        <v>4.1840000000000002</v>
      </c>
    </row>
    <row r="106" spans="1:6" x14ac:dyDescent="0.2">
      <c r="A106" s="3" t="s">
        <v>150</v>
      </c>
      <c r="B106" s="3" t="s">
        <v>151</v>
      </c>
      <c r="C106" s="3" t="s">
        <v>152</v>
      </c>
      <c r="D106" s="31">
        <f>1/D140</f>
        <v>277.82330993134985</v>
      </c>
    </row>
    <row r="107" spans="1:6" x14ac:dyDescent="0.2">
      <c r="A107" s="3" t="s">
        <v>153</v>
      </c>
      <c r="B107" s="3" t="s">
        <v>144</v>
      </c>
      <c r="C107" s="3" t="s">
        <v>154</v>
      </c>
      <c r="D107" s="31">
        <f>galTOL*HHVgasoline</f>
        <v>131.84779857142857</v>
      </c>
    </row>
    <row r="108" spans="1:6" x14ac:dyDescent="0.2">
      <c r="A108" s="3" t="s">
        <v>155</v>
      </c>
      <c r="B108" s="3" t="s">
        <v>156</v>
      </c>
      <c r="C108" s="3" t="s">
        <v>157</v>
      </c>
      <c r="D108" s="12">
        <f>1/D130</f>
        <v>0.2778233099313499</v>
      </c>
    </row>
    <row r="109" spans="1:6" x14ac:dyDescent="0.2">
      <c r="A109" s="3" t="s">
        <v>155</v>
      </c>
      <c r="B109" s="3" t="s">
        <v>158</v>
      </c>
      <c r="C109" s="3" t="s">
        <v>159</v>
      </c>
      <c r="D109" s="12">
        <f>kJTOBtu</f>
        <v>0.94860460262953183</v>
      </c>
    </row>
    <row r="110" spans="1:6" x14ac:dyDescent="0.2">
      <c r="A110" s="3" t="s">
        <v>155</v>
      </c>
      <c r="B110" s="3" t="s">
        <v>160</v>
      </c>
      <c r="C110" s="3" t="s">
        <v>161</v>
      </c>
      <c r="D110" s="12">
        <f>GJTOmmBtu*mmBtuTOtherm</f>
        <v>9.4860460262953179</v>
      </c>
    </row>
    <row r="111" spans="1:6" x14ac:dyDescent="0.2">
      <c r="A111" s="3" t="s">
        <v>138</v>
      </c>
      <c r="B111" s="3" t="s">
        <v>135</v>
      </c>
      <c r="C111" s="3" t="s">
        <v>162</v>
      </c>
      <c r="D111" s="17">
        <f>1/D99</f>
        <v>9.4860460262953192E-4</v>
      </c>
    </row>
    <row r="112" spans="1:6" x14ac:dyDescent="0.2">
      <c r="A112" s="3" t="s">
        <v>138</v>
      </c>
      <c r="B112" s="3" t="s">
        <v>136</v>
      </c>
      <c r="C112" s="3" t="s">
        <v>163</v>
      </c>
      <c r="D112" s="12">
        <f>1/D105</f>
        <v>0.23900573613766729</v>
      </c>
    </row>
    <row r="113" spans="1:5" x14ac:dyDescent="0.2">
      <c r="A113" s="3" t="s">
        <v>138</v>
      </c>
      <c r="B113" s="3" t="s">
        <v>146</v>
      </c>
      <c r="C113" s="3" t="s">
        <v>164</v>
      </c>
      <c r="D113" s="17">
        <f>1/D143</f>
        <v>2.7782330993134986E-4</v>
      </c>
    </row>
    <row r="114" spans="1:5" x14ac:dyDescent="0.2">
      <c r="A114" s="3" t="s">
        <v>165</v>
      </c>
      <c r="B114" s="3" t="s">
        <v>144</v>
      </c>
      <c r="C114" s="3" t="s">
        <v>166</v>
      </c>
      <c r="D114" s="21">
        <f>D105/1000</f>
        <v>4.1840000000000002E-3</v>
      </c>
    </row>
    <row r="115" spans="1:5" x14ac:dyDescent="0.2">
      <c r="A115" s="3" t="s">
        <v>140</v>
      </c>
      <c r="B115" s="3" t="s">
        <v>135</v>
      </c>
      <c r="C115" s="3" t="s">
        <v>167</v>
      </c>
      <c r="D115" s="12">
        <f>1/D100</f>
        <v>0.94860460262953183</v>
      </c>
    </row>
    <row r="116" spans="1:5" x14ac:dyDescent="0.2">
      <c r="A116" s="3" t="s">
        <v>142</v>
      </c>
      <c r="B116" s="3" t="s">
        <v>135</v>
      </c>
      <c r="C116" s="3" t="s">
        <v>168</v>
      </c>
      <c r="D116" s="44">
        <f>1/D101</f>
        <v>3414.4259496372174</v>
      </c>
    </row>
    <row r="117" spans="1:5" x14ac:dyDescent="0.2">
      <c r="A117" s="3" t="s">
        <v>142</v>
      </c>
      <c r="B117" s="3" t="s">
        <v>144</v>
      </c>
      <c r="C117" s="3" t="s">
        <v>169</v>
      </c>
      <c r="D117" s="14">
        <f>D143/1000</f>
        <v>3.5994099999999998</v>
      </c>
    </row>
    <row r="118" spans="1:5" x14ac:dyDescent="0.2">
      <c r="A118" s="3" t="s">
        <v>144</v>
      </c>
      <c r="B118" s="3" t="s">
        <v>135</v>
      </c>
      <c r="C118" s="3" t="s">
        <v>170</v>
      </c>
      <c r="D118" s="31">
        <f>1000000/D99</f>
        <v>948.60460262953188</v>
      </c>
    </row>
    <row r="119" spans="1:5" x14ac:dyDescent="0.2">
      <c r="A119" s="3" t="s">
        <v>144</v>
      </c>
      <c r="B119" s="3" t="s">
        <v>142</v>
      </c>
      <c r="C119" s="3" t="s">
        <v>171</v>
      </c>
      <c r="D119" s="12">
        <f>1/D117</f>
        <v>0.2778233099313499</v>
      </c>
    </row>
    <row r="120" spans="1:5" x14ac:dyDescent="0.2">
      <c r="A120" s="3" t="s">
        <v>144</v>
      </c>
      <c r="B120" s="3" t="s">
        <v>165</v>
      </c>
      <c r="C120" s="3" t="s">
        <v>172</v>
      </c>
      <c r="D120" s="31">
        <f>1/D114</f>
        <v>239.0057361376673</v>
      </c>
    </row>
    <row r="121" spans="1:5" x14ac:dyDescent="0.2">
      <c r="A121" s="3" t="s">
        <v>144</v>
      </c>
      <c r="B121" s="3" t="s">
        <v>156</v>
      </c>
      <c r="C121" s="3" t="s">
        <v>173</v>
      </c>
      <c r="D121" s="17">
        <f>MJTOkWh/1000</f>
        <v>2.7782330993134991E-4</v>
      </c>
    </row>
    <row r="122" spans="1:5" x14ac:dyDescent="0.2">
      <c r="A122" s="3" t="s">
        <v>144</v>
      </c>
      <c r="B122" s="3" t="s">
        <v>160</v>
      </c>
      <c r="C122" s="3" t="s">
        <v>174</v>
      </c>
      <c r="D122" s="45">
        <f>GJTOtherm/1000</f>
        <v>9.4860460262953181E-3</v>
      </c>
    </row>
    <row r="123" spans="1:5" x14ac:dyDescent="0.2">
      <c r="A123" s="3" t="s">
        <v>158</v>
      </c>
      <c r="B123" s="3" t="s">
        <v>144</v>
      </c>
      <c r="C123" s="3" t="s">
        <v>175</v>
      </c>
      <c r="D123" s="36">
        <f>BtuTOJ</f>
        <v>1054.18</v>
      </c>
    </row>
    <row r="124" spans="1:5" x14ac:dyDescent="0.2">
      <c r="A124" s="3" t="s">
        <v>158</v>
      </c>
      <c r="B124" s="3" t="s">
        <v>156</v>
      </c>
      <c r="C124" s="3" t="s">
        <v>176</v>
      </c>
      <c r="D124" s="12">
        <f>D101*1000</f>
        <v>0.292875</v>
      </c>
    </row>
    <row r="125" spans="1:5" x14ac:dyDescent="0.2">
      <c r="A125" s="3" t="s">
        <v>158</v>
      </c>
      <c r="B125" s="3" t="s">
        <v>160</v>
      </c>
      <c r="C125" s="3" t="s">
        <v>177</v>
      </c>
      <c r="D125" s="26">
        <v>10</v>
      </c>
      <c r="E125" s="4" t="s">
        <v>47</v>
      </c>
    </row>
    <row r="126" spans="1:5" x14ac:dyDescent="0.2">
      <c r="A126" s="3" t="s">
        <v>158</v>
      </c>
      <c r="B126" s="3" t="s">
        <v>178</v>
      </c>
      <c r="C126" s="3" t="s">
        <v>179</v>
      </c>
      <c r="D126" s="45">
        <f>mmBtuTOMJ/1000000</f>
        <v>1.05418E-3</v>
      </c>
    </row>
    <row r="127" spans="1:5" x14ac:dyDescent="0.2">
      <c r="A127" s="3" t="s">
        <v>180</v>
      </c>
      <c r="B127" s="3" t="s">
        <v>181</v>
      </c>
      <c r="C127" s="3" t="s">
        <v>182</v>
      </c>
      <c r="D127" s="20">
        <v>11630</v>
      </c>
      <c r="E127" s="4">
        <v>10661</v>
      </c>
    </row>
    <row r="128" spans="1:5" x14ac:dyDescent="0.2">
      <c r="A128" s="3" t="s">
        <v>180</v>
      </c>
      <c r="B128" s="3" t="s">
        <v>158</v>
      </c>
      <c r="C128" s="3" t="s">
        <v>183</v>
      </c>
      <c r="D128" s="46">
        <v>39680000</v>
      </c>
      <c r="E128" s="4">
        <v>10661</v>
      </c>
    </row>
    <row r="129" spans="1:5" x14ac:dyDescent="0.2">
      <c r="A129" s="3" t="s">
        <v>180</v>
      </c>
      <c r="B129" s="3" t="s">
        <v>178</v>
      </c>
      <c r="C129" s="3" t="s">
        <v>184</v>
      </c>
      <c r="D129" s="20">
        <v>41868</v>
      </c>
      <c r="E129" s="4">
        <v>10661</v>
      </c>
    </row>
    <row r="130" spans="1:5" x14ac:dyDescent="0.2">
      <c r="A130" s="3" t="s">
        <v>156</v>
      </c>
      <c r="B130" s="3" t="s">
        <v>155</v>
      </c>
      <c r="C130" s="3" t="s">
        <v>185</v>
      </c>
      <c r="D130" s="14">
        <f>D117</f>
        <v>3.5994099999999998</v>
      </c>
    </row>
    <row r="131" spans="1:5" x14ac:dyDescent="0.2">
      <c r="A131" s="3" t="s">
        <v>156</v>
      </c>
      <c r="B131" s="3" t="s">
        <v>158</v>
      </c>
      <c r="C131" s="3" t="s">
        <v>186</v>
      </c>
      <c r="D131" s="14">
        <f>1/D124</f>
        <v>3.4144259496372174</v>
      </c>
    </row>
    <row r="132" spans="1:5" x14ac:dyDescent="0.2">
      <c r="A132" s="3" t="s">
        <v>156</v>
      </c>
      <c r="B132" s="3" t="s">
        <v>178</v>
      </c>
      <c r="C132" s="3" t="s">
        <v>187</v>
      </c>
      <c r="D132" s="21">
        <f>MWhTOGJ/1000</f>
        <v>3.5994099999999999E-3</v>
      </c>
    </row>
    <row r="133" spans="1:5" x14ac:dyDescent="0.2">
      <c r="A133" s="3" t="s">
        <v>188</v>
      </c>
      <c r="B133" s="3" t="s">
        <v>150</v>
      </c>
      <c r="C133" s="3" t="s">
        <v>189</v>
      </c>
      <c r="D133" s="14">
        <f>quadTOTWh*TWhTOEJ</f>
        <v>1.0541772037499999</v>
      </c>
    </row>
    <row r="134" spans="1:5" x14ac:dyDescent="0.2">
      <c r="A134" s="3" t="s">
        <v>188</v>
      </c>
      <c r="B134" s="3" t="s">
        <v>151</v>
      </c>
      <c r="C134" s="3" t="s">
        <v>190</v>
      </c>
      <c r="D134" s="16">
        <f>1/D141</f>
        <v>292.875</v>
      </c>
    </row>
    <row r="135" spans="1:5" x14ac:dyDescent="0.2">
      <c r="A135" s="3" t="s">
        <v>160</v>
      </c>
      <c r="B135" s="3" t="s">
        <v>135</v>
      </c>
      <c r="C135" s="3" t="s">
        <v>191</v>
      </c>
      <c r="D135" s="20">
        <v>100000</v>
      </c>
      <c r="E135" s="4" t="s">
        <v>47</v>
      </c>
    </row>
    <row r="136" spans="1:5" x14ac:dyDescent="0.2">
      <c r="A136" s="3" t="s">
        <v>160</v>
      </c>
      <c r="B136" s="3" t="s">
        <v>155</v>
      </c>
      <c r="C136" s="3" t="s">
        <v>192</v>
      </c>
      <c r="D136" s="45">
        <f>1/GJTOtherm</f>
        <v>0.10541800000000003</v>
      </c>
    </row>
    <row r="137" spans="1:5" x14ac:dyDescent="0.2">
      <c r="A137" s="3" t="s">
        <v>160</v>
      </c>
      <c r="B137" s="3" t="s">
        <v>142</v>
      </c>
      <c r="C137" s="3" t="s">
        <v>193</v>
      </c>
      <c r="D137" s="23">
        <f>thermTOBtu*BtuTOkWh</f>
        <v>29.287500000000001</v>
      </c>
    </row>
    <row r="138" spans="1:5" x14ac:dyDescent="0.2">
      <c r="A138" s="3" t="s">
        <v>160</v>
      </c>
      <c r="B138" s="3" t="s">
        <v>144</v>
      </c>
      <c r="C138" s="3" t="s">
        <v>194</v>
      </c>
      <c r="D138" s="16">
        <f>1/MJTOtherm</f>
        <v>105.41800000000002</v>
      </c>
    </row>
    <row r="139" spans="1:5" x14ac:dyDescent="0.2">
      <c r="A139" s="3" t="s">
        <v>160</v>
      </c>
      <c r="B139" s="3" t="s">
        <v>178</v>
      </c>
      <c r="C139" s="3" t="s">
        <v>195</v>
      </c>
      <c r="D139" s="3">
        <f>thermTOMJ/1000000</f>
        <v>1.0541800000000003E-4</v>
      </c>
    </row>
    <row r="140" spans="1:5" x14ac:dyDescent="0.2">
      <c r="A140" s="3" t="s">
        <v>151</v>
      </c>
      <c r="B140" s="3" t="s">
        <v>150</v>
      </c>
      <c r="C140" s="3" t="s">
        <v>196</v>
      </c>
      <c r="D140" s="21">
        <f>WhTOJ/1000000</f>
        <v>3.5994099999999999E-3</v>
      </c>
    </row>
    <row r="141" spans="1:5" x14ac:dyDescent="0.2">
      <c r="A141" s="3" t="s">
        <v>151</v>
      </c>
      <c r="B141" s="3" t="s">
        <v>188</v>
      </c>
      <c r="C141" s="3" t="s">
        <v>197</v>
      </c>
      <c r="D141" s="21">
        <f>D131/1000</f>
        <v>3.4144259496372174E-3</v>
      </c>
    </row>
    <row r="142" spans="1:5" x14ac:dyDescent="0.2">
      <c r="A142" s="3" t="s">
        <v>146</v>
      </c>
      <c r="B142" s="3" t="s">
        <v>135</v>
      </c>
      <c r="C142" s="3" t="s">
        <v>198</v>
      </c>
      <c r="D142" s="14">
        <f>1/D103</f>
        <v>3.4144259496372174</v>
      </c>
    </row>
    <row r="143" spans="1:5" x14ac:dyDescent="0.2">
      <c r="A143" s="3" t="s">
        <v>146</v>
      </c>
      <c r="B143" s="3" t="s">
        <v>138</v>
      </c>
      <c r="C143" s="3" t="s">
        <v>199</v>
      </c>
      <c r="D143" s="13">
        <v>3599.41</v>
      </c>
    </row>
    <row r="145" spans="1:4" x14ac:dyDescent="0.2">
      <c r="A145" s="10"/>
      <c r="B145" s="10"/>
      <c r="C145" s="10" t="s">
        <v>200</v>
      </c>
      <c r="D145" s="10"/>
    </row>
    <row r="146" spans="1:4" x14ac:dyDescent="0.2">
      <c r="A146" s="3" t="s">
        <v>201</v>
      </c>
      <c r="B146" s="3" t="s">
        <v>202</v>
      </c>
      <c r="C146" s="3" t="s">
        <v>203</v>
      </c>
      <c r="D146" s="12">
        <f>1000/D33</f>
        <v>0.27777777777777779</v>
      </c>
    </row>
    <row r="147" spans="1:4" x14ac:dyDescent="0.2">
      <c r="A147" s="3" t="s">
        <v>204</v>
      </c>
      <c r="B147" s="3" t="s">
        <v>205</v>
      </c>
      <c r="C147" s="3" t="s">
        <v>206</v>
      </c>
      <c r="D147" s="20">
        <v>1000000</v>
      </c>
    </row>
    <row r="148" spans="1:4" x14ac:dyDescent="0.2">
      <c r="A148" s="3" t="s">
        <v>204</v>
      </c>
      <c r="B148" s="3" t="s">
        <v>207</v>
      </c>
      <c r="C148" s="3" t="s">
        <v>208</v>
      </c>
      <c r="D148" s="15">
        <f>1/D155</f>
        <v>2.9910371318822026E-2</v>
      </c>
    </row>
    <row r="149" spans="1:4" x14ac:dyDescent="0.2">
      <c r="A149" s="3" t="s">
        <v>204</v>
      </c>
      <c r="B149" s="3" t="s">
        <v>209</v>
      </c>
      <c r="C149" s="3" t="s">
        <v>210</v>
      </c>
      <c r="D149" s="47">
        <f>1/D156</f>
        <v>8.76</v>
      </c>
    </row>
    <row r="150" spans="1:4" x14ac:dyDescent="0.2">
      <c r="A150" s="3" t="s">
        <v>211</v>
      </c>
      <c r="B150" s="3" t="s">
        <v>205</v>
      </c>
      <c r="C150" s="3" t="s">
        <v>212</v>
      </c>
      <c r="D150" s="13">
        <v>0.746</v>
      </c>
    </row>
    <row r="151" spans="1:4" x14ac:dyDescent="0.2">
      <c r="A151" s="3" t="s">
        <v>205</v>
      </c>
      <c r="B151" s="3" t="s">
        <v>211</v>
      </c>
      <c r="C151" s="3" t="s">
        <v>213</v>
      </c>
      <c r="D151" s="14">
        <f>1/D150</f>
        <v>1.3404825737265416</v>
      </c>
    </row>
    <row r="152" spans="1:4" x14ac:dyDescent="0.2">
      <c r="A152" s="3" t="s">
        <v>214</v>
      </c>
      <c r="B152" s="3" t="s">
        <v>205</v>
      </c>
      <c r="C152" s="3" t="s">
        <v>215</v>
      </c>
      <c r="D152" s="27">
        <f>GJ.hrTOMW</f>
        <v>0.27777777777777779</v>
      </c>
    </row>
    <row r="153" spans="1:4" x14ac:dyDescent="0.2">
      <c r="A153" s="3" t="s">
        <v>202</v>
      </c>
      <c r="B153" s="3" t="s">
        <v>201</v>
      </c>
      <c r="C153" s="3" t="s">
        <v>216</v>
      </c>
      <c r="D153" s="14">
        <f>1/D146</f>
        <v>3.5999999999999996</v>
      </c>
    </row>
    <row r="154" spans="1:4" x14ac:dyDescent="0.2">
      <c r="A154" s="3" t="s">
        <v>202</v>
      </c>
      <c r="B154" s="3" t="s">
        <v>205</v>
      </c>
      <c r="C154" s="3" t="s">
        <v>217</v>
      </c>
      <c r="D154" s="20">
        <v>1000</v>
      </c>
    </row>
    <row r="155" spans="1:4" x14ac:dyDescent="0.2">
      <c r="A155" s="3" t="s">
        <v>207</v>
      </c>
      <c r="B155" s="3" t="s">
        <v>204</v>
      </c>
      <c r="C155" s="3" t="s">
        <v>218</v>
      </c>
      <c r="D155" s="23">
        <f>quadTOTWh*hrTOyr*1000</f>
        <v>33.43321917808219</v>
      </c>
    </row>
    <row r="156" spans="1:4" x14ac:dyDescent="0.2">
      <c r="A156" s="3" t="s">
        <v>209</v>
      </c>
      <c r="B156" s="3" t="s">
        <v>204</v>
      </c>
      <c r="C156" s="3" t="s">
        <v>219</v>
      </c>
      <c r="D156" s="27">
        <f>1000*hrTOyr</f>
        <v>0.11415525114155251</v>
      </c>
    </row>
    <row r="158" spans="1:4" x14ac:dyDescent="0.2">
      <c r="A158" s="10"/>
      <c r="B158" s="10"/>
      <c r="C158" s="10" t="s">
        <v>220</v>
      </c>
      <c r="D158" s="10"/>
    </row>
    <row r="159" spans="1:4" x14ac:dyDescent="0.2">
      <c r="A159" s="3" t="s">
        <v>221</v>
      </c>
      <c r="B159" s="3" t="s">
        <v>222</v>
      </c>
      <c r="C159" s="3" t="s">
        <v>223</v>
      </c>
      <c r="D159" s="13">
        <v>6.3089999999999993E-2</v>
      </c>
    </row>
    <row r="160" spans="1:4" x14ac:dyDescent="0.2">
      <c r="A160" s="3" t="s">
        <v>224</v>
      </c>
      <c r="B160" s="3" t="s">
        <v>221</v>
      </c>
      <c r="C160" s="3" t="s">
        <v>225</v>
      </c>
      <c r="D160" s="30">
        <f>1/D159</f>
        <v>15.85037248375337</v>
      </c>
    </row>
    <row r="161" spans="1:4" ht="15" x14ac:dyDescent="0.25">
      <c r="A161" s="3" t="s">
        <v>226</v>
      </c>
      <c r="B161" s="3" t="s">
        <v>221</v>
      </c>
      <c r="C161" s="3" t="s">
        <v>227</v>
      </c>
      <c r="D161" s="27">
        <f>L.sTOgpm*38:38/LTOm3</f>
        <v>0.1834522111269615</v>
      </c>
    </row>
    <row r="163" spans="1:4" x14ac:dyDescent="0.2">
      <c r="A163" s="10"/>
      <c r="B163" s="10"/>
      <c r="C163" s="10" t="s">
        <v>228</v>
      </c>
      <c r="D163" s="10"/>
    </row>
    <row r="164" spans="1:4" x14ac:dyDescent="0.2">
      <c r="A164" s="3" t="s">
        <v>229</v>
      </c>
      <c r="B164" s="3" t="s">
        <v>230</v>
      </c>
      <c r="C164" s="3" t="s">
        <v>231</v>
      </c>
      <c r="D164" s="21">
        <f>1/(D150*1000)</f>
        <v>1.3404825737265416E-3</v>
      </c>
    </row>
    <row r="165" spans="1:4" x14ac:dyDescent="0.2">
      <c r="A165" s="3" t="s">
        <v>232</v>
      </c>
      <c r="B165" s="3" t="s">
        <v>230</v>
      </c>
      <c r="C165" s="3" t="s">
        <v>233</v>
      </c>
      <c r="D165" s="17">
        <f>1/D168</f>
        <v>9.4860460262953192E-4</v>
      </c>
    </row>
    <row r="166" spans="1:4" x14ac:dyDescent="0.2">
      <c r="A166" s="3" t="s">
        <v>234</v>
      </c>
      <c r="B166" s="3" t="s">
        <v>230</v>
      </c>
      <c r="C166" s="3" t="s">
        <v>235</v>
      </c>
      <c r="D166" s="12">
        <f>1/D169</f>
        <v>0.94860460262953183</v>
      </c>
    </row>
    <row r="167" spans="1:4" x14ac:dyDescent="0.2">
      <c r="A167" s="3" t="s">
        <v>230</v>
      </c>
      <c r="B167" s="3" t="s">
        <v>229</v>
      </c>
      <c r="C167" s="3" t="s">
        <v>236</v>
      </c>
      <c r="D167" s="31">
        <f>1/D164</f>
        <v>746</v>
      </c>
    </row>
    <row r="168" spans="1:4" x14ac:dyDescent="0.2">
      <c r="A168" s="3" t="s">
        <v>230</v>
      </c>
      <c r="B168" s="3" t="s">
        <v>232</v>
      </c>
      <c r="C168" s="3" t="s">
        <v>237</v>
      </c>
      <c r="D168" s="44">
        <f>D99</f>
        <v>1054.18</v>
      </c>
    </row>
    <row r="169" spans="1:4" x14ac:dyDescent="0.2">
      <c r="A169" s="3" t="s">
        <v>230</v>
      </c>
      <c r="B169" s="3" t="s">
        <v>234</v>
      </c>
      <c r="C169" s="3" t="s">
        <v>238</v>
      </c>
      <c r="D169" s="14">
        <f>D100</f>
        <v>1.0541800000000001</v>
      </c>
    </row>
    <row r="171" spans="1:4" x14ac:dyDescent="0.2">
      <c r="A171" s="10"/>
      <c r="B171" s="10"/>
      <c r="C171" s="10" t="s">
        <v>239</v>
      </c>
      <c r="D171" s="10"/>
    </row>
    <row r="172" spans="1:4" x14ac:dyDescent="0.2">
      <c r="A172" s="3" t="s">
        <v>240</v>
      </c>
      <c r="B172" s="3" t="s">
        <v>241</v>
      </c>
      <c r="C172" s="3" t="s">
        <v>242</v>
      </c>
      <c r="D172" s="14">
        <f>D17*D151</f>
        <v>2.9552084958698002</v>
      </c>
    </row>
    <row r="173" spans="1:4" x14ac:dyDescent="0.2">
      <c r="A173" s="3" t="s">
        <v>243</v>
      </c>
      <c r="B173" s="3" t="s">
        <v>241</v>
      </c>
      <c r="C173" s="3" t="s">
        <v>244</v>
      </c>
      <c r="D173" s="14">
        <f>D17</f>
        <v>2.204585537918871</v>
      </c>
    </row>
    <row r="174" spans="1:4" x14ac:dyDescent="0.2">
      <c r="A174" s="3" t="s">
        <v>245</v>
      </c>
      <c r="B174" s="3" t="s">
        <v>241</v>
      </c>
      <c r="C174" s="3" t="s">
        <v>246</v>
      </c>
      <c r="D174" s="14">
        <f>1/D180</f>
        <v>7.9352072310405646</v>
      </c>
    </row>
    <row r="175" spans="1:4" x14ac:dyDescent="0.2">
      <c r="A175" s="3" t="s">
        <v>247</v>
      </c>
      <c r="B175" s="3" t="s">
        <v>248</v>
      </c>
      <c r="C175" s="3" t="s">
        <v>249</v>
      </c>
      <c r="D175" s="17">
        <f>D20</f>
        <v>4.5360000000000002E-4</v>
      </c>
    </row>
    <row r="176" spans="1:4" x14ac:dyDescent="0.2">
      <c r="A176" s="3" t="s">
        <v>247</v>
      </c>
      <c r="B176" s="3" t="s">
        <v>250</v>
      </c>
      <c r="C176" s="3" t="s">
        <v>251</v>
      </c>
      <c r="D176" s="31">
        <f>1/D182</f>
        <v>430.28704775275571</v>
      </c>
    </row>
    <row r="177" spans="1:4" x14ac:dyDescent="0.2">
      <c r="A177" s="3" t="s">
        <v>247</v>
      </c>
      <c r="B177" s="3" t="s">
        <v>252</v>
      </c>
      <c r="C177" s="3" t="s">
        <v>253</v>
      </c>
      <c r="D177" s="12">
        <f>1/D183</f>
        <v>0.45360000000000006</v>
      </c>
    </row>
    <row r="178" spans="1:4" x14ac:dyDescent="0.2">
      <c r="A178" s="3" t="s">
        <v>241</v>
      </c>
      <c r="B178" s="3" t="s">
        <v>240</v>
      </c>
      <c r="C178" s="3" t="s">
        <v>254</v>
      </c>
      <c r="D178" s="12">
        <f>1/D172</f>
        <v>0.33838560000000006</v>
      </c>
    </row>
    <row r="179" spans="1:4" x14ac:dyDescent="0.2">
      <c r="A179" s="3" t="s">
        <v>241</v>
      </c>
      <c r="B179" s="3" t="s">
        <v>243</v>
      </c>
      <c r="C179" s="3" t="s">
        <v>255</v>
      </c>
      <c r="D179" s="3">
        <f>1/D173</f>
        <v>0.45360000000000006</v>
      </c>
    </row>
    <row r="180" spans="1:4" x14ac:dyDescent="0.2">
      <c r="A180" s="3" t="s">
        <v>241</v>
      </c>
      <c r="B180" s="3" t="s">
        <v>245</v>
      </c>
      <c r="C180" s="3" t="s">
        <v>256</v>
      </c>
      <c r="D180" s="12">
        <f>D19/D130</f>
        <v>0.12602065338486029</v>
      </c>
    </row>
    <row r="181" spans="1:4" x14ac:dyDescent="0.2">
      <c r="A181" s="3" t="s">
        <v>241</v>
      </c>
      <c r="B181" s="3" t="s">
        <v>257</v>
      </c>
      <c r="C181" s="3" t="s">
        <v>258</v>
      </c>
      <c r="D181" s="3">
        <f>1/D184</f>
        <v>0.5</v>
      </c>
    </row>
    <row r="182" spans="1:4" x14ac:dyDescent="0.2">
      <c r="A182" s="3" t="s">
        <v>250</v>
      </c>
      <c r="B182" s="3" t="s">
        <v>247</v>
      </c>
      <c r="C182" s="3" t="s">
        <v>259</v>
      </c>
      <c r="D182" s="21">
        <f>D17/(D111*1000000)</f>
        <v>2.3240299823633157E-3</v>
      </c>
    </row>
    <row r="183" spans="1:4" x14ac:dyDescent="0.2">
      <c r="A183" s="3" t="s">
        <v>252</v>
      </c>
      <c r="B183" s="3" t="s">
        <v>247</v>
      </c>
      <c r="C183" s="3" t="s">
        <v>260</v>
      </c>
      <c r="D183" s="14">
        <f>D17</f>
        <v>2.204585537918871</v>
      </c>
    </row>
    <row r="184" spans="1:4" x14ac:dyDescent="0.2">
      <c r="A184" s="3" t="s">
        <v>257</v>
      </c>
      <c r="B184" s="3" t="s">
        <v>241</v>
      </c>
      <c r="C184" s="3" t="s">
        <v>261</v>
      </c>
      <c r="D184" s="14">
        <f>2000/1000</f>
        <v>2</v>
      </c>
    </row>
    <row r="186" spans="1:4" x14ac:dyDescent="0.2">
      <c r="A186" s="10"/>
      <c r="B186" s="10"/>
      <c r="C186" s="10" t="s">
        <v>262</v>
      </c>
      <c r="D186" s="10"/>
    </row>
    <row r="187" spans="1:4" x14ac:dyDescent="0.2">
      <c r="A187" s="3" t="s">
        <v>263</v>
      </c>
      <c r="B187" s="3" t="s">
        <v>264</v>
      </c>
      <c r="C187" s="3" t="s">
        <v>265</v>
      </c>
      <c r="D187" s="45">
        <f>D100/(D19*1000)</f>
        <v>2.3240299823633157E-3</v>
      </c>
    </row>
    <row r="188" spans="1:4" x14ac:dyDescent="0.2">
      <c r="A188" s="3" t="s">
        <v>263</v>
      </c>
      <c r="B188" s="3" t="s">
        <v>266</v>
      </c>
      <c r="C188" s="3" t="s">
        <v>267</v>
      </c>
      <c r="D188" s="45">
        <f>1/D193</f>
        <v>2E-3</v>
      </c>
    </row>
    <row r="189" spans="1:4" x14ac:dyDescent="0.2">
      <c r="A189" s="3" t="s">
        <v>268</v>
      </c>
      <c r="B189" s="3" t="s">
        <v>264</v>
      </c>
      <c r="C189" s="3" t="s">
        <v>269</v>
      </c>
      <c r="D189" s="45">
        <f>D117/(D19*2000)</f>
        <v>3.9676036155202815E-3</v>
      </c>
    </row>
    <row r="190" spans="1:4" x14ac:dyDescent="0.2">
      <c r="A190" s="3" t="s">
        <v>264</v>
      </c>
      <c r="B190" s="3" t="s">
        <v>263</v>
      </c>
      <c r="C190" s="3" t="s">
        <v>270</v>
      </c>
      <c r="D190" s="31">
        <f>1/D187</f>
        <v>430.28704775275571</v>
      </c>
    </row>
    <row r="191" spans="1:4" x14ac:dyDescent="0.2">
      <c r="A191" s="3" t="s">
        <v>264</v>
      </c>
      <c r="B191" s="3" t="s">
        <v>268</v>
      </c>
      <c r="C191" s="3" t="s">
        <v>271</v>
      </c>
      <c r="D191" s="16">
        <f>1/D189</f>
        <v>252.04130676972062</v>
      </c>
    </row>
    <row r="192" spans="1:4" x14ac:dyDescent="0.2">
      <c r="A192" s="3" t="s">
        <v>264</v>
      </c>
      <c r="B192" s="3" t="s">
        <v>266</v>
      </c>
      <c r="C192" s="3" t="s">
        <v>272</v>
      </c>
      <c r="D192" s="27">
        <f>MJ.kgTOBtu.lb*Btu.lbTOmmBtu.ton</f>
        <v>0.86057409550551145</v>
      </c>
    </row>
    <row r="193" spans="1:4" x14ac:dyDescent="0.2">
      <c r="A193" s="3" t="s">
        <v>266</v>
      </c>
      <c r="B193" s="3" t="s">
        <v>263</v>
      </c>
      <c r="C193" s="3" t="s">
        <v>273</v>
      </c>
      <c r="D193" s="16">
        <f>1000000/D25</f>
        <v>500</v>
      </c>
    </row>
    <row r="194" spans="1:4" x14ac:dyDescent="0.2">
      <c r="D194" s="45"/>
    </row>
    <row r="195" spans="1:4" x14ac:dyDescent="0.2">
      <c r="A195" s="10"/>
      <c r="B195" s="10"/>
      <c r="C195" s="10" t="s">
        <v>274</v>
      </c>
      <c r="D195" s="10"/>
    </row>
    <row r="196" spans="1:4" x14ac:dyDescent="0.2">
      <c r="A196" s="3" t="s">
        <v>275</v>
      </c>
      <c r="B196" s="3" t="s">
        <v>276</v>
      </c>
      <c r="C196" s="3" t="s">
        <v>277</v>
      </c>
      <c r="D196" s="18">
        <f>BtuTOkJ/(1000*ft3TOm3)</f>
        <v>3.7223870056497181E-2</v>
      </c>
    </row>
    <row r="197" spans="1:4" x14ac:dyDescent="0.2">
      <c r="A197" s="3" t="s">
        <v>276</v>
      </c>
      <c r="B197" s="3" t="s">
        <v>275</v>
      </c>
      <c r="C197" s="3" t="s">
        <v>278</v>
      </c>
      <c r="D197" s="30">
        <f>1/D196</f>
        <v>26.864482346468339</v>
      </c>
    </row>
    <row r="198" spans="1:4" x14ac:dyDescent="0.2">
      <c r="D198" s="30"/>
    </row>
    <row r="199" spans="1:4" x14ac:dyDescent="0.2">
      <c r="A199" s="10"/>
      <c r="B199" s="10"/>
      <c r="C199" s="10" t="s">
        <v>279</v>
      </c>
      <c r="D199" s="10"/>
    </row>
    <row r="200" spans="1:4" x14ac:dyDescent="0.2">
      <c r="A200" s="3" t="s">
        <v>280</v>
      </c>
      <c r="B200" s="3" t="s">
        <v>281</v>
      </c>
      <c r="C200" s="3" t="s">
        <v>282</v>
      </c>
      <c r="D200" s="47">
        <f>kmTOmi*D76</f>
        <v>2.3526413921690494</v>
      </c>
    </row>
    <row r="201" spans="1:4" x14ac:dyDescent="0.2">
      <c r="D201" s="30"/>
    </row>
    <row r="202" spans="1:4" x14ac:dyDescent="0.2">
      <c r="A202" s="10"/>
      <c r="B202" s="10"/>
      <c r="C202" s="10" t="s">
        <v>283</v>
      </c>
      <c r="D202" s="10"/>
    </row>
    <row r="203" spans="1:4" x14ac:dyDescent="0.2">
      <c r="A203" s="3" t="s">
        <v>284</v>
      </c>
      <c r="B203" s="3" t="s">
        <v>285</v>
      </c>
      <c r="C203" s="3" t="s">
        <v>286</v>
      </c>
      <c r="D203" s="27">
        <f>MgTOton/haTOacre</f>
        <v>0.44609338830221129</v>
      </c>
    </row>
    <row r="205" spans="1:4" x14ac:dyDescent="0.2">
      <c r="D205" s="16"/>
    </row>
    <row r="206" spans="1:4" x14ac:dyDescent="0.2">
      <c r="A206" s="48" t="s">
        <v>287</v>
      </c>
    </row>
    <row r="207" spans="1:4" ht="15" x14ac:dyDescent="0.25">
      <c r="A207" s="13" t="s">
        <v>288</v>
      </c>
    </row>
    <row r="208" spans="1:4" ht="15" x14ac:dyDescent="0.25">
      <c r="A208" s="13" t="s">
        <v>289</v>
      </c>
    </row>
    <row r="209" spans="1:1" x14ac:dyDescent="0.2">
      <c r="A209" s="3" t="s">
        <v>290</v>
      </c>
    </row>
    <row r="210" spans="1:1" x14ac:dyDescent="0.2">
      <c r="A210" s="3" t="s">
        <v>291</v>
      </c>
    </row>
    <row r="211" spans="1:1" x14ac:dyDescent="0.2">
      <c r="A211" s="3" t="s">
        <v>292</v>
      </c>
    </row>
    <row r="212" spans="1:1" x14ac:dyDescent="0.2">
      <c r="A212" s="3" t="s">
        <v>293</v>
      </c>
    </row>
    <row r="213" spans="1:1" x14ac:dyDescent="0.2">
      <c r="A213" s="3" t="s">
        <v>294</v>
      </c>
    </row>
    <row r="214" spans="1:1" x14ac:dyDescent="0.2">
      <c r="A214" s="3" t="s">
        <v>295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206</vt:i4>
      </vt:variant>
    </vt:vector>
  </HeadingPairs>
  <TitlesOfParts>
    <vt:vector size="208" baseType="lpstr">
      <vt:lpstr>Sheet1</vt:lpstr>
      <vt:lpstr>units</vt:lpstr>
      <vt:lpstr>acreftTOgal</vt:lpstr>
      <vt:lpstr>acreftTOm3</vt:lpstr>
      <vt:lpstr>acreinTOgal</vt:lpstr>
      <vt:lpstr>acreTOft2</vt:lpstr>
      <vt:lpstr>acreTOha</vt:lpstr>
      <vt:lpstr>Sheet1!acreTOkm2</vt:lpstr>
      <vt:lpstr>acreTOkm2</vt:lpstr>
      <vt:lpstr>acreTOm2</vt:lpstr>
      <vt:lpstr>acreTOmi2</vt:lpstr>
      <vt:lpstr>atmTObar</vt:lpstr>
      <vt:lpstr>atmTOpsi</vt:lpstr>
      <vt:lpstr>barTOPa</vt:lpstr>
      <vt:lpstr>barTOpsi</vt:lpstr>
      <vt:lpstr>Sheet1!bblTOgal</vt:lpstr>
      <vt:lpstr>bblTOgal</vt:lpstr>
      <vt:lpstr>bblTOL</vt:lpstr>
      <vt:lpstr>Btu.ft3TOMJ.m3</vt:lpstr>
      <vt:lpstr>Btu.hphTOmmBtu.MWh</vt:lpstr>
      <vt:lpstr>Btu.lbTOMJ.kg</vt:lpstr>
      <vt:lpstr>Sheet1!Btu.lbTOmmBtu.ton</vt:lpstr>
      <vt:lpstr>Btu.lbTOmmBtu.ton</vt:lpstr>
      <vt:lpstr>BtuTOcal</vt:lpstr>
      <vt:lpstr>Sheet1!BtuTOJ</vt:lpstr>
      <vt:lpstr>BtuTOJ</vt:lpstr>
      <vt:lpstr>Sheet1!BtuTOkJ</vt:lpstr>
      <vt:lpstr>BtuTOkJ</vt:lpstr>
      <vt:lpstr>Sheet1!BtuTOkWh</vt:lpstr>
      <vt:lpstr>BtuTOkWh</vt:lpstr>
      <vt:lpstr>BtuTOMJ</vt:lpstr>
      <vt:lpstr>BtuTOWh</vt:lpstr>
      <vt:lpstr>calTOBtu</vt:lpstr>
      <vt:lpstr>calTOJ</vt:lpstr>
      <vt:lpstr>cmTOin</vt:lpstr>
      <vt:lpstr>Sheet1!dayTOmin</vt:lpstr>
      <vt:lpstr>dayTOmin</vt:lpstr>
      <vt:lpstr>dayTOyr</vt:lpstr>
      <vt:lpstr>EJTOTWh</vt:lpstr>
      <vt:lpstr>ft2TOm2</vt:lpstr>
      <vt:lpstr>ft2TOyd2</vt:lpstr>
      <vt:lpstr>ft3TOgal</vt:lpstr>
      <vt:lpstr>ft3TOL</vt:lpstr>
      <vt:lpstr>Sheet1!ft3TOm3</vt:lpstr>
      <vt:lpstr>ft3TOm3</vt:lpstr>
      <vt:lpstr>ftTOm</vt:lpstr>
      <vt:lpstr>g.hphTOlb.MWh</vt:lpstr>
      <vt:lpstr>g.kWhTOlb.MWh</vt:lpstr>
      <vt:lpstr>galTOacreft</vt:lpstr>
      <vt:lpstr>galTOacrein</vt:lpstr>
      <vt:lpstr>galTObbl</vt:lpstr>
      <vt:lpstr>Sheet1!galTOL</vt:lpstr>
      <vt:lpstr>galTOL</vt:lpstr>
      <vt:lpstr>Sheet1!galTOliter</vt:lpstr>
      <vt:lpstr>galTOliter</vt:lpstr>
      <vt:lpstr>galTOm3</vt:lpstr>
      <vt:lpstr>ggeTOMJ</vt:lpstr>
      <vt:lpstr>Sheet1!GJ.hrTOMW</vt:lpstr>
      <vt:lpstr>GJ.hrTOMW</vt:lpstr>
      <vt:lpstr>Sheet1!GJTOmmBtu</vt:lpstr>
      <vt:lpstr>GJTOmmBtu</vt:lpstr>
      <vt:lpstr>GJTOMWh</vt:lpstr>
      <vt:lpstr>Sheet1!GJTOtherm</vt:lpstr>
      <vt:lpstr>GJTOtherm</vt:lpstr>
      <vt:lpstr>gpmTOliter.s</vt:lpstr>
      <vt:lpstr>gTOlb</vt:lpstr>
      <vt:lpstr>GWTOkW</vt:lpstr>
      <vt:lpstr>GWTOquad.yr</vt:lpstr>
      <vt:lpstr>GWTOTWh.yr</vt:lpstr>
      <vt:lpstr>Sheet1!haTOacre</vt:lpstr>
      <vt:lpstr>haTOacre</vt:lpstr>
      <vt:lpstr>haTOkm2</vt:lpstr>
      <vt:lpstr>hpTOkW</vt:lpstr>
      <vt:lpstr>hrTOday</vt:lpstr>
      <vt:lpstr>hrTOs</vt:lpstr>
      <vt:lpstr>Sheet1!hrTOyr</vt:lpstr>
      <vt:lpstr>hrTOyr</vt:lpstr>
      <vt:lpstr>inTOcm</vt:lpstr>
      <vt:lpstr>inTOmm</vt:lpstr>
      <vt:lpstr>JTOBtu</vt:lpstr>
      <vt:lpstr>JTOcal</vt:lpstr>
      <vt:lpstr>JTOWh</vt:lpstr>
      <vt:lpstr>kcalTOMJ</vt:lpstr>
      <vt:lpstr>kg.GJTOlb.MWh</vt:lpstr>
      <vt:lpstr>kgTOg</vt:lpstr>
      <vt:lpstr>kgTOlb</vt:lpstr>
      <vt:lpstr>kJ.kWhTOmmBtu.MWh</vt:lpstr>
      <vt:lpstr>Sheet1!kJTOBtu</vt:lpstr>
      <vt:lpstr>kJTOBtu</vt:lpstr>
      <vt:lpstr>km.lTOmi.gal</vt:lpstr>
      <vt:lpstr>km2TOacre</vt:lpstr>
      <vt:lpstr>km2TOm2</vt:lpstr>
      <vt:lpstr>km2TOmi2</vt:lpstr>
      <vt:lpstr>Sheet1!kmTOmi</vt:lpstr>
      <vt:lpstr>kmTOmi</vt:lpstr>
      <vt:lpstr>kWh.tonTOMJ.kg</vt:lpstr>
      <vt:lpstr>Sheet1!kWhTOBtu</vt:lpstr>
      <vt:lpstr>kWhTOBtu</vt:lpstr>
      <vt:lpstr>kWhTOMJ</vt:lpstr>
      <vt:lpstr>kWTOhp</vt:lpstr>
      <vt:lpstr>Sheet1!L.sTOgpm</vt:lpstr>
      <vt:lpstr>L.sTOgpm</vt:lpstr>
      <vt:lpstr>lb.mmBtuTOMg.mmBtu</vt:lpstr>
      <vt:lpstr>lb.mmBtuTOng.J</vt:lpstr>
      <vt:lpstr>lb.mmBtuTOTg.quad</vt:lpstr>
      <vt:lpstr>lb.MWhTOg.hph</vt:lpstr>
      <vt:lpstr>lb.MWhTOg.kWh</vt:lpstr>
      <vt:lpstr>lb.MWhTOkg.GJ</vt:lpstr>
      <vt:lpstr>lb.MWhTOton.GWh</vt:lpstr>
      <vt:lpstr>lbTOg</vt:lpstr>
      <vt:lpstr>Sheet1!lbTOkg</vt:lpstr>
      <vt:lpstr>lbTOkg</vt:lpstr>
      <vt:lpstr>lbTOMg</vt:lpstr>
      <vt:lpstr>lbTON</vt:lpstr>
      <vt:lpstr>Sheet1!lbTOoz</vt:lpstr>
      <vt:lpstr>lbTOoz</vt:lpstr>
      <vt:lpstr>lbTOton</vt:lpstr>
      <vt:lpstr>LTOft3</vt:lpstr>
      <vt:lpstr>LTOgal</vt:lpstr>
      <vt:lpstr>Sheet1!LTOm3</vt:lpstr>
      <vt:lpstr>LTOm3</vt:lpstr>
      <vt:lpstr>m2TOacre</vt:lpstr>
      <vt:lpstr>m2TOft2</vt:lpstr>
      <vt:lpstr>m2TOkm2</vt:lpstr>
      <vt:lpstr>m3.dayTOgpm</vt:lpstr>
      <vt:lpstr>m3TOacreft</vt:lpstr>
      <vt:lpstr>m3TOft3</vt:lpstr>
      <vt:lpstr>m3TOgal</vt:lpstr>
      <vt:lpstr>m3TOliter</vt:lpstr>
      <vt:lpstr>Mg.hayrTOton.acreyr</vt:lpstr>
      <vt:lpstr>Sheet1!MgTOton</vt:lpstr>
      <vt:lpstr>MgTOton</vt:lpstr>
      <vt:lpstr>mi2TOacre</vt:lpstr>
      <vt:lpstr>mi2TOkm2</vt:lpstr>
      <vt:lpstr>minTOday</vt:lpstr>
      <vt:lpstr>miTOkm</vt:lpstr>
      <vt:lpstr>MJ.hrTOkW</vt:lpstr>
      <vt:lpstr>Sheet1!MJ.kgTOBtu.lb</vt:lpstr>
      <vt:lpstr>MJ.kgTOBtu.lb</vt:lpstr>
      <vt:lpstr>MJ.kgTOkWh.ton</vt:lpstr>
      <vt:lpstr>MJ.kgTOmmBtu.ton</vt:lpstr>
      <vt:lpstr>MJ.kWhTOmmBtu.MWh</vt:lpstr>
      <vt:lpstr>MJ.m3TOBtu.ft3</vt:lpstr>
      <vt:lpstr>MJTOBtu</vt:lpstr>
      <vt:lpstr>MJTOkcal</vt:lpstr>
      <vt:lpstr>Sheet1!MJTOkWh</vt:lpstr>
      <vt:lpstr>MJTOkWh</vt:lpstr>
      <vt:lpstr>MJTOMWh</vt:lpstr>
      <vt:lpstr>Sheet1!MJTOtherm</vt:lpstr>
      <vt:lpstr>MJTOtherm</vt:lpstr>
      <vt:lpstr>mmBtu.MWhTOBtu.hph</vt:lpstr>
      <vt:lpstr>mmBtu.MWhTOkJ.kWh</vt:lpstr>
      <vt:lpstr>mmBtu.MWhTOMJ.kWh</vt:lpstr>
      <vt:lpstr>mmBtu.tonTOBtu.lb</vt:lpstr>
      <vt:lpstr>Sheet1!mmBtuTOMJ</vt:lpstr>
      <vt:lpstr>mmBtuTOMJ</vt:lpstr>
      <vt:lpstr>mmBtuTOMWh</vt:lpstr>
      <vt:lpstr>Sheet1!mmBtuTOtherm</vt:lpstr>
      <vt:lpstr>mmBtuTOtherm</vt:lpstr>
      <vt:lpstr>mmBtuTOTJ</vt:lpstr>
      <vt:lpstr>mmTOin</vt:lpstr>
      <vt:lpstr>moTOday</vt:lpstr>
      <vt:lpstr>moTOyr</vt:lpstr>
      <vt:lpstr>MtoeTOGWh</vt:lpstr>
      <vt:lpstr>MtoeTOmmBtu</vt:lpstr>
      <vt:lpstr>MtoeTOTJ</vt:lpstr>
      <vt:lpstr>Sheet1!MWhTOGJ</vt:lpstr>
      <vt:lpstr>MWhTOGJ</vt:lpstr>
      <vt:lpstr>MWhTOmmBtu</vt:lpstr>
      <vt:lpstr>MWhTOTJ</vt:lpstr>
      <vt:lpstr>MWTOGJ.hr</vt:lpstr>
      <vt:lpstr>MWTOkW</vt:lpstr>
      <vt:lpstr>ng.JTOlb.mmBtu</vt:lpstr>
      <vt:lpstr>ozTOkg</vt:lpstr>
      <vt:lpstr>psiTOPa</vt:lpstr>
      <vt:lpstr>quad.yrTOGW</vt:lpstr>
      <vt:lpstr>quadTOEJ</vt:lpstr>
      <vt:lpstr>Sheet1!quadTOTWh</vt:lpstr>
      <vt:lpstr>quadTOTWh</vt:lpstr>
      <vt:lpstr>sTOday</vt:lpstr>
      <vt:lpstr>sTOhr</vt:lpstr>
      <vt:lpstr>Tg.quadTOlb.mmBtu</vt:lpstr>
      <vt:lpstr>Sheet1!thermTOBtu</vt:lpstr>
      <vt:lpstr>thermTOBtu</vt:lpstr>
      <vt:lpstr>thermTOGJ</vt:lpstr>
      <vt:lpstr>thermTOkWh</vt:lpstr>
      <vt:lpstr>Sheet1!thermTOMJ</vt:lpstr>
      <vt:lpstr>thermTOMJ</vt:lpstr>
      <vt:lpstr>thermTOTJ</vt:lpstr>
      <vt:lpstr>ton.GWhTOlb.MWh</vt:lpstr>
      <vt:lpstr>tonTOkg</vt:lpstr>
      <vt:lpstr>tonTOlb</vt:lpstr>
      <vt:lpstr>Sheet1!tonTOMg</vt:lpstr>
      <vt:lpstr>tonTOMg</vt:lpstr>
      <vt:lpstr>TWh.yrTOGW</vt:lpstr>
      <vt:lpstr>Sheet1!TWhTOEJ</vt:lpstr>
      <vt:lpstr>TWhTOEJ</vt:lpstr>
      <vt:lpstr>TWhTOquad</vt:lpstr>
      <vt:lpstr>WhTOBtu</vt:lpstr>
      <vt:lpstr>Sheet1!WhTOJ</vt:lpstr>
      <vt:lpstr>WhTOJ</vt:lpstr>
      <vt:lpstr>yd2TOft2</vt:lpstr>
      <vt:lpstr>yd3TOm3</vt:lpstr>
      <vt:lpstr>Sheet1!yrTOday</vt:lpstr>
      <vt:lpstr>yrTOday</vt:lpstr>
      <vt:lpstr>yrTOhr</vt:lpstr>
      <vt:lpstr>Sheet1!yrTOmo</vt:lpstr>
      <vt:lpstr>yrTOmo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Harmon</dc:creator>
  <cp:lastModifiedBy>Brian Harmon</cp:lastModifiedBy>
  <dcterms:created xsi:type="dcterms:W3CDTF">2017-04-19T20:08:57Z</dcterms:created>
  <dcterms:modified xsi:type="dcterms:W3CDTF">2017-06-22T00:13:28Z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b20128d8-2ff3-4bf4-9518-0ab6c30012a9</vt:lpwstr>
  </property>
</Properties>
</file>