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harmon\Dropbox (Cascadia)\KC 2015 GHG Inventory\Pierce County Inventory\PC15-50-0_Waste\"/>
    </mc:Choice>
  </mc:AlternateContent>
  <bookViews>
    <workbookView xWindow="0" yWindow="0" windowWidth="28800" windowHeight="11235" activeTab="1"/>
  </bookViews>
  <sheets>
    <sheet name="Sheet1" sheetId="1" r:id="rId1"/>
    <sheet name="Sheet3" sheetId="3" r:id="rId2"/>
    <sheet name="Pierce Composting" sheetId="4" r:id="rId3"/>
    <sheet name="Tacoma Composting" sheetId="5" r:id="rId4"/>
  </sheets>
  <externalReferences>
    <externalReference r:id="rId5"/>
    <externalReference r:id="rId6"/>
  </externalReferences>
  <definedNames>
    <definedName name="_xlnm._FilterDatabase" localSheetId="3" hidden="1">'Tacoma Composting'!$B$6:$B$55</definedName>
    <definedName name="_xlnm.Extract" localSheetId="3">'Tacoma Composting'!#REF!</definedName>
    <definedName name="WeightedComposition_Original">[2]RawData!$A$1:$H$89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1" i="3" l="1"/>
  <c r="F43" i="3"/>
  <c r="F40" i="3"/>
  <c r="F38" i="3"/>
  <c r="J57" i="5"/>
  <c r="J56" i="5"/>
  <c r="J55" i="5"/>
  <c r="J54" i="5"/>
  <c r="J53" i="5"/>
  <c r="J52" i="5"/>
  <c r="J51" i="5"/>
  <c r="J50" i="5"/>
  <c r="J49" i="5"/>
  <c r="R48" i="5"/>
  <c r="P48" i="5"/>
  <c r="O48" i="5" s="1"/>
  <c r="J48" i="5"/>
  <c r="P47" i="5"/>
  <c r="R47" i="5" s="1"/>
  <c r="J47" i="5"/>
  <c r="P46" i="5"/>
  <c r="O46" i="5" s="1"/>
  <c r="J46" i="5"/>
  <c r="Q45" i="5"/>
  <c r="Q46" i="5" s="1"/>
  <c r="Q47" i="5" s="1"/>
  <c r="Q48" i="5" s="1"/>
  <c r="P45" i="5"/>
  <c r="J45" i="5"/>
  <c r="Q44" i="5"/>
  <c r="P44" i="5"/>
  <c r="R44" i="5" s="1"/>
  <c r="O44" i="5"/>
  <c r="J44" i="5"/>
  <c r="J43" i="5"/>
  <c r="J42" i="5"/>
  <c r="J41" i="5"/>
  <c r="J40" i="5"/>
  <c r="J39" i="5"/>
  <c r="J38" i="5"/>
  <c r="J37" i="5"/>
  <c r="AB36" i="5"/>
  <c r="AB34" i="5" s="1"/>
  <c r="J36" i="5"/>
  <c r="J35" i="5"/>
  <c r="Z34" i="5"/>
  <c r="X34" i="5"/>
  <c r="V34" i="5"/>
  <c r="K34" i="5"/>
  <c r="Z33" i="5"/>
  <c r="X33" i="5"/>
  <c r="K33" i="5"/>
  <c r="Z32" i="5"/>
  <c r="X32" i="5"/>
  <c r="V32" i="5"/>
  <c r="Z31" i="5"/>
  <c r="X31" i="5"/>
  <c r="AB31" i="5" s="1"/>
  <c r="AB30" i="5"/>
  <c r="Z30" i="5"/>
  <c r="X30" i="5"/>
  <c r="AB29" i="5"/>
  <c r="Z29" i="5"/>
  <c r="X29" i="5"/>
  <c r="AB28" i="5"/>
  <c r="Z28" i="5"/>
  <c r="X28" i="5"/>
  <c r="L28" i="5"/>
  <c r="K28" i="5"/>
  <c r="J28" i="5"/>
  <c r="Z27" i="5"/>
  <c r="X27" i="5"/>
  <c r="AB27" i="5" s="1"/>
  <c r="L27" i="5"/>
  <c r="K27" i="5"/>
  <c r="J27" i="5"/>
  <c r="V33" i="5" s="1"/>
  <c r="AB26" i="5"/>
  <c r="Z26" i="5"/>
  <c r="X26" i="5"/>
  <c r="L26" i="5"/>
  <c r="K26" i="5"/>
  <c r="J26" i="5"/>
  <c r="AB25" i="5"/>
  <c r="Z25" i="5"/>
  <c r="X25" i="5"/>
  <c r="L25" i="5"/>
  <c r="K25" i="5"/>
  <c r="J25" i="5"/>
  <c r="V31" i="5" s="1"/>
  <c r="Z24" i="5"/>
  <c r="X24" i="5"/>
  <c r="AB24" i="5" s="1"/>
  <c r="L24" i="5"/>
  <c r="K24" i="5"/>
  <c r="J24" i="5"/>
  <c r="V30" i="5" s="1"/>
  <c r="Z23" i="5"/>
  <c r="X23" i="5"/>
  <c r="AB23" i="5" s="1"/>
  <c r="O23" i="5"/>
  <c r="P23" i="5" s="1"/>
  <c r="L23" i="5"/>
  <c r="K23" i="5"/>
  <c r="J23" i="5"/>
  <c r="V29" i="5" s="1"/>
  <c r="AB22" i="5"/>
  <c r="Z22" i="5"/>
  <c r="X22" i="5"/>
  <c r="O22" i="5"/>
  <c r="L22" i="5"/>
  <c r="K22" i="5"/>
  <c r="J22" i="5"/>
  <c r="V28" i="5" s="1"/>
  <c r="O21" i="5"/>
  <c r="L21" i="5"/>
  <c r="K21" i="5"/>
  <c r="J21" i="5"/>
  <c r="V27" i="5" s="1"/>
  <c r="O20" i="5"/>
  <c r="L20" i="5"/>
  <c r="K20" i="5"/>
  <c r="J20" i="5"/>
  <c r="V26" i="5" s="1"/>
  <c r="AB19" i="5"/>
  <c r="Z19" i="5"/>
  <c r="X19" i="5"/>
  <c r="O19" i="5"/>
  <c r="L19" i="5"/>
  <c r="K19" i="5"/>
  <c r="J19" i="5"/>
  <c r="V25" i="5" s="1"/>
  <c r="AB18" i="5"/>
  <c r="Z18" i="5"/>
  <c r="X18" i="5"/>
  <c r="O18" i="5"/>
  <c r="L18" i="5"/>
  <c r="K18" i="5"/>
  <c r="J18" i="5"/>
  <c r="V24" i="5" s="1"/>
  <c r="AB17" i="5"/>
  <c r="Z17" i="5"/>
  <c r="X17" i="5"/>
  <c r="L17" i="5"/>
  <c r="K17" i="5"/>
  <c r="J17" i="5"/>
  <c r="V23" i="5" s="1"/>
  <c r="Z16" i="5"/>
  <c r="X16" i="5"/>
  <c r="AH10" i="5" s="1"/>
  <c r="L16" i="5"/>
  <c r="U21" i="5" s="1"/>
  <c r="K16" i="5"/>
  <c r="J16" i="5"/>
  <c r="V22" i="5" s="1"/>
  <c r="Z15" i="5"/>
  <c r="X15" i="5"/>
  <c r="AB15" i="5" s="1"/>
  <c r="V15" i="5"/>
  <c r="L15" i="5"/>
  <c r="K15" i="5"/>
  <c r="J15" i="5"/>
  <c r="V19" i="5" s="1"/>
  <c r="AB14" i="5"/>
  <c r="Z14" i="5"/>
  <c r="X14" i="5"/>
  <c r="W13" i="5" s="1"/>
  <c r="AG10" i="5" s="1"/>
  <c r="AI10" i="5" s="1"/>
  <c r="L14" i="5"/>
  <c r="K14" i="5"/>
  <c r="J14" i="5"/>
  <c r="V18" i="5" s="1"/>
  <c r="AH13" i="5"/>
  <c r="U13" i="5"/>
  <c r="L13" i="5"/>
  <c r="K13" i="5"/>
  <c r="J13" i="5"/>
  <c r="V17" i="5" s="1"/>
  <c r="L12" i="5"/>
  <c r="K12" i="5"/>
  <c r="J12" i="5"/>
  <c r="V16" i="5" s="1"/>
  <c r="Z11" i="5"/>
  <c r="X11" i="5"/>
  <c r="AB11" i="5" s="1"/>
  <c r="V11" i="5"/>
  <c r="L11" i="5"/>
  <c r="K11" i="5"/>
  <c r="J11" i="5"/>
  <c r="Z10" i="5"/>
  <c r="X10" i="5"/>
  <c r="AB10" i="5" s="1"/>
  <c r="L10" i="5"/>
  <c r="K10" i="5"/>
  <c r="P21" i="5" s="1"/>
  <c r="J10" i="5"/>
  <c r="V14" i="5" s="1"/>
  <c r="Z9" i="5"/>
  <c r="X9" i="5"/>
  <c r="AB9" i="5" s="1"/>
  <c r="L9" i="5"/>
  <c r="K9" i="5"/>
  <c r="J9" i="5"/>
  <c r="AB8" i="5"/>
  <c r="Z8" i="5"/>
  <c r="X8" i="5"/>
  <c r="X43" i="5" s="1"/>
  <c r="L8" i="5"/>
  <c r="K8" i="5"/>
  <c r="J8" i="5"/>
  <c r="V10" i="5" s="1"/>
  <c r="W7" i="5"/>
  <c r="L7" i="5"/>
  <c r="K7" i="5"/>
  <c r="J7" i="5"/>
  <c r="O47" i="5" s="1"/>
  <c r="L6" i="5"/>
  <c r="P32" i="5" s="1"/>
  <c r="K6" i="5"/>
  <c r="J6" i="5"/>
  <c r="O45" i="5" s="1"/>
  <c r="C2" i="5"/>
  <c r="AB37" i="5" s="1"/>
  <c r="D64" i="3"/>
  <c r="F63" i="3"/>
  <c r="E63" i="3"/>
  <c r="D63" i="3"/>
  <c r="G63" i="3" s="1"/>
  <c r="F61" i="3"/>
  <c r="E61" i="3"/>
  <c r="D61" i="3"/>
  <c r="F60" i="3"/>
  <c r="E60" i="3"/>
  <c r="D60" i="3"/>
  <c r="G60" i="3" s="1"/>
  <c r="E59" i="3"/>
  <c r="D59" i="3"/>
  <c r="G59" i="3" s="1"/>
  <c r="G54" i="3"/>
  <c r="G53" i="3"/>
  <c r="G52" i="3"/>
  <c r="G51" i="3"/>
  <c r="G50" i="3"/>
  <c r="G49" i="3"/>
  <c r="E64" i="3"/>
  <c r="D62" i="3"/>
  <c r="F59" i="3"/>
  <c r="D25" i="3"/>
  <c r="AB21" i="5" l="1"/>
  <c r="AG18" i="5" s="1"/>
  <c r="V9" i="5"/>
  <c r="AG9" i="5"/>
  <c r="AH16" i="5"/>
  <c r="P18" i="5"/>
  <c r="P20" i="5"/>
  <c r="P22" i="5"/>
  <c r="AB7" i="5"/>
  <c r="V8" i="5"/>
  <c r="V40" i="5" s="1"/>
  <c r="AH9" i="5"/>
  <c r="AH12" i="5" s="1"/>
  <c r="AH11" i="5"/>
  <c r="P33" i="5"/>
  <c r="AB33" i="5"/>
  <c r="R45" i="5"/>
  <c r="R49" i="5" s="1"/>
  <c r="AB16" i="5"/>
  <c r="AH17" i="5" s="1"/>
  <c r="W21" i="5"/>
  <c r="AG11" i="5" s="1"/>
  <c r="AI11" i="5" s="1"/>
  <c r="P31" i="5"/>
  <c r="X41" i="5"/>
  <c r="R46" i="5"/>
  <c r="P49" i="5"/>
  <c r="P19" i="5"/>
  <c r="U7" i="5"/>
  <c r="AB32" i="5"/>
  <c r="AH18" i="5" s="1"/>
  <c r="G61" i="3"/>
  <c r="D65" i="3"/>
  <c r="E62" i="3"/>
  <c r="E65" i="3" s="1"/>
  <c r="F62" i="3"/>
  <c r="F64" i="3"/>
  <c r="G64" i="3" s="1"/>
  <c r="E41" i="4"/>
  <c r="F7" i="3"/>
  <c r="F9" i="3"/>
  <c r="F4" i="3"/>
  <c r="K25" i="3" s="1"/>
  <c r="E42" i="4"/>
  <c r="E43" i="4"/>
  <c r="E44" i="4"/>
  <c r="E47" i="4"/>
  <c r="E48" i="4"/>
  <c r="E49" i="4"/>
  <c r="E50" i="4"/>
  <c r="E51" i="4"/>
  <c r="E52" i="4"/>
  <c r="J26" i="3"/>
  <c r="K26" i="3"/>
  <c r="L26" i="3"/>
  <c r="J27" i="3"/>
  <c r="K27" i="3"/>
  <c r="L27" i="3"/>
  <c r="J28" i="3"/>
  <c r="K28" i="3"/>
  <c r="L28" i="3"/>
  <c r="J29" i="3"/>
  <c r="K29" i="3"/>
  <c r="L29" i="3"/>
  <c r="J30" i="3"/>
  <c r="K30" i="3"/>
  <c r="L30" i="3"/>
  <c r="L25" i="3"/>
  <c r="F65" i="3" l="1"/>
  <c r="AG16" i="5"/>
  <c r="AG20" i="5"/>
  <c r="AI20" i="5" s="1"/>
  <c r="P34" i="5"/>
  <c r="AB13" i="5"/>
  <c r="AG17" i="5" s="1"/>
  <c r="AI17" i="5" s="1"/>
  <c r="AG12" i="5"/>
  <c r="AI12" i="5" s="1"/>
  <c r="AI9" i="5"/>
  <c r="AH20" i="5"/>
  <c r="AI18" i="5"/>
  <c r="AH19" i="5"/>
  <c r="P24" i="5"/>
  <c r="AG13" i="5"/>
  <c r="AI13" i="5" s="1"/>
  <c r="G62" i="3"/>
  <c r="G65" i="3" s="1"/>
  <c r="J25" i="3"/>
  <c r="M25" i="3" s="1"/>
  <c r="G15" i="3"/>
  <c r="O14" i="1"/>
  <c r="L14" i="1"/>
  <c r="I11" i="1"/>
  <c r="X42" i="5" l="1"/>
  <c r="X44" i="5"/>
  <c r="AG19" i="5"/>
  <c r="AI19" i="5" s="1"/>
  <c r="AI16" i="5"/>
  <c r="L31" i="3"/>
  <c r="J31" i="3"/>
  <c r="K31" i="3"/>
  <c r="M26" i="3"/>
  <c r="M27" i="3"/>
  <c r="M28" i="3"/>
  <c r="M29" i="3"/>
  <c r="M30" i="3"/>
  <c r="E25" i="3"/>
  <c r="O25" i="3" s="1"/>
  <c r="D26" i="3"/>
  <c r="N26" i="3" s="1"/>
  <c r="D27" i="3"/>
  <c r="N27" i="3" s="1"/>
  <c r="D28" i="3"/>
  <c r="N28" i="3" s="1"/>
  <c r="D29" i="3"/>
  <c r="N29" i="3" s="1"/>
  <c r="D30" i="3"/>
  <c r="N30" i="3" s="1"/>
  <c r="N25" i="3"/>
  <c r="E26" i="3"/>
  <c r="O26" i="3" s="1"/>
  <c r="E27" i="3"/>
  <c r="O27" i="3" s="1"/>
  <c r="E28" i="3"/>
  <c r="O28" i="3" s="1"/>
  <c r="E29" i="3"/>
  <c r="O29" i="3" s="1"/>
  <c r="E30" i="3"/>
  <c r="O30" i="3" s="1"/>
  <c r="F26" i="3"/>
  <c r="P26" i="3" s="1"/>
  <c r="F27" i="3"/>
  <c r="P27" i="3" s="1"/>
  <c r="F28" i="3"/>
  <c r="P28" i="3" s="1"/>
  <c r="F29" i="3"/>
  <c r="P29" i="3" s="1"/>
  <c r="F30" i="3"/>
  <c r="P30" i="3" s="1"/>
  <c r="F25" i="3"/>
  <c r="P25" i="3" s="1"/>
  <c r="G16" i="3"/>
  <c r="G17" i="3"/>
  <c r="G18" i="3"/>
  <c r="G19" i="3"/>
  <c r="G20" i="3"/>
  <c r="G26" i="3" l="1"/>
  <c r="G30" i="3"/>
  <c r="G25" i="3"/>
  <c r="Q25" i="3" s="1"/>
  <c r="E31" i="3"/>
  <c r="O31" i="3" s="1"/>
  <c r="G27" i="3"/>
  <c r="Q27" i="3" s="1"/>
  <c r="Q30" i="3"/>
  <c r="Q26" i="3"/>
  <c r="G28" i="3"/>
  <c r="Q28" i="3" s="1"/>
  <c r="F31" i="3"/>
  <c r="P31" i="3" s="1"/>
  <c r="M31" i="3"/>
  <c r="G29" i="3"/>
  <c r="Q29" i="3" s="1"/>
  <c r="D31" i="3"/>
  <c r="N31" i="3" s="1"/>
  <c r="G31" i="3" l="1"/>
  <c r="H31" i="3" s="1"/>
  <c r="T14" i="1"/>
  <c r="Q31" i="3" l="1"/>
  <c r="P24" i="1"/>
  <c r="M24" i="1"/>
  <c r="J24" i="1"/>
  <c r="G24" i="1"/>
  <c r="R7" i="1"/>
  <c r="O7" i="1"/>
  <c r="P28" i="1" s="1"/>
  <c r="L7" i="1"/>
  <c r="T7" i="1" s="1"/>
  <c r="R23" i="1"/>
  <c r="R22" i="1"/>
  <c r="R21" i="1"/>
  <c r="R20" i="1"/>
  <c r="R19" i="1"/>
  <c r="R18" i="1"/>
  <c r="R17" i="1"/>
  <c r="R16" i="1"/>
  <c r="R15" i="1"/>
  <c r="R14" i="1"/>
  <c r="U14" i="1" s="1"/>
  <c r="R13" i="1"/>
  <c r="U13" i="1" s="1"/>
  <c r="R12" i="1"/>
  <c r="U12" i="1" s="1"/>
  <c r="R11" i="1"/>
  <c r="R10" i="1"/>
  <c r="U10" i="1" s="1"/>
  <c r="R9" i="1"/>
  <c r="U9" i="1" s="1"/>
  <c r="R8" i="1"/>
  <c r="U8" i="1" s="1"/>
  <c r="O23" i="1"/>
  <c r="O22" i="1"/>
  <c r="O21" i="1"/>
  <c r="O20" i="1"/>
  <c r="O19" i="1"/>
  <c r="O18" i="1"/>
  <c r="O17" i="1"/>
  <c r="O16" i="1"/>
  <c r="O15" i="1"/>
  <c r="O13" i="1"/>
  <c r="O12" i="1"/>
  <c r="O11" i="1"/>
  <c r="O10" i="1"/>
  <c r="O9" i="1"/>
  <c r="O8" i="1"/>
  <c r="L23" i="1"/>
  <c r="T23" i="1" s="1"/>
  <c r="L22" i="1"/>
  <c r="L21" i="1"/>
  <c r="T21" i="1" s="1"/>
  <c r="L20" i="1"/>
  <c r="L19" i="1"/>
  <c r="T19" i="1" s="1"/>
  <c r="L18" i="1"/>
  <c r="L17" i="1"/>
  <c r="L16" i="1"/>
  <c r="L15" i="1"/>
  <c r="T15" i="1" s="1"/>
  <c r="L13" i="1"/>
  <c r="L12" i="1"/>
  <c r="L11" i="1"/>
  <c r="L10" i="1"/>
  <c r="T10" i="1" s="1"/>
  <c r="L9" i="1"/>
  <c r="L8" i="1"/>
  <c r="I8" i="1"/>
  <c r="S8" i="1" s="1"/>
  <c r="I9" i="1"/>
  <c r="S9" i="1" s="1"/>
  <c r="I10" i="1"/>
  <c r="I12" i="1"/>
  <c r="S12" i="1" s="1"/>
  <c r="I13" i="1"/>
  <c r="S13" i="1" s="1"/>
  <c r="I14" i="1"/>
  <c r="S14" i="1" s="1"/>
  <c r="I15" i="1"/>
  <c r="I16" i="1"/>
  <c r="I17" i="1"/>
  <c r="S17" i="1" s="1"/>
  <c r="I18" i="1"/>
  <c r="S18" i="1" s="1"/>
  <c r="I19" i="1"/>
  <c r="I20" i="1"/>
  <c r="I21" i="1"/>
  <c r="S21" i="1" s="1"/>
  <c r="I22" i="1"/>
  <c r="S22" i="1" s="1"/>
  <c r="I23" i="1"/>
  <c r="I7" i="1"/>
  <c r="U18" i="1" l="1"/>
  <c r="U22" i="1"/>
  <c r="U7" i="1"/>
  <c r="P30" i="1"/>
  <c r="Q28" i="1" s="1"/>
  <c r="R28" i="1" s="1"/>
  <c r="S28" i="1" s="1"/>
  <c r="U16" i="1"/>
  <c r="U20" i="1"/>
  <c r="T11" i="1"/>
  <c r="S11" i="1"/>
  <c r="T16" i="1"/>
  <c r="T20" i="1"/>
  <c r="U17" i="1"/>
  <c r="U21" i="1"/>
  <c r="S7" i="1"/>
  <c r="S20" i="1"/>
  <c r="S16" i="1"/>
  <c r="T8" i="1"/>
  <c r="T12" i="1"/>
  <c r="T17" i="1"/>
  <c r="S23" i="1"/>
  <c r="S19" i="1"/>
  <c r="S15" i="1"/>
  <c r="S10" i="1"/>
  <c r="T9" i="1"/>
  <c r="T13" i="1"/>
  <c r="T18" i="1"/>
  <c r="T22" i="1"/>
  <c r="U11" i="1"/>
  <c r="U15" i="1"/>
  <c r="U19" i="1"/>
  <c r="U23" i="1"/>
</calcChain>
</file>

<file path=xl/comments1.xml><?xml version="1.0" encoding="utf-8"?>
<comments xmlns="http://schemas.openxmlformats.org/spreadsheetml/2006/main">
  <authors>
    <author>Dieter Eckels</author>
  </authors>
  <commentList>
    <comment ref="G5" authorId="0" shapeId="0">
      <text>
        <r>
          <rPr>
            <b/>
            <sz val="9"/>
            <color indexed="81"/>
            <rFont val="Tahoma"/>
            <family val="2"/>
          </rPr>
          <t>Dieter Eckels:</t>
        </r>
        <r>
          <rPr>
            <sz val="9"/>
            <color indexed="81"/>
            <rFont val="Tahoma"/>
            <family val="2"/>
          </rPr>
          <t xml:space="preserve">
Only about 50% of KC residents had food+yard service</t>
        </r>
      </text>
    </comment>
    <comment ref="J5" authorId="0" shapeId="0">
      <text>
        <r>
          <rPr>
            <b/>
            <sz val="9"/>
            <color indexed="81"/>
            <rFont val="Tahoma"/>
            <family val="2"/>
          </rPr>
          <t>Dieter Eckels:</t>
        </r>
        <r>
          <rPr>
            <sz val="9"/>
            <color indexed="81"/>
            <rFont val="Tahoma"/>
            <family val="2"/>
          </rPr>
          <t xml:space="preserve">
About 97% of KC residents had food+yard service</t>
        </r>
      </text>
    </comment>
    <comment ref="M5" authorId="0" shapeId="0">
      <text>
        <r>
          <rPr>
            <b/>
            <sz val="9"/>
            <color indexed="81"/>
            <rFont val="Tahoma"/>
            <family val="2"/>
          </rPr>
          <t>Dieter Eckels:</t>
        </r>
        <r>
          <rPr>
            <sz val="9"/>
            <color indexed="81"/>
            <rFont val="Tahoma"/>
            <family val="2"/>
          </rPr>
          <t xml:space="preserve">
About 99% of KC residents had food+yard service</t>
        </r>
      </text>
    </comment>
    <comment ref="P5" authorId="0" shapeId="0">
      <text>
        <r>
          <rPr>
            <b/>
            <sz val="9"/>
            <color indexed="81"/>
            <rFont val="Tahoma"/>
            <family val="2"/>
          </rPr>
          <t>Dieter Eckels:</t>
        </r>
        <r>
          <rPr>
            <sz val="9"/>
            <color indexed="81"/>
            <rFont val="Tahoma"/>
            <family val="2"/>
          </rPr>
          <t xml:space="preserve">
About 99% of KC residents had food+yard service</t>
        </r>
      </text>
    </comment>
    <comment ref="I24" authorId="0" shapeId="0">
      <text>
        <r>
          <rPr>
            <b/>
            <sz val="8"/>
            <color indexed="81"/>
            <rFont val="Tahoma"/>
            <family val="2"/>
          </rPr>
          <t>Dieter Eckels:</t>
        </r>
        <r>
          <rPr>
            <sz val="8"/>
            <color indexed="81"/>
            <rFont val="Tahoma"/>
            <family val="2"/>
          </rPr>
          <t xml:space="preserve">
June 2007 tons from bill reed</t>
        </r>
      </text>
    </comment>
    <comment ref="L24" authorId="0" shapeId="0">
      <text>
        <r>
          <rPr>
            <b/>
            <sz val="8"/>
            <color indexed="81"/>
            <rFont val="Tahoma"/>
            <family val="2"/>
          </rPr>
          <t>Dieter Eckels:</t>
        </r>
        <r>
          <rPr>
            <sz val="8"/>
            <color indexed="81"/>
            <rFont val="Tahoma"/>
            <family val="2"/>
          </rPr>
          <t xml:space="preserve">
Sept 2008-Aug 2009 tons from bill reed</t>
        </r>
      </text>
    </comment>
  </commentList>
</comments>
</file>

<file path=xl/comments2.xml><?xml version="1.0" encoding="utf-8"?>
<comments xmlns="http://schemas.openxmlformats.org/spreadsheetml/2006/main">
  <authors>
    <author>Kendra White</author>
  </authors>
  <commentList>
    <comment ref="G15" authorId="0" shapeId="0">
      <text>
        <r>
          <rPr>
            <b/>
            <sz val="9"/>
            <color indexed="81"/>
            <rFont val="Tahoma"/>
            <family val="2"/>
          </rPr>
          <t>Kendra White:</t>
        </r>
        <r>
          <rPr>
            <sz val="9"/>
            <color indexed="81"/>
            <rFont val="Tahoma"/>
            <family val="2"/>
          </rPr>
          <t xml:space="preserve">
Looks like a rounding issue, but this is reported at -0.18 in the source.</t>
        </r>
      </text>
    </comment>
    <comment ref="G16" authorId="0" shapeId="0">
      <text>
        <r>
          <rPr>
            <b/>
            <sz val="9"/>
            <color indexed="81"/>
            <rFont val="Tahoma"/>
            <family val="2"/>
          </rPr>
          <t>Kendra White:</t>
        </r>
        <r>
          <rPr>
            <sz val="9"/>
            <color indexed="81"/>
            <rFont val="Tahoma"/>
            <family val="2"/>
          </rPr>
          <t xml:space="preserve">
Looks like a rounding issue, but this is reported at -0.18 in the source.</t>
        </r>
      </text>
    </comment>
    <comment ref="G17" authorId="0" shapeId="0">
      <text>
        <r>
          <rPr>
            <b/>
            <sz val="9"/>
            <color indexed="81"/>
            <rFont val="Tahoma"/>
            <family val="2"/>
          </rPr>
          <t>Kendra White:</t>
        </r>
        <r>
          <rPr>
            <sz val="9"/>
            <color indexed="81"/>
            <rFont val="Tahoma"/>
            <family val="2"/>
          </rPr>
          <t xml:space="preserve">
Looks like a rounding issue, but this is reported at -0.18 in the source.</t>
        </r>
      </text>
    </comment>
    <comment ref="G18" authorId="0" shapeId="0">
      <text>
        <r>
          <rPr>
            <b/>
            <sz val="9"/>
            <color indexed="81"/>
            <rFont val="Tahoma"/>
            <family val="2"/>
          </rPr>
          <t>Kendra White:</t>
        </r>
        <r>
          <rPr>
            <sz val="9"/>
            <color indexed="81"/>
            <rFont val="Tahoma"/>
            <family val="2"/>
          </rPr>
          <t xml:space="preserve">
Looks like a rounding issue, but this is reported at -0.16 in the source.</t>
        </r>
      </text>
    </comment>
    <comment ref="G49" authorId="0" shapeId="0">
      <text>
        <r>
          <rPr>
            <b/>
            <sz val="9"/>
            <color indexed="81"/>
            <rFont val="Tahoma"/>
            <family val="2"/>
          </rPr>
          <t>Kendra White:</t>
        </r>
        <r>
          <rPr>
            <sz val="9"/>
            <color indexed="81"/>
            <rFont val="Tahoma"/>
            <family val="2"/>
          </rPr>
          <t xml:space="preserve">
Looks like a rounding issue, but this is reported at -0.18 in the source.</t>
        </r>
      </text>
    </comment>
    <comment ref="G50" authorId="0" shapeId="0">
      <text>
        <r>
          <rPr>
            <b/>
            <sz val="9"/>
            <color indexed="81"/>
            <rFont val="Tahoma"/>
            <family val="2"/>
          </rPr>
          <t>Kendra White:</t>
        </r>
        <r>
          <rPr>
            <sz val="9"/>
            <color indexed="81"/>
            <rFont val="Tahoma"/>
            <family val="2"/>
          </rPr>
          <t xml:space="preserve">
Looks like a rounding issue, but this is reported at -0.18 in the source.</t>
        </r>
      </text>
    </comment>
    <comment ref="G51" authorId="0" shapeId="0">
      <text>
        <r>
          <rPr>
            <b/>
            <sz val="9"/>
            <color indexed="81"/>
            <rFont val="Tahoma"/>
            <family val="2"/>
          </rPr>
          <t>Kendra White:</t>
        </r>
        <r>
          <rPr>
            <sz val="9"/>
            <color indexed="81"/>
            <rFont val="Tahoma"/>
            <family val="2"/>
          </rPr>
          <t xml:space="preserve">
Looks like a rounding issue, but this is reported at -0.18 in the source.</t>
        </r>
      </text>
    </comment>
    <comment ref="G52" authorId="0" shapeId="0">
      <text>
        <r>
          <rPr>
            <b/>
            <sz val="9"/>
            <color indexed="81"/>
            <rFont val="Tahoma"/>
            <family val="2"/>
          </rPr>
          <t>Kendra White:</t>
        </r>
        <r>
          <rPr>
            <sz val="9"/>
            <color indexed="81"/>
            <rFont val="Tahoma"/>
            <family val="2"/>
          </rPr>
          <t xml:space="preserve">
Looks like a rounding issue, but this is reported at -0.16 in the source.</t>
        </r>
      </text>
    </comment>
  </commentList>
</comments>
</file>

<file path=xl/sharedStrings.xml><?xml version="1.0" encoding="utf-8"?>
<sst xmlns="http://schemas.openxmlformats.org/spreadsheetml/2006/main" count="372" uniqueCount="139">
  <si>
    <t>Class</t>
  </si>
  <si>
    <t>Subclass ID</t>
  </si>
  <si>
    <t>Subclass</t>
  </si>
  <si>
    <t>+/-</t>
  </si>
  <si>
    <t>Food</t>
  </si>
  <si>
    <t>Meat</t>
  </si>
  <si>
    <t>Dairy</t>
  </si>
  <si>
    <t>Mixed/Other Food Scraps</t>
  </si>
  <si>
    <t>Compostable Paper</t>
  </si>
  <si>
    <t>Uncoated Paper Bags</t>
  </si>
  <si>
    <t>Pizza Boxes</t>
  </si>
  <si>
    <t>Other Compostable Paper</t>
  </si>
  <si>
    <t>Other Compostable</t>
  </si>
  <si>
    <t>Yard Debris</t>
  </si>
  <si>
    <t>Biodegradable Plastic Bags</t>
  </si>
  <si>
    <t>Other Compostables</t>
  </si>
  <si>
    <t>Contaminants</t>
  </si>
  <si>
    <t>Difficult to Compost Materials</t>
  </si>
  <si>
    <t>Milk/Ice Cream Cartons</t>
  </si>
  <si>
    <t>Paper Cups</t>
  </si>
  <si>
    <t>Other Plastic Coated Papers</t>
  </si>
  <si>
    <t>Other Recyclable Materials</t>
  </si>
  <si>
    <t>Plastic Bags</t>
  </si>
  <si>
    <t>Other Materials</t>
  </si>
  <si>
    <t>Year</t>
  </si>
  <si>
    <t>n=</t>
  </si>
  <si>
    <t>Mean %</t>
  </si>
  <si>
    <t>Fruits and Vegetables</t>
  </si>
  <si>
    <t>Tons</t>
  </si>
  <si>
    <t>Total</t>
  </si>
  <si>
    <t>WARM model category</t>
  </si>
  <si>
    <t>PLA</t>
  </si>
  <si>
    <t>Food Waste (non-meat)</t>
  </si>
  <si>
    <t>Food Waste (meat only)</t>
  </si>
  <si>
    <t>Beef</t>
  </si>
  <si>
    <t>Poultry</t>
  </si>
  <si>
    <t>Grains</t>
  </si>
  <si>
    <t>Bread</t>
  </si>
  <si>
    <t>Dairy Products</t>
  </si>
  <si>
    <t>Yard Trimmings</t>
  </si>
  <si>
    <t>Grass</t>
  </si>
  <si>
    <t>Leaves</t>
  </si>
  <si>
    <t>Branches</t>
  </si>
  <si>
    <t>Food Waste</t>
  </si>
  <si>
    <t>Mixed Organics</t>
  </si>
  <si>
    <t>2007 Tons</t>
  </si>
  <si>
    <t>2008 Tons</t>
  </si>
  <si>
    <t>2009 Tons</t>
  </si>
  <si>
    <t>2011 Tons</t>
  </si>
  <si>
    <t>2014 Tons</t>
  </si>
  <si>
    <t>2010 Tons</t>
  </si>
  <si>
    <t>2015 Tons</t>
  </si>
  <si>
    <t>annual change</t>
  </si>
  <si>
    <t>Sum of 2008 Tons</t>
  </si>
  <si>
    <t>Sum of 2010 Tons</t>
  </si>
  <si>
    <t>Sum of 2015 Tons</t>
  </si>
  <si>
    <t>Exhibit 4-1 on page 4-2 (pdf page 30) of this source.</t>
  </si>
  <si>
    <t>Category</t>
  </si>
  <si>
    <t>Transportation to Composting</t>
  </si>
  <si>
    <t>Fugitive Emissions</t>
  </si>
  <si>
    <t>Soil Carbon Storage</t>
  </si>
  <si>
    <t>Emissions Factors (mtCO2e/ton)</t>
  </si>
  <si>
    <t>Net Emissions</t>
  </si>
  <si>
    <t>2015 Emissions (mtCO2e)</t>
  </si>
  <si>
    <t>Note: With 2007 and tons for all years. The 2007 tons are only for June since that was the only month we went out and collected samples. And 2007 wasn’t cart based, we collected samples from trucks at the compost facility. For all years we only collected samples from customers with the option of putting food in their yard waste cart. In 2007 that was a relatively small number of customers (50%). By 2009 it was, for all intents, all customers (97%).</t>
  </si>
  <si>
    <t>Source: KC Waste characterization studies (https://your.kingcounty.gov/solidwaste/about/waste_documents.asp)</t>
  </si>
  <si>
    <t>Other Compostable Organics</t>
  </si>
  <si>
    <t>Pot. Comp. Single-use Food Service Plastic</t>
  </si>
  <si>
    <t>Pot. Comp. Single-use Food Service Paper</t>
  </si>
  <si>
    <t>Waxed Corrugated Cardboard</t>
  </si>
  <si>
    <t>Branches and Stumps</t>
  </si>
  <si>
    <t>Leaves, Grass, Prunings and Trimmings</t>
  </si>
  <si>
    <t>Other Food Waste</t>
  </si>
  <si>
    <t>Food Waste, Vegetative</t>
  </si>
  <si>
    <t>Percentages for material types may not total 100% due to rounding.</t>
  </si>
  <si>
    <t>Confidence intervals calculated at the 90% confidence level.</t>
  </si>
  <si>
    <t>Sample Count</t>
  </si>
  <si>
    <t>Totals</t>
  </si>
  <si>
    <t>Animal Excrement And Litter</t>
  </si>
  <si>
    <t>Recyclable Metal</t>
  </si>
  <si>
    <t>Recyclable Glass</t>
  </si>
  <si>
    <t>Other Non-compostable Film</t>
  </si>
  <si>
    <t>Clean Shopping/Dry Cleaning Bags</t>
  </si>
  <si>
    <t>Non-comp. Single-use Food Service Plastic</t>
  </si>
  <si>
    <t>Recyclable Plastic</t>
  </si>
  <si>
    <t>Non-comp. Single-use Food Service Paper</t>
  </si>
  <si>
    <t>Recyclable Polycoated Paper</t>
  </si>
  <si>
    <t>Mixed Recyclable Paper</t>
  </si>
  <si>
    <t>Uncoated Corrugated Cardboard/Kraft Paper</t>
  </si>
  <si>
    <t>Newspaper</t>
  </si>
  <si>
    <t>Other Non-compostables</t>
  </si>
  <si>
    <t>tons</t>
  </si>
  <si>
    <t>Pierce total composted</t>
  </si>
  <si>
    <t>Organics</t>
  </si>
  <si>
    <t>+ / -</t>
  </si>
  <si>
    <t>Percent</t>
  </si>
  <si>
    <t>Material</t>
  </si>
  <si>
    <t>Est.</t>
  </si>
  <si>
    <t xml:space="preserve">Est. </t>
  </si>
  <si>
    <t>Pierce County</t>
  </si>
  <si>
    <t>Annual Tons</t>
  </si>
  <si>
    <t>WeightedComposition_Original</t>
  </si>
  <si>
    <t>StudyPeriod</t>
  </si>
  <si>
    <t>Overall Composition</t>
  </si>
  <si>
    <t>Overall Variance</t>
  </si>
  <si>
    <t>Overall +/-</t>
  </si>
  <si>
    <t>ClassOrder</t>
  </si>
  <si>
    <t>Names for Comp tables</t>
  </si>
  <si>
    <t>Recoverability</t>
  </si>
  <si>
    <t>Food waste, vegetative</t>
  </si>
  <si>
    <t>Other food waste</t>
  </si>
  <si>
    <t>Leaves, grass, prunings, trimmings</t>
  </si>
  <si>
    <t>CHECK</t>
  </si>
  <si>
    <t>Waxed cardboard</t>
  </si>
  <si>
    <t>Pizza boxes</t>
  </si>
  <si>
    <t>Compostable paper</t>
  </si>
  <si>
    <t>Pot. comp. single-use food service paper</t>
  </si>
  <si>
    <t>Pot. comp. single-use food service plastic</t>
  </si>
  <si>
    <t>Other compostable organics</t>
  </si>
  <si>
    <t>Other Non-compostable</t>
  </si>
  <si>
    <t>OCC/Kraft</t>
  </si>
  <si>
    <t>Material Class</t>
  </si>
  <si>
    <t>Comp %</t>
  </si>
  <si>
    <t>Mixed recyclable paper</t>
  </si>
  <si>
    <t>Recyclable polycoats</t>
  </si>
  <si>
    <t>Non-comp. single-use food service paper</t>
  </si>
  <si>
    <t>Recyclable plastic</t>
  </si>
  <si>
    <t>Non-comp. single-use food service plastic</t>
  </si>
  <si>
    <t>Clean shopping/dry cleaning bags</t>
  </si>
  <si>
    <t>Other non-compostable film</t>
  </si>
  <si>
    <t>Recyclable glass</t>
  </si>
  <si>
    <t>Recyclable metal</t>
  </si>
  <si>
    <t>Animal excrement and litter</t>
  </si>
  <si>
    <t>Other materials</t>
  </si>
  <si>
    <t>Composition %</t>
  </si>
  <si>
    <t>Difference</t>
  </si>
  <si>
    <t xml:space="preserve">Est.  </t>
  </si>
  <si>
    <t xml:space="preserve">Cum. </t>
  </si>
  <si>
    <t>Tacoma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</si>
</sst>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General_)"/>
    <numFmt numFmtId="166" formatCode="_(* #,##0_);_(* \(#,##0\);_(* &quot;-&quot;??_);_(@_)"/>
    <numFmt numFmtId="167" formatCode="0.000E+00"/>
  </numFmts>
  <fonts count="26" x14ac:knownFonts="1">
    <font>
      <sz val="11"/>
      <color theme="1"/>
      <name val="Calibri"/>
      <family val="2"/>
    </font>
    <font>
      <sz val="11"/>
      <color theme="1"/>
      <name val="Calibri"/>
      <family val="2"/>
      <scheme val="minor"/>
    </font>
    <font>
      <sz val="11"/>
      <color theme="1"/>
      <name val="Calibri"/>
      <family val="2"/>
    </font>
    <font>
      <b/>
      <sz val="11"/>
      <color theme="1"/>
      <name val="Calibri"/>
      <family val="2"/>
    </font>
    <font>
      <b/>
      <sz val="8"/>
      <color indexed="81"/>
      <name val="Tahoma"/>
      <family val="2"/>
    </font>
    <font>
      <sz val="8"/>
      <color indexed="81"/>
      <name val="Tahoma"/>
      <family val="2"/>
    </font>
    <font>
      <sz val="9"/>
      <color indexed="81"/>
      <name val="Tahoma"/>
      <family val="2"/>
    </font>
    <font>
      <b/>
      <sz val="9"/>
      <color indexed="81"/>
      <name val="Tahoma"/>
      <family val="2"/>
    </font>
    <font>
      <sz val="8"/>
      <name val="helv"/>
    </font>
    <font>
      <sz val="10"/>
      <name val="Arial"/>
      <family val="2"/>
    </font>
    <font>
      <sz val="10"/>
      <name val="Helvetica"/>
      <family val="2"/>
    </font>
    <font>
      <u/>
      <sz val="11"/>
      <color theme="10"/>
      <name val="Calibri"/>
      <family val="2"/>
    </font>
    <font>
      <sz val="11"/>
      <color theme="0" tint="-0.34998626667073579"/>
      <name val="Calibri"/>
      <family val="2"/>
    </font>
    <font>
      <b/>
      <sz val="11"/>
      <color theme="0" tint="-0.34998626667073579"/>
      <name val="Calibri"/>
      <family val="2"/>
    </font>
    <font>
      <sz val="10"/>
      <name val="Calibri"/>
      <family val="2"/>
      <scheme val="minor"/>
    </font>
    <font>
      <sz val="11"/>
      <name val="Calibri"/>
      <family val="2"/>
      <scheme val="minor"/>
    </font>
    <font>
      <b/>
      <sz val="10"/>
      <name val="Calibri"/>
      <family val="2"/>
      <scheme val="minor"/>
    </font>
    <font>
      <sz val="10"/>
      <color indexed="8"/>
      <name val="Arial"/>
      <family val="2"/>
    </font>
    <font>
      <b/>
      <sz val="10"/>
      <color indexed="8"/>
      <name val="Calibri"/>
      <family val="2"/>
      <scheme val="minor"/>
    </font>
    <font>
      <u/>
      <sz val="11"/>
      <name val="Calibri"/>
      <family val="2"/>
      <scheme val="minor"/>
    </font>
    <font>
      <b/>
      <sz val="11"/>
      <name val="Calibri"/>
      <family val="2"/>
      <scheme val="minor"/>
    </font>
    <font>
      <sz val="10"/>
      <color indexed="8"/>
      <name val="Calibri"/>
      <family val="2"/>
      <scheme val="minor"/>
    </font>
    <font>
      <sz val="14"/>
      <name val="Calibri"/>
      <family val="2"/>
      <scheme val="minor"/>
    </font>
    <font>
      <i/>
      <sz val="10"/>
      <name val="Calibri"/>
      <family val="2"/>
      <scheme val="minor"/>
    </font>
    <font>
      <sz val="9"/>
      <name val="Calibri"/>
      <family val="2"/>
      <scheme val="minor"/>
    </font>
    <font>
      <b/>
      <sz val="9"/>
      <name val="Calibri"/>
      <family val="2"/>
      <scheme val="minor"/>
    </font>
  </fonts>
  <fills count="10">
    <fill>
      <patternFill patternType="none"/>
    </fill>
    <fill>
      <patternFill patternType="gray125"/>
    </fill>
    <fill>
      <patternFill patternType="solid">
        <fgColor indexed="9"/>
        <bgColor indexed="6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indexed="0"/>
      </patternFill>
    </fill>
    <fill>
      <patternFill patternType="solid">
        <fgColor theme="0" tint="-0.14999847407452621"/>
        <bgColor indexed="0"/>
      </patternFill>
    </fill>
    <fill>
      <patternFill patternType="solid">
        <fgColor theme="8" tint="-9.9978637043366805E-2"/>
        <bgColor indexed="64"/>
      </patternFill>
    </fill>
    <fill>
      <patternFill patternType="solid">
        <fgColor rgb="FFFFFF00"/>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8"/>
      </left>
      <right/>
      <top/>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s>
  <cellStyleXfs count="11">
    <xf numFmtId="0" fontId="0" fillId="0" borderId="0"/>
    <xf numFmtId="9" fontId="2" fillId="0" borderId="0" applyFont="0" applyFill="0" applyBorder="0" applyAlignment="0" applyProtection="0"/>
    <xf numFmtId="43" fontId="2" fillId="0" borderId="0" applyFont="0" applyFill="0" applyBorder="0" applyAlignment="0" applyProtection="0"/>
    <xf numFmtId="165" fontId="8" fillId="0" borderId="0"/>
    <xf numFmtId="165" fontId="10" fillId="0" borderId="0"/>
    <xf numFmtId="0" fontId="11" fillId="0" borderId="0" applyNumberFormat="0" applyFill="0" applyBorder="0" applyAlignment="0" applyProtection="0"/>
    <xf numFmtId="0" fontId="1" fillId="0" borderId="0"/>
    <xf numFmtId="0" fontId="9" fillId="0" borderId="0"/>
    <xf numFmtId="43" fontId="9" fillId="0" borderId="0" applyFont="0" applyFill="0" applyBorder="0" applyAlignment="0" applyProtection="0"/>
    <xf numFmtId="0" fontId="17" fillId="0" borderId="0"/>
    <xf numFmtId="9" fontId="9" fillId="0" borderId="0" applyFont="0" applyFill="0" applyBorder="0" applyAlignment="0" applyProtection="0"/>
  </cellStyleXfs>
  <cellXfs count="196">
    <xf numFmtId="0" fontId="0" fillId="0" borderId="0" xfId="0"/>
    <xf numFmtId="164" fontId="0" fillId="0" borderId="0" xfId="0" applyNumberFormat="1"/>
    <xf numFmtId="164" fontId="0" fillId="0" borderId="4" xfId="1" applyNumberFormat="1" applyFont="1" applyBorder="1"/>
    <xf numFmtId="3" fontId="0" fillId="0" borderId="5" xfId="1" applyNumberFormat="1" applyFont="1" applyBorder="1"/>
    <xf numFmtId="0" fontId="0" fillId="0" borderId="7" xfId="0" applyBorder="1"/>
    <xf numFmtId="0" fontId="0" fillId="0" borderId="5" xfId="0" applyBorder="1"/>
    <xf numFmtId="0" fontId="0" fillId="0" borderId="4" xfId="0" applyBorder="1"/>
    <xf numFmtId="0" fontId="0" fillId="0" borderId="0" xfId="0" applyBorder="1"/>
    <xf numFmtId="0" fontId="0" fillId="0" borderId="6" xfId="0" applyBorder="1"/>
    <xf numFmtId="0" fontId="0" fillId="0" borderId="11" xfId="0" applyBorder="1"/>
    <xf numFmtId="0" fontId="0" fillId="0" borderId="12" xfId="0" applyBorder="1"/>
    <xf numFmtId="0" fontId="0" fillId="0" borderId="13" xfId="0" applyBorder="1"/>
    <xf numFmtId="164" fontId="3" fillId="0" borderId="9" xfId="0" applyNumberFormat="1" applyFont="1" applyBorder="1"/>
    <xf numFmtId="3" fontId="3" fillId="0" borderId="10" xfId="0" applyNumberFormat="1" applyFont="1" applyBorder="1"/>
    <xf numFmtId="0" fontId="3" fillId="0" borderId="1" xfId="0" applyFont="1" applyBorder="1"/>
    <xf numFmtId="0" fontId="3" fillId="0" borderId="2" xfId="0" applyFont="1" applyBorder="1"/>
    <xf numFmtId="0" fontId="3" fillId="0" borderId="3" xfId="0" applyFont="1" applyBorder="1" applyAlignment="1">
      <alignment horizontal="right"/>
    </xf>
    <xf numFmtId="0" fontId="3" fillId="0" borderId="4" xfId="0" applyFont="1" applyBorder="1"/>
    <xf numFmtId="0" fontId="3" fillId="0" borderId="0" xfId="0" applyFont="1" applyBorder="1"/>
    <xf numFmtId="0" fontId="3" fillId="0" borderId="5" xfId="0" applyFont="1" applyBorder="1" applyAlignment="1">
      <alignment horizontal="right"/>
    </xf>
    <xf numFmtId="0" fontId="3" fillId="0" borderId="8" xfId="0" applyFont="1" applyBorder="1" applyAlignment="1">
      <alignment horizontal="right"/>
    </xf>
    <xf numFmtId="164" fontId="0" fillId="0" borderId="14" xfId="1" applyNumberFormat="1" applyFont="1" applyBorder="1"/>
    <xf numFmtId="0" fontId="3" fillId="0" borderId="15" xfId="0" applyFont="1" applyBorder="1"/>
    <xf numFmtId="0" fontId="3" fillId="0" borderId="16" xfId="0" applyFont="1" applyBorder="1"/>
    <xf numFmtId="0" fontId="3" fillId="0" borderId="17" xfId="0" applyFont="1" applyBorder="1"/>
    <xf numFmtId="0" fontId="3" fillId="0" borderId="18" xfId="0" applyFont="1" applyBorder="1"/>
    <xf numFmtId="0" fontId="3" fillId="0" borderId="16" xfId="0" applyFont="1" applyBorder="1" applyAlignment="1">
      <alignment horizontal="center"/>
    </xf>
    <xf numFmtId="0" fontId="3" fillId="0" borderId="19" xfId="0" applyFont="1" applyBorder="1" applyAlignment="1">
      <alignment horizontal="center"/>
    </xf>
    <xf numFmtId="0" fontId="3" fillId="0" borderId="18" xfId="0" applyFont="1" applyBorder="1" applyAlignment="1">
      <alignment horizontal="center"/>
    </xf>
    <xf numFmtId="165" fontId="9" fillId="2" borderId="23" xfId="3" applyNumberFormat="1" applyFont="1" applyFill="1" applyBorder="1" applyAlignment="1" applyProtection="1">
      <alignment horizontal="left"/>
    </xf>
    <xf numFmtId="165" fontId="10" fillId="2" borderId="24" xfId="4" applyNumberFormat="1" applyFont="1" applyFill="1" applyBorder="1" applyAlignment="1" applyProtection="1">
      <alignment horizontal="left"/>
    </xf>
    <xf numFmtId="165" fontId="9" fillId="2" borderId="14" xfId="3" applyNumberFormat="1" applyFont="1" applyFill="1" applyBorder="1" applyAlignment="1" applyProtection="1">
      <alignment horizontal="left"/>
    </xf>
    <xf numFmtId="0" fontId="0" fillId="2" borderId="14" xfId="0" applyFill="1" applyBorder="1"/>
    <xf numFmtId="0" fontId="3" fillId="0" borderId="0" xfId="0" applyFont="1" applyFill="1" applyBorder="1" applyAlignment="1">
      <alignment horizontal="center"/>
    </xf>
    <xf numFmtId="3" fontId="0" fillId="0" borderId="0" xfId="0" applyNumberFormat="1"/>
    <xf numFmtId="0" fontId="0" fillId="0" borderId="0" xfId="0" applyAlignment="1">
      <alignment horizontal="left"/>
    </xf>
    <xf numFmtId="0" fontId="3" fillId="3" borderId="25" xfId="0" applyFont="1" applyFill="1" applyBorder="1"/>
    <xf numFmtId="0" fontId="11" fillId="0" borderId="0" xfId="5"/>
    <xf numFmtId="166" fontId="0" fillId="0" borderId="0" xfId="2" applyNumberFormat="1" applyFont="1"/>
    <xf numFmtId="166" fontId="3" fillId="0" borderId="0" xfId="2" applyNumberFormat="1" applyFont="1"/>
    <xf numFmtId="0" fontId="3" fillId="0" borderId="0" xfId="0" applyFont="1" applyAlignment="1">
      <alignment horizontal="left"/>
    </xf>
    <xf numFmtId="0" fontId="3" fillId="0" borderId="0" xfId="0" applyFont="1"/>
    <xf numFmtId="0" fontId="12" fillId="0" borderId="0" xfId="0" applyFont="1"/>
    <xf numFmtId="0" fontId="13" fillId="0" borderId="0" xfId="0" applyFont="1"/>
    <xf numFmtId="0" fontId="13" fillId="0" borderId="0" xfId="0" applyFont="1" applyAlignment="1">
      <alignment horizontal="left"/>
    </xf>
    <xf numFmtId="166" fontId="12" fillId="0" borderId="0" xfId="2" applyNumberFormat="1" applyFont="1"/>
    <xf numFmtId="166" fontId="13" fillId="0" borderId="0" xfId="2" applyNumberFormat="1" applyFont="1"/>
    <xf numFmtId="0" fontId="1" fillId="0" borderId="0" xfId="6"/>
    <xf numFmtId="0" fontId="3" fillId="0" borderId="21" xfId="0" applyFont="1" applyBorder="1" applyAlignment="1">
      <alignment horizontal="center"/>
    </xf>
    <xf numFmtId="0" fontId="3" fillId="0" borderId="22"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20" xfId="0" applyFont="1" applyBorder="1" applyAlignment="1">
      <alignment horizontal="center"/>
    </xf>
    <xf numFmtId="0" fontId="3" fillId="0" borderId="1" xfId="0" applyFont="1" applyBorder="1" applyAlignment="1">
      <alignment horizontal="center"/>
    </xf>
    <xf numFmtId="0" fontId="14" fillId="4" borderId="0" xfId="7" applyFont="1" applyFill="1" applyAlignment="1"/>
    <xf numFmtId="0" fontId="14" fillId="4" borderId="0" xfId="7" applyFont="1" applyFill="1"/>
    <xf numFmtId="0" fontId="15" fillId="4" borderId="0" xfId="7" applyFont="1" applyFill="1"/>
    <xf numFmtId="0" fontId="14" fillId="4" borderId="0" xfId="7" applyFont="1" applyFill="1" applyBorder="1" applyAlignment="1"/>
    <xf numFmtId="0" fontId="16" fillId="4" borderId="0" xfId="7" applyFont="1" applyFill="1" applyAlignment="1">
      <alignment horizontal="right" indent="1"/>
    </xf>
    <xf numFmtId="0" fontId="14" fillId="5" borderId="26" xfId="7" applyFont="1" applyFill="1" applyBorder="1" applyAlignment="1"/>
    <xf numFmtId="43" fontId="14" fillId="5" borderId="26" xfId="8" applyFont="1" applyFill="1" applyBorder="1" applyAlignment="1"/>
    <xf numFmtId="0" fontId="16" fillId="5" borderId="27" xfId="7" applyFont="1" applyFill="1" applyBorder="1" applyAlignment="1"/>
    <xf numFmtId="0" fontId="14" fillId="5" borderId="28" xfId="7" applyFont="1" applyFill="1" applyBorder="1" applyAlignment="1"/>
    <xf numFmtId="0" fontId="14" fillId="5" borderId="29" xfId="7" applyFont="1" applyFill="1" applyBorder="1" applyAlignment="1"/>
    <xf numFmtId="0" fontId="15" fillId="4" borderId="0" xfId="7" applyFont="1" applyFill="1" applyAlignment="1"/>
    <xf numFmtId="0" fontId="18" fillId="6" borderId="30" xfId="9" applyFont="1" applyFill="1" applyBorder="1" applyAlignment="1">
      <alignment horizontal="center"/>
    </xf>
    <xf numFmtId="0" fontId="18" fillId="6" borderId="31" xfId="9" applyFont="1" applyFill="1" applyBorder="1" applyAlignment="1">
      <alignment horizontal="center"/>
    </xf>
    <xf numFmtId="0" fontId="18" fillId="6" borderId="32" xfId="9" applyFont="1" applyFill="1" applyBorder="1" applyAlignment="1">
      <alignment horizontal="center"/>
    </xf>
    <xf numFmtId="0" fontId="16" fillId="4" borderId="33" xfId="7" applyFont="1" applyFill="1" applyBorder="1" applyAlignment="1"/>
    <xf numFmtId="0" fontId="18" fillId="7" borderId="31" xfId="9" applyFont="1" applyFill="1" applyBorder="1" applyAlignment="1">
      <alignment horizontal="center"/>
    </xf>
    <xf numFmtId="0" fontId="18" fillId="7" borderId="32" xfId="9" applyFont="1" applyFill="1" applyBorder="1" applyAlignment="1">
      <alignment horizontal="center"/>
    </xf>
    <xf numFmtId="0" fontId="19" fillId="8" borderId="2" xfId="7" applyFont="1" applyFill="1" applyBorder="1" applyAlignment="1">
      <alignment vertical="top"/>
    </xf>
    <xf numFmtId="0" fontId="15" fillId="8" borderId="2" xfId="7" applyFont="1" applyFill="1" applyBorder="1"/>
    <xf numFmtId="0" fontId="20" fillId="8" borderId="2" xfId="7" applyFont="1" applyFill="1" applyBorder="1" applyAlignment="1">
      <alignment horizontal="centerContinuous"/>
    </xf>
    <xf numFmtId="0" fontId="15" fillId="8" borderId="2" xfId="7" applyFont="1" applyFill="1" applyBorder="1" applyAlignment="1"/>
    <xf numFmtId="0" fontId="20" fillId="8" borderId="2" xfId="7" applyFont="1" applyFill="1" applyBorder="1" applyAlignment="1">
      <alignment horizontal="right"/>
    </xf>
    <xf numFmtId="0" fontId="20" fillId="8" borderId="2" xfId="7" applyFont="1" applyFill="1" applyBorder="1" applyAlignment="1"/>
    <xf numFmtId="0" fontId="21" fillId="5" borderId="23" xfId="9" applyFont="1" applyFill="1" applyBorder="1" applyAlignment="1">
      <alignment horizontal="right"/>
    </xf>
    <xf numFmtId="0" fontId="21" fillId="5" borderId="0" xfId="9" applyFont="1" applyFill="1" applyBorder="1" applyAlignment="1"/>
    <xf numFmtId="0" fontId="21" fillId="5" borderId="0" xfId="9" applyFont="1" applyFill="1" applyBorder="1" applyAlignment="1">
      <alignment horizontal="right"/>
    </xf>
    <xf numFmtId="11" fontId="21" fillId="5" borderId="0" xfId="9" applyNumberFormat="1" applyFont="1" applyFill="1" applyBorder="1" applyAlignment="1">
      <alignment horizontal="right"/>
    </xf>
    <xf numFmtId="0" fontId="21" fillId="5" borderId="34" xfId="9" applyFont="1" applyFill="1" applyBorder="1" applyAlignment="1">
      <alignment horizontal="right"/>
    </xf>
    <xf numFmtId="0" fontId="21" fillId="4" borderId="0" xfId="9" applyFont="1" applyFill="1" applyBorder="1" applyAlignment="1">
      <alignment horizontal="right"/>
    </xf>
    <xf numFmtId="0" fontId="14" fillId="4" borderId="23" xfId="7" applyFont="1" applyFill="1" applyBorder="1" applyAlignment="1"/>
    <xf numFmtId="0" fontId="21" fillId="4" borderId="0" xfId="9" applyFont="1" applyFill="1" applyBorder="1" applyAlignment="1"/>
    <xf numFmtId="0" fontId="21" fillId="4" borderId="34" xfId="9" applyFont="1" applyFill="1" applyBorder="1" applyAlignment="1"/>
    <xf numFmtId="0" fontId="20" fillId="8" borderId="7" xfId="7" applyFont="1" applyFill="1" applyBorder="1"/>
    <xf numFmtId="0" fontId="20" fillId="8" borderId="7" xfId="7" applyFont="1" applyFill="1" applyBorder="1" applyAlignment="1">
      <alignment horizontal="centerContinuous"/>
    </xf>
    <xf numFmtId="0" fontId="20" fillId="8" borderId="7" xfId="7" applyFont="1" applyFill="1" applyBorder="1" applyAlignment="1">
      <alignment horizontal="right"/>
    </xf>
    <xf numFmtId="0" fontId="20" fillId="8" borderId="7" xfId="7" applyFont="1" applyFill="1" applyBorder="1" applyAlignment="1"/>
    <xf numFmtId="0" fontId="22" fillId="0" borderId="0" xfId="7" applyFont="1" applyFill="1"/>
    <xf numFmtId="0" fontId="20" fillId="0" borderId="35" xfId="7" applyFont="1" applyFill="1" applyBorder="1"/>
    <xf numFmtId="0" fontId="15" fillId="0" borderId="35" xfId="7" applyFont="1" applyFill="1" applyBorder="1"/>
    <xf numFmtId="164" fontId="20" fillId="0" borderId="35" xfId="7" applyNumberFormat="1" applyFont="1" applyFill="1" applyBorder="1" applyAlignment="1">
      <alignment horizontal="centerContinuous"/>
    </xf>
    <xf numFmtId="0" fontId="15" fillId="0" borderId="35" xfId="7" applyFont="1" applyFill="1" applyBorder="1" applyAlignment="1">
      <alignment horizontal="centerContinuous"/>
    </xf>
    <xf numFmtId="11" fontId="15" fillId="0" borderId="35" xfId="7" applyNumberFormat="1" applyFont="1" applyFill="1" applyBorder="1"/>
    <xf numFmtId="3" fontId="20" fillId="0" borderId="35" xfId="8" applyNumberFormat="1" applyFont="1" applyFill="1" applyBorder="1" applyAlignment="1">
      <alignment horizontal="right"/>
    </xf>
    <xf numFmtId="0" fontId="15" fillId="0" borderId="0" xfId="7" applyFont="1" applyFill="1"/>
    <xf numFmtId="0" fontId="15" fillId="0" borderId="0" xfId="7" applyFont="1" applyFill="1" applyBorder="1"/>
    <xf numFmtId="0" fontId="15" fillId="0" borderId="0" xfId="7" applyNumberFormat="1" applyFont="1" applyFill="1" applyBorder="1"/>
    <xf numFmtId="164" fontId="15" fillId="0" borderId="0" xfId="7" applyNumberFormat="1" applyFont="1" applyFill="1" applyBorder="1"/>
    <xf numFmtId="3" fontId="15" fillId="0" borderId="0" xfId="7" applyNumberFormat="1" applyFont="1" applyFill="1" applyBorder="1" applyAlignment="1"/>
    <xf numFmtId="0" fontId="14" fillId="9" borderId="0" xfId="7" applyFont="1" applyFill="1" applyAlignment="1"/>
    <xf numFmtId="0" fontId="14" fillId="4" borderId="5" xfId="7" applyFont="1" applyFill="1" applyBorder="1"/>
    <xf numFmtId="164" fontId="14" fillId="4" borderId="0" xfId="7" applyNumberFormat="1" applyFont="1" applyFill="1" applyAlignment="1"/>
    <xf numFmtId="2" fontId="14" fillId="4" borderId="0" xfId="7" applyNumberFormat="1" applyFont="1" applyFill="1" applyAlignment="1"/>
    <xf numFmtId="0" fontId="20" fillId="0" borderId="36" xfId="7" applyFont="1" applyFill="1" applyBorder="1"/>
    <xf numFmtId="0" fontId="15" fillId="0" borderId="36" xfId="7" applyFont="1" applyFill="1" applyBorder="1"/>
    <xf numFmtId="164" fontId="20" fillId="0" borderId="36" xfId="7" applyNumberFormat="1" applyFont="1" applyFill="1" applyBorder="1" applyAlignment="1">
      <alignment horizontal="centerContinuous"/>
    </xf>
    <xf numFmtId="164" fontId="15" fillId="0" borderId="36" xfId="7" applyNumberFormat="1" applyFont="1" applyFill="1" applyBorder="1" applyAlignment="1">
      <alignment horizontal="centerContinuous"/>
    </xf>
    <xf numFmtId="164" fontId="15" fillId="0" borderId="36" xfId="7" applyNumberFormat="1" applyFont="1" applyFill="1" applyBorder="1"/>
    <xf numFmtId="3" fontId="20" fillId="0" borderId="36" xfId="8" applyNumberFormat="1" applyFont="1" applyFill="1" applyBorder="1" applyAlignment="1">
      <alignment horizontal="right"/>
    </xf>
    <xf numFmtId="3" fontId="14" fillId="4" borderId="0" xfId="7" applyNumberFormat="1" applyFont="1" applyFill="1" applyAlignment="1"/>
    <xf numFmtId="0" fontId="16" fillId="4" borderId="35" xfId="7" applyFont="1" applyFill="1" applyBorder="1" applyAlignment="1"/>
    <xf numFmtId="164" fontId="16" fillId="4" borderId="37" xfId="10" applyNumberFormat="1" applyFont="1" applyFill="1" applyBorder="1" applyAlignment="1"/>
    <xf numFmtId="0" fontId="14" fillId="4" borderId="5" xfId="7" applyFont="1" applyFill="1" applyBorder="1" applyAlignment="1"/>
    <xf numFmtId="164" fontId="14" fillId="4" borderId="0" xfId="10" applyNumberFormat="1" applyFont="1" applyFill="1" applyAlignment="1"/>
    <xf numFmtId="164" fontId="16" fillId="4" borderId="0" xfId="7" applyNumberFormat="1" applyFont="1" applyFill="1" applyBorder="1"/>
    <xf numFmtId="3" fontId="16" fillId="4" borderId="0" xfId="8" applyNumberFormat="1" applyFont="1" applyFill="1" applyBorder="1" applyAlignment="1">
      <alignment horizontal="right"/>
    </xf>
    <xf numFmtId="164" fontId="14" fillId="4" borderId="0" xfId="7" applyNumberFormat="1" applyFont="1" applyFill="1" applyBorder="1" applyAlignment="1">
      <alignment horizontal="right"/>
    </xf>
    <xf numFmtId="166" fontId="14" fillId="4" borderId="0" xfId="8" applyNumberFormat="1" applyFont="1" applyFill="1" applyBorder="1" applyAlignment="1">
      <alignment horizontal="right"/>
    </xf>
    <xf numFmtId="0" fontId="16" fillId="4" borderId="0" xfId="7" applyFont="1" applyFill="1" applyBorder="1" applyAlignment="1">
      <alignment horizontal="centerContinuous"/>
    </xf>
    <xf numFmtId="0" fontId="16" fillId="4" borderId="8" xfId="7" applyFont="1" applyFill="1" applyBorder="1" applyAlignment="1"/>
    <xf numFmtId="164" fontId="16" fillId="4" borderId="6" xfId="7" applyNumberFormat="1" applyFont="1" applyFill="1" applyBorder="1" applyAlignment="1"/>
    <xf numFmtId="3" fontId="15" fillId="0" borderId="0" xfId="8" applyNumberFormat="1" applyFont="1" applyFill="1" applyBorder="1" applyAlignment="1">
      <alignment horizontal="centerContinuous"/>
    </xf>
    <xf numFmtId="3" fontId="15" fillId="0" borderId="0" xfId="8" applyNumberFormat="1" applyFont="1" applyFill="1" applyBorder="1" applyAlignment="1"/>
    <xf numFmtId="0" fontId="15" fillId="0" borderId="0" xfId="7" applyFont="1" applyFill="1" applyBorder="1" applyAlignment="1"/>
    <xf numFmtId="0" fontId="14" fillId="5" borderId="38" xfId="7" applyFont="1" applyFill="1" applyBorder="1" applyAlignment="1"/>
    <xf numFmtId="0" fontId="14" fillId="5" borderId="36" xfId="7" applyFont="1" applyFill="1" applyBorder="1" applyAlignment="1"/>
    <xf numFmtId="11" fontId="14" fillId="5" borderId="36" xfId="7" applyNumberFormat="1" applyFont="1" applyFill="1" applyBorder="1" applyAlignment="1"/>
    <xf numFmtId="0" fontId="14" fillId="5" borderId="39" xfId="7" applyFont="1" applyFill="1" applyBorder="1" applyAlignment="1"/>
    <xf numFmtId="0" fontId="14" fillId="4" borderId="38" xfId="7" applyFont="1" applyFill="1" applyBorder="1" applyAlignment="1"/>
    <xf numFmtId="0" fontId="21" fillId="4" borderId="36" xfId="9" applyFont="1" applyFill="1" applyBorder="1" applyAlignment="1"/>
    <xf numFmtId="0" fontId="21" fillId="4" borderId="39" xfId="9" applyFont="1" applyFill="1" applyBorder="1" applyAlignment="1"/>
    <xf numFmtId="11" fontId="14" fillId="4" borderId="0" xfId="7" applyNumberFormat="1" applyFont="1" applyFill="1" applyBorder="1" applyAlignment="1"/>
    <xf numFmtId="166" fontId="14" fillId="4" borderId="0" xfId="8" applyNumberFormat="1" applyFont="1" applyFill="1" applyBorder="1"/>
    <xf numFmtId="164" fontId="16" fillId="4" borderId="37" xfId="10" applyNumberFormat="1" applyFont="1" applyFill="1" applyBorder="1" applyAlignment="1">
      <alignment horizontal="right"/>
    </xf>
    <xf numFmtId="166" fontId="16" fillId="4" borderId="0" xfId="8" applyNumberFormat="1" applyFont="1" applyFill="1" applyBorder="1"/>
    <xf numFmtId="11" fontId="14" fillId="4" borderId="0" xfId="7" applyNumberFormat="1" applyFont="1" applyFill="1" applyAlignment="1"/>
    <xf numFmtId="0" fontId="14" fillId="4" borderId="0" xfId="7" applyFont="1" applyFill="1" applyBorder="1"/>
    <xf numFmtId="0" fontId="16" fillId="5" borderId="0" xfId="7" applyFont="1" applyFill="1" applyBorder="1" applyAlignment="1"/>
    <xf numFmtId="0" fontId="14" fillId="5" borderId="0" xfId="7" applyFont="1" applyFill="1" applyBorder="1" applyAlignment="1"/>
    <xf numFmtId="167" fontId="14" fillId="4" borderId="0" xfId="7" applyNumberFormat="1" applyFont="1" applyFill="1" applyAlignment="1"/>
    <xf numFmtId="11" fontId="16" fillId="5" borderId="0" xfId="7" applyNumberFormat="1" applyFont="1" applyFill="1" applyBorder="1" applyAlignment="1"/>
    <xf numFmtId="0" fontId="16" fillId="4" borderId="0" xfId="7" applyFont="1" applyFill="1" applyBorder="1" applyAlignment="1"/>
    <xf numFmtId="164" fontId="14" fillId="4" borderId="6" xfId="10" applyNumberFormat="1" applyFont="1" applyFill="1" applyBorder="1" applyAlignment="1"/>
    <xf numFmtId="11" fontId="14" fillId="5" borderId="0" xfId="7" applyNumberFormat="1" applyFont="1" applyFill="1" applyBorder="1" applyAlignment="1"/>
    <xf numFmtId="0" fontId="15" fillId="0" borderId="0" xfId="7" applyFont="1"/>
    <xf numFmtId="0" fontId="20" fillId="0" borderId="0" xfId="7" applyFont="1" applyFill="1" applyBorder="1"/>
    <xf numFmtId="164" fontId="20" fillId="0" borderId="0" xfId="7" applyNumberFormat="1" applyFont="1" applyFill="1" applyBorder="1" applyAlignment="1"/>
    <xf numFmtId="164" fontId="20" fillId="0" borderId="0" xfId="7" applyNumberFormat="1" applyFont="1" applyFill="1" applyBorder="1"/>
    <xf numFmtId="3" fontId="20" fillId="0" borderId="0" xfId="7" applyNumberFormat="1" applyFont="1" applyFill="1" applyBorder="1" applyAlignment="1"/>
    <xf numFmtId="0" fontId="22" fillId="0" borderId="7" xfId="7" applyFont="1" applyBorder="1"/>
    <xf numFmtId="0" fontId="15" fillId="0" borderId="7" xfId="7" applyFont="1" applyBorder="1"/>
    <xf numFmtId="0" fontId="15" fillId="0" borderId="7" xfId="7" applyFont="1" applyFill="1" applyBorder="1" applyAlignment="1">
      <alignment vertical="top"/>
    </xf>
    <xf numFmtId="3" fontId="15" fillId="0" borderId="7" xfId="7" applyNumberFormat="1" applyFont="1" applyFill="1" applyBorder="1" applyAlignment="1">
      <alignment vertical="top"/>
    </xf>
    <xf numFmtId="0" fontId="15" fillId="0" borderId="7" xfId="7" applyFont="1" applyFill="1" applyBorder="1"/>
    <xf numFmtId="0" fontId="23" fillId="0" borderId="0" xfId="7" applyFont="1" applyFill="1" applyBorder="1"/>
    <xf numFmtId="0" fontId="23" fillId="0" borderId="0" xfId="7" applyFont="1" applyFill="1"/>
    <xf numFmtId="0" fontId="14" fillId="0" borderId="0" xfId="7" applyFont="1" applyFill="1"/>
    <xf numFmtId="0" fontId="24" fillId="4" borderId="0" xfId="7" applyFont="1" applyFill="1"/>
    <xf numFmtId="164" fontId="24" fillId="4" borderId="0" xfId="7" applyNumberFormat="1" applyFont="1" applyFill="1"/>
    <xf numFmtId="0" fontId="24" fillId="4" borderId="0" xfId="7" applyFont="1" applyFill="1" applyAlignment="1">
      <alignment horizontal="right"/>
    </xf>
    <xf numFmtId="0" fontId="25" fillId="8" borderId="40" xfId="7" applyFont="1" applyFill="1" applyBorder="1" applyAlignment="1"/>
    <xf numFmtId="0" fontId="25" fillId="8" borderId="41" xfId="7" applyFont="1" applyFill="1" applyBorder="1" applyAlignment="1">
      <alignment horizontal="center" wrapText="1"/>
    </xf>
    <xf numFmtId="0" fontId="25" fillId="8" borderId="2" xfId="7" applyFont="1" applyFill="1" applyBorder="1" applyAlignment="1">
      <alignment horizontal="center" wrapText="1"/>
    </xf>
    <xf numFmtId="0" fontId="25" fillId="8" borderId="2" xfId="7" applyFont="1" applyFill="1" applyBorder="1" applyAlignment="1">
      <alignment horizontal="center"/>
    </xf>
    <xf numFmtId="0" fontId="24" fillId="4" borderId="0" xfId="7" applyFont="1" applyFill="1" applyAlignment="1"/>
    <xf numFmtId="3" fontId="24" fillId="4" borderId="0" xfId="8" applyNumberFormat="1" applyFont="1" applyFill="1" applyAlignment="1"/>
    <xf numFmtId="0" fontId="25" fillId="8" borderId="42" xfId="7" applyFont="1" applyFill="1" applyBorder="1" applyAlignment="1">
      <alignment horizontal="left" indent="1"/>
    </xf>
    <xf numFmtId="0" fontId="25" fillId="8" borderId="43" xfId="7" applyFont="1" applyFill="1" applyBorder="1" applyAlignment="1">
      <alignment horizontal="center" wrapText="1"/>
    </xf>
    <xf numFmtId="0" fontId="25" fillId="8" borderId="7" xfId="7" applyFont="1" applyFill="1" applyBorder="1" applyAlignment="1">
      <alignment horizontal="center" wrapText="1"/>
    </xf>
    <xf numFmtId="0" fontId="25" fillId="8" borderId="7" xfId="7" applyFont="1" applyFill="1" applyBorder="1" applyAlignment="1">
      <alignment horizontal="center"/>
    </xf>
    <xf numFmtId="0" fontId="24" fillId="0" borderId="34" xfId="7" applyFont="1" applyFill="1" applyBorder="1" applyAlignment="1">
      <alignment horizontal="left" indent="2"/>
    </xf>
    <xf numFmtId="164" fontId="24" fillId="0" borderId="0" xfId="10" applyNumberFormat="1" applyFont="1" applyFill="1"/>
    <xf numFmtId="164" fontId="24" fillId="0" borderId="0" xfId="7" applyNumberFormat="1" applyFont="1" applyFill="1" applyAlignment="1">
      <alignment horizontal="right"/>
    </xf>
    <xf numFmtId="3" fontId="24" fillId="0" borderId="0" xfId="8" applyNumberFormat="1" applyFont="1" applyFill="1" applyAlignment="1">
      <alignment horizontal="right" indent="1"/>
    </xf>
    <xf numFmtId="0" fontId="24" fillId="4" borderId="0" xfId="7" applyNumberFormat="1" applyFont="1" applyFill="1" applyAlignment="1"/>
    <xf numFmtId="0" fontId="24" fillId="0" borderId="34" xfId="7" applyFont="1" applyFill="1" applyBorder="1" applyAlignment="1">
      <alignment horizontal="left" vertical="center" indent="2"/>
    </xf>
    <xf numFmtId="164" fontId="24" fillId="0" borderId="0" xfId="10" applyNumberFormat="1" applyFont="1" applyFill="1" applyAlignment="1">
      <alignment vertical="center"/>
    </xf>
    <xf numFmtId="164" fontId="24" fillId="0" borderId="0" xfId="7" applyNumberFormat="1" applyFont="1" applyFill="1" applyAlignment="1">
      <alignment horizontal="right" vertical="center"/>
    </xf>
    <xf numFmtId="3" fontId="24" fillId="0" borderId="0" xfId="8" applyNumberFormat="1" applyFont="1" applyFill="1" applyAlignment="1">
      <alignment horizontal="right" vertical="center" indent="1"/>
    </xf>
    <xf numFmtId="0" fontId="14" fillId="4" borderId="0" xfId="7" applyNumberFormat="1" applyFont="1" applyFill="1" applyBorder="1" applyAlignment="1"/>
    <xf numFmtId="0" fontId="24" fillId="0" borderId="34" xfId="7" applyFont="1" applyFill="1" applyBorder="1" applyAlignment="1">
      <alignment horizontal="left" vertical="top" indent="2"/>
    </xf>
    <xf numFmtId="164" fontId="24" fillId="0" borderId="0" xfId="10" applyNumberFormat="1" applyFont="1" applyFill="1" applyAlignment="1">
      <alignment vertical="top"/>
    </xf>
    <xf numFmtId="164" fontId="24" fillId="0" borderId="0" xfId="7" applyNumberFormat="1" applyFont="1" applyFill="1" applyAlignment="1">
      <alignment horizontal="right" vertical="top"/>
    </xf>
    <xf numFmtId="3" fontId="24" fillId="0" borderId="0" xfId="8" applyNumberFormat="1" applyFont="1" applyFill="1" applyAlignment="1">
      <alignment horizontal="right" vertical="top" indent="1"/>
    </xf>
    <xf numFmtId="0" fontId="25" fillId="8" borderId="44" xfId="7" applyFont="1" applyFill="1" applyBorder="1" applyAlignment="1">
      <alignment horizontal="left" indent="1"/>
    </xf>
    <xf numFmtId="164" fontId="25" fillId="8" borderId="17" xfId="7" applyNumberFormat="1" applyFont="1" applyFill="1" applyBorder="1"/>
    <xf numFmtId="3" fontId="25" fillId="8" borderId="17" xfId="8" applyNumberFormat="1" applyFont="1" applyFill="1" applyBorder="1" applyAlignment="1">
      <alignment horizontal="right" indent="1"/>
    </xf>
    <xf numFmtId="0" fontId="14" fillId="0" borderId="0" xfId="7" applyFont="1" applyAlignment="1"/>
    <xf numFmtId="0" fontId="14" fillId="4" borderId="0" xfId="7" applyFont="1" applyFill="1" applyAlignment="1">
      <alignment horizontal="right"/>
    </xf>
    <xf numFmtId="0" fontId="24" fillId="4" borderId="0" xfId="7" applyFont="1" applyFill="1" applyBorder="1" applyAlignment="1"/>
    <xf numFmtId="0" fontId="24" fillId="0" borderId="0" xfId="7" applyFont="1" applyAlignment="1"/>
    <xf numFmtId="3" fontId="24" fillId="4" borderId="0" xfId="7" applyNumberFormat="1" applyFont="1" applyFill="1" applyBorder="1" applyAlignment="1"/>
    <xf numFmtId="0" fontId="14" fillId="0" borderId="0" xfId="7" applyFont="1"/>
  </cellXfs>
  <cellStyles count="11">
    <cellStyle name="Comma" xfId="2" builtinId="3"/>
    <cellStyle name="Comma 2" xfId="8"/>
    <cellStyle name="Hyperlink" xfId="5" builtinId="8"/>
    <cellStyle name="Normal" xfId="0" builtinId="0"/>
    <cellStyle name="Normal 2" xfId="6"/>
    <cellStyle name="Normal 3" xfId="7"/>
    <cellStyle name="Normal_FRANK_SS" xfId="3"/>
    <cellStyle name="Normal_NEW_TSK5" xfId="4"/>
    <cellStyle name="Normal_RawData" xfId="9"/>
    <cellStyle name="Percent" xfId="1" builtinId="5"/>
    <cellStyle name="Percent 2" xfId="10"/>
  </cellStyles>
  <dxfs count="9">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8"/>
      <tableStyleElement type="headerRow"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83358058091859"/>
          <c:y val="0.19290496095010459"/>
          <c:w val="0.71296296296296291"/>
          <c:h val="0.71296296296296291"/>
        </c:manualLayout>
      </c:layout>
      <c:pieChart>
        <c:varyColors val="1"/>
        <c:ser>
          <c:idx val="0"/>
          <c:order val="0"/>
          <c:spPr>
            <a:ln w="12700"/>
          </c:spPr>
          <c:dPt>
            <c:idx val="0"/>
            <c:bubble3D val="0"/>
            <c:spPr>
              <a:solidFill>
                <a:schemeClr val="accent2">
                  <a:lumMod val="60000"/>
                  <a:lumOff val="40000"/>
                </a:schemeClr>
              </a:solidFill>
              <a:ln w="12700">
                <a:solidFill>
                  <a:schemeClr val="lt1"/>
                </a:solidFill>
              </a:ln>
              <a:effectLst/>
            </c:spPr>
          </c:dPt>
          <c:dPt>
            <c:idx val="1"/>
            <c:bubble3D val="0"/>
            <c:spPr>
              <a:solidFill>
                <a:schemeClr val="accent1"/>
              </a:solidFill>
              <a:ln w="12700">
                <a:solidFill>
                  <a:schemeClr val="lt1"/>
                </a:solidFill>
              </a:ln>
              <a:effectLst/>
            </c:spPr>
          </c:dPt>
          <c:dPt>
            <c:idx val="2"/>
            <c:bubble3D val="0"/>
            <c:spPr>
              <a:solidFill>
                <a:schemeClr val="accent6"/>
              </a:solidFill>
              <a:ln w="12700">
                <a:solidFill>
                  <a:schemeClr val="lt1"/>
                </a:solidFill>
              </a:ln>
              <a:effectLst/>
            </c:spPr>
          </c:dPt>
          <c:dPt>
            <c:idx val="3"/>
            <c:bubble3D val="0"/>
            <c:spPr>
              <a:solidFill>
                <a:schemeClr val="bg2">
                  <a:lumMod val="50000"/>
                </a:schemeClr>
              </a:solidFill>
              <a:ln w="12700">
                <a:solidFill>
                  <a:schemeClr val="lt1"/>
                </a:solidFill>
              </a:ln>
              <a:effectLst/>
            </c:spPr>
          </c:dPt>
          <c:dPt>
            <c:idx val="4"/>
            <c:bubble3D val="0"/>
            <c:spPr>
              <a:solidFill>
                <a:schemeClr val="accent2">
                  <a:lumMod val="60000"/>
                  <a:lumOff val="40000"/>
                </a:schemeClr>
              </a:solidFill>
              <a:ln w="12700">
                <a:solidFill>
                  <a:schemeClr val="lt1"/>
                </a:solidFill>
              </a:ln>
              <a:effectLst/>
            </c:spPr>
          </c:dPt>
          <c:dPt>
            <c:idx val="5"/>
            <c:bubble3D val="0"/>
            <c:spPr>
              <a:solidFill>
                <a:schemeClr val="accent1">
                  <a:lumMod val="75000"/>
                </a:schemeClr>
              </a:solidFill>
              <a:ln w="12700">
                <a:solidFill>
                  <a:schemeClr val="lt1"/>
                </a:solidFill>
              </a:ln>
              <a:effectLst/>
            </c:spPr>
          </c:dPt>
          <c:dPt>
            <c:idx val="6"/>
            <c:bubble3D val="0"/>
            <c:spPr>
              <a:solidFill>
                <a:schemeClr val="accent1"/>
              </a:solidFill>
              <a:ln w="12700">
                <a:solidFill>
                  <a:schemeClr val="lt1"/>
                </a:solidFill>
              </a:ln>
              <a:effectLst/>
            </c:spPr>
          </c:dPt>
          <c:dPt>
            <c:idx val="7"/>
            <c:bubble3D val="0"/>
            <c:spPr>
              <a:solidFill>
                <a:schemeClr val="accent6">
                  <a:lumMod val="75000"/>
                </a:schemeClr>
              </a:solidFill>
              <a:ln w="12700">
                <a:solidFill>
                  <a:schemeClr val="lt1"/>
                </a:solidFill>
              </a:ln>
              <a:effectLst/>
            </c:spPr>
          </c:dPt>
          <c:dPt>
            <c:idx val="8"/>
            <c:bubble3D val="0"/>
            <c:spPr>
              <a:solidFill>
                <a:schemeClr val="tx2"/>
              </a:solidFill>
              <a:ln w="12700">
                <a:solidFill>
                  <a:schemeClr val="lt1"/>
                </a:solidFill>
              </a:ln>
              <a:effectLst/>
            </c:spPr>
          </c:dPt>
          <c:dPt>
            <c:idx val="9"/>
            <c:bubble3D val="0"/>
            <c:spPr>
              <a:solidFill>
                <a:schemeClr val="accent3"/>
              </a:solidFill>
              <a:ln w="12700">
                <a:solidFill>
                  <a:schemeClr val="lt1"/>
                </a:solidFill>
              </a:ln>
              <a:effectLst/>
            </c:spPr>
          </c:dPt>
          <c:dLbls>
            <c:dLbl>
              <c:idx val="1"/>
              <c:layout>
                <c:manualLayout>
                  <c:x val="-6.1115575809781379E-2"/>
                  <c:y val="-4.6480170168660909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0.10425598226374477"/>
                  <c:y val="-1.3944051050598243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6"/>
              <c:layout>
                <c:manualLayout>
                  <c:x val="-7.3726460595542789E-2"/>
                  <c:y val="6.1297732904838954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7"/>
              <c:layout>
                <c:manualLayout>
                  <c:x val="-6.9377274094519062E-2"/>
                  <c:y val="1.8863069340717159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8"/>
              <c:layout>
                <c:manualLayout>
                  <c:x val="4.3360796309074391E-2"/>
                  <c:y val="-6.1304975357330774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9"/>
              <c:layout>
                <c:manualLayout>
                  <c:x val="4.3360796309074391E-2"/>
                  <c:y val="-4.7157673351792898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outEnd"/>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'Tacoma Composting'!$O$31:$O$33</c:f>
              <c:strCache>
                <c:ptCount val="3"/>
                <c:pt idx="0">
                  <c:v>Organics</c:v>
                </c:pt>
                <c:pt idx="1">
                  <c:v>Other Compostables</c:v>
                </c:pt>
                <c:pt idx="2">
                  <c:v>Other Non-compostables</c:v>
                </c:pt>
              </c:strCache>
            </c:strRef>
          </c:cat>
          <c:val>
            <c:numRef>
              <c:f>'Tacoma Composting'!$P$31:$P$33</c:f>
              <c:numCache>
                <c:formatCode>0.0%</c:formatCode>
                <c:ptCount val="3"/>
                <c:pt idx="0">
                  <c:v>0.96359425074296601</c:v>
                </c:pt>
                <c:pt idx="1">
                  <c:v>2.0868642071683913E-3</c:v>
                </c:pt>
                <c:pt idx="2">
                  <c:v>3.4318885049865654E-2</c:v>
                </c:pt>
              </c:numCache>
            </c:numRef>
          </c:val>
        </c:ser>
        <c:dLbls>
          <c:showLegendKey val="0"/>
          <c:showVal val="0"/>
          <c:showCatName val="0"/>
          <c:showSerName val="0"/>
          <c:showPercent val="0"/>
          <c:showBubbleSize val="0"/>
          <c:showLeaderLines val="1"/>
        </c:dLbls>
        <c:firstSliceAng val="0"/>
      </c:pieChart>
      <c:spPr>
        <a:noFill/>
        <a:ln w="127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529527559055118"/>
          <c:y val="9.842300962379702E-2"/>
          <c:w val="0.66003218347706538"/>
          <c:h val="0.74254520268299784"/>
        </c:manualLayout>
      </c:layout>
      <c:barChart>
        <c:barDir val="bar"/>
        <c:grouping val="clustered"/>
        <c:varyColors val="0"/>
        <c:ser>
          <c:idx val="0"/>
          <c:order val="0"/>
          <c:spPr>
            <a:solidFill>
              <a:schemeClr val="accent1"/>
            </a:solidFill>
            <a:ln>
              <a:noFill/>
            </a:ln>
            <a:effectLst/>
            <a:scene3d>
              <a:camera prst="orthographicFront"/>
              <a:lightRig rig="threePt" dir="t">
                <a:rot lat="0" lon="0" rev="1200000"/>
              </a:lightRig>
            </a:scene3d>
            <a:sp3d/>
          </c:spPr>
          <c:invertIfNegative val="0"/>
          <c:dPt>
            <c:idx val="0"/>
            <c:invertIfNegative val="0"/>
            <c:bubble3D val="0"/>
            <c:spPr>
              <a:solidFill>
                <a:schemeClr val="accent6"/>
              </a:solidFill>
              <a:ln>
                <a:noFill/>
              </a:ln>
              <a:effectLst/>
              <a:scene3d>
                <a:camera prst="orthographicFront"/>
                <a:lightRig rig="threePt" dir="t">
                  <a:rot lat="0" lon="0" rev="1200000"/>
                </a:lightRig>
              </a:scene3d>
              <a:sp3d/>
            </c:spPr>
          </c:dPt>
          <c:dPt>
            <c:idx val="1"/>
            <c:invertIfNegative val="0"/>
            <c:bubble3D val="0"/>
            <c:spPr>
              <a:solidFill>
                <a:schemeClr val="accent1">
                  <a:lumMod val="60000"/>
                  <a:lumOff val="40000"/>
                </a:schemeClr>
              </a:solidFill>
              <a:ln>
                <a:noFill/>
              </a:ln>
              <a:effectLst/>
              <a:scene3d>
                <a:camera prst="orthographicFront"/>
                <a:lightRig rig="threePt" dir="t">
                  <a:rot lat="0" lon="0" rev="1200000"/>
                </a:lightRig>
              </a:scene3d>
              <a:sp3d/>
            </c:spPr>
          </c:dPt>
          <c:dPt>
            <c:idx val="2"/>
            <c:invertIfNegative val="0"/>
            <c:bubble3D val="0"/>
            <c:spPr>
              <a:solidFill>
                <a:schemeClr val="accent1">
                  <a:lumMod val="75000"/>
                </a:schemeClr>
              </a:solidFill>
              <a:ln>
                <a:noFill/>
              </a:ln>
              <a:effectLst/>
              <a:scene3d>
                <a:camera prst="orthographicFront"/>
                <a:lightRig rig="threePt" dir="t">
                  <a:rot lat="0" lon="0" rev="1200000"/>
                </a:lightRig>
              </a:scene3d>
              <a:sp3d/>
            </c:spPr>
          </c:dPt>
          <c:dPt>
            <c:idx val="3"/>
            <c:invertIfNegative val="0"/>
            <c:bubble3D val="0"/>
            <c:spPr>
              <a:solidFill>
                <a:schemeClr val="accent2">
                  <a:lumMod val="40000"/>
                  <a:lumOff val="60000"/>
                </a:schemeClr>
              </a:solidFill>
              <a:ln>
                <a:noFill/>
              </a:ln>
              <a:effectLst/>
              <a:scene3d>
                <a:camera prst="orthographicFront"/>
                <a:lightRig rig="threePt" dir="t">
                  <a:rot lat="0" lon="0" rev="1200000"/>
                </a:lightRig>
              </a:scene3d>
              <a:sp3d/>
            </c:spPr>
          </c:dPt>
          <c:dPt>
            <c:idx val="4"/>
            <c:invertIfNegative val="0"/>
            <c:bubble3D val="0"/>
            <c:spPr>
              <a:solidFill>
                <a:schemeClr val="accent2">
                  <a:lumMod val="60000"/>
                  <a:lumOff val="40000"/>
                </a:schemeClr>
              </a:solidFill>
              <a:ln>
                <a:noFill/>
              </a:ln>
              <a:effectLst/>
              <a:scene3d>
                <a:camera prst="orthographicFront"/>
                <a:lightRig rig="threePt" dir="t">
                  <a:rot lat="0" lon="0" rev="1200000"/>
                </a:lightRig>
              </a:scene3d>
              <a:sp3d/>
            </c:spPr>
          </c:dPt>
          <c:dPt>
            <c:idx val="5"/>
            <c:invertIfNegative val="0"/>
            <c:bubble3D val="0"/>
            <c:spPr>
              <a:solidFill>
                <a:schemeClr val="accent5">
                  <a:lumMod val="50000"/>
                </a:schemeClr>
              </a:solidFill>
              <a:ln>
                <a:noFill/>
              </a:ln>
              <a:effectLst/>
              <a:scene3d>
                <a:camera prst="orthographicFront"/>
                <a:lightRig rig="threePt" dir="t">
                  <a:rot lat="0" lon="0" rev="1200000"/>
                </a:lightRig>
              </a:scene3d>
              <a:sp3d/>
            </c:spPr>
          </c:dPt>
          <c:dPt>
            <c:idx val="6"/>
            <c:invertIfNegative val="0"/>
            <c:bubble3D val="0"/>
            <c:spPr>
              <a:solidFill>
                <a:schemeClr val="accent5">
                  <a:lumMod val="75000"/>
                </a:schemeClr>
              </a:solidFill>
              <a:ln>
                <a:noFill/>
              </a:ln>
              <a:effectLst/>
              <a:scene3d>
                <a:camera prst="orthographicFront"/>
                <a:lightRig rig="threePt" dir="t">
                  <a:rot lat="0" lon="0" rev="1200000"/>
                </a:lightRig>
              </a:scene3d>
              <a:sp3d/>
            </c:spPr>
          </c:dPt>
          <c:dLbls>
            <c:spPr>
              <a:solidFill>
                <a:schemeClr val="bg1"/>
              </a:solid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'Tacoma Composting'!$O$18:$O$23</c:f>
              <c:strCache>
                <c:ptCount val="6"/>
                <c:pt idx="0">
                  <c:v>Contaminants</c:v>
                </c:pt>
                <c:pt idx="1">
                  <c:v>Other Compostable</c:v>
                </c:pt>
                <c:pt idx="2">
                  <c:v>Compostable Plastic</c:v>
                </c:pt>
                <c:pt idx="3">
                  <c:v>Compostable Paper</c:v>
                </c:pt>
                <c:pt idx="4">
                  <c:v>Yard Waste</c:v>
                </c:pt>
                <c:pt idx="5">
                  <c:v>Food Waste</c:v>
                </c:pt>
              </c:strCache>
            </c:strRef>
          </c:cat>
          <c:val>
            <c:numRef>
              <c:f>'Tacoma Composting'!$P$18:$P$23</c:f>
              <c:numCache>
                <c:formatCode>0.0%</c:formatCode>
                <c:ptCount val="6"/>
                <c:pt idx="0">
                  <c:v>3.4318885049865654E-2</c:v>
                </c:pt>
                <c:pt idx="1">
                  <c:v>6.4459030976947603E-4</c:v>
                </c:pt>
                <c:pt idx="2">
                  <c:v>2.45740325579835E-4</c:v>
                </c:pt>
                <c:pt idx="3">
                  <c:v>1.1965335718190804E-3</c:v>
                </c:pt>
                <c:pt idx="4">
                  <c:v>0.9173532845233564</c:v>
                </c:pt>
                <c:pt idx="5">
                  <c:v>4.6240966219609561E-2</c:v>
                </c:pt>
              </c:numCache>
            </c:numRef>
          </c:val>
        </c:ser>
        <c:dLbls>
          <c:showLegendKey val="0"/>
          <c:showVal val="0"/>
          <c:showCatName val="0"/>
          <c:showSerName val="0"/>
          <c:showPercent val="0"/>
          <c:showBubbleSize val="0"/>
        </c:dLbls>
        <c:gapWidth val="50"/>
        <c:axId val="839027904"/>
        <c:axId val="839029536"/>
      </c:barChart>
      <c:catAx>
        <c:axId val="839027904"/>
        <c:scaling>
          <c:orientation val="minMax"/>
        </c:scaling>
        <c:delete val="0"/>
        <c:axPos val="l"/>
        <c:numFmt formatCode="General" sourceLinked="1"/>
        <c:majorTickMark val="out"/>
        <c:minorTickMark val="none"/>
        <c:tickLblPos val="nextTo"/>
        <c:spPr>
          <a:noFill/>
          <a:ln w="9525" cap="flat" cmpd="sng" algn="ctr">
            <a:solidFill>
              <a:schemeClr val="tx1">
                <a:tint val="75000"/>
              </a:schemeClr>
            </a:solidFill>
            <a:prstDash val="solid"/>
            <a:round/>
          </a:ln>
          <a:effectLst/>
        </c:spPr>
        <c:txPr>
          <a:bodyPr rot="0" spcFirstLastPara="1" vertOverflow="ellipsis" wrap="square" anchor="ctr" anchorCtr="1"/>
          <a:lstStyle/>
          <a:p>
            <a:pPr>
              <a:defRPr sz="900" b="0" i="0" u="none" strike="noStrike" kern="1200" baseline="0">
                <a:solidFill>
                  <a:sysClr val="windowText" lastClr="000000"/>
                </a:solidFill>
                <a:latin typeface="Calibri"/>
                <a:ea typeface="Calibri"/>
                <a:cs typeface="Calibri"/>
              </a:defRPr>
            </a:pPr>
            <a:endParaRPr lang="en-US"/>
          </a:p>
        </c:txPr>
        <c:crossAx val="839029536"/>
        <c:crosses val="autoZero"/>
        <c:auto val="1"/>
        <c:lblAlgn val="ctr"/>
        <c:lblOffset val="100"/>
        <c:noMultiLvlLbl val="0"/>
      </c:catAx>
      <c:valAx>
        <c:axId val="839029536"/>
        <c:scaling>
          <c:orientation val="minMax"/>
        </c:scaling>
        <c:delete val="0"/>
        <c:axPos val="b"/>
        <c:majorGridlines>
          <c:spPr>
            <a:ln w="9525" cap="flat" cmpd="sng" algn="ctr">
              <a:solidFill>
                <a:schemeClr val="tx1">
                  <a:tint val="7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chemeClr>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en-US"/>
          </a:p>
        </c:txPr>
        <c:crossAx val="839027904"/>
        <c:crosses val="autoZero"/>
        <c:crossBetween val="between"/>
      </c:valAx>
      <c:spPr>
        <a:solidFill>
          <a:schemeClr val="bg1"/>
        </a:solidFill>
        <a:ln>
          <a:noFill/>
        </a:ln>
        <a:effectLst/>
      </c:spPr>
    </c:plotArea>
    <c:plotVisOnly val="1"/>
    <c:dispBlanksAs val="zero"/>
    <c:showDLblsOverMax val="0"/>
  </c:chart>
  <c:spPr>
    <a:solidFill>
      <a:schemeClr val="bg1"/>
    </a:solidFill>
    <a:ln w="9525" cap="flat" cmpd="sng" algn="ctr">
      <a:noFill/>
      <a:prstDash val="solid"/>
      <a:round/>
    </a:ln>
    <a:effectLst/>
  </c:spPr>
  <c:txPr>
    <a:bodyPr/>
    <a:lstStyle/>
    <a:p>
      <a:pPr>
        <a:defRPr sz="900" b="0" i="0" u="none" strike="noStrike" baseline="0">
          <a:solidFill>
            <a:srgbClr val="000000"/>
          </a:solidFill>
          <a:latin typeface="Calibri"/>
          <a:ea typeface="Calibri"/>
          <a:cs typeface="Calibri"/>
        </a:defRPr>
      </a:pPr>
      <a:endParaRPr lang="en-US"/>
    </a:p>
  </c:txPr>
  <c:printSettings>
    <c:headerFooter alignWithMargins="0"/>
    <c:pageMargins b="1" l="0.750000000000004" r="0.750000000000004" t="1" header="0.5" footer="0.5"/>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2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3">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75353</xdr:colOff>
      <xdr:row>25</xdr:row>
      <xdr:rowOff>132404</xdr:rowOff>
    </xdr:from>
    <xdr:to>
      <xdr:col>16</xdr:col>
      <xdr:colOff>26604</xdr:colOff>
      <xdr:row>40</xdr:row>
      <xdr:rowOff>66650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0</xdr:colOff>
      <xdr:row>10</xdr:row>
      <xdr:rowOff>0</xdr:rowOff>
    </xdr:from>
    <xdr:to>
      <xdr:col>16</xdr:col>
      <xdr:colOff>87085</xdr:colOff>
      <xdr:row>24</xdr:row>
      <xdr:rowOff>131413</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harmon/AppData/Local/Microsoft/Windows/INetCache/Content.Outlook/LC3PS1TE/ORG_CompTable_Report%20%20Appendix_to%20client_2016-03-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matode\Projects\_SEATTLE%20PUBLIC%20UTILITY\SWC%202002\Reports\Tables\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List"/>
      <sheetName val="Recoverabiliy"/>
      <sheetName val="ORG_Overall"/>
      <sheetName val="ORG_Fall"/>
      <sheetName val="ORG_Spring"/>
      <sheetName val="ORG_Summer"/>
      <sheetName val="Sheet2"/>
      <sheetName val="Sheet1"/>
    </sheetNames>
    <sheetDataSet>
      <sheetData sheetId="0">
        <row r="3">
          <cell r="B3" t="str">
            <v>Organics</v>
          </cell>
          <cell r="C3" t="str">
            <v>Food Waste</v>
          </cell>
          <cell r="D3" t="str">
            <v>Food Waste, Vegetative</v>
          </cell>
        </row>
        <row r="4">
          <cell r="B4" t="str">
            <v>Organics</v>
          </cell>
          <cell r="C4" t="str">
            <v>Food Waste</v>
          </cell>
          <cell r="D4" t="str">
            <v>Other Food Waste</v>
          </cell>
        </row>
        <row r="5">
          <cell r="B5" t="str">
            <v>Organics</v>
          </cell>
          <cell r="C5" t="str">
            <v>Yard Waste</v>
          </cell>
          <cell r="D5" t="str">
            <v>Leaves, Grass, Prunings and Trimmings</v>
          </cell>
        </row>
        <row r="6">
          <cell r="B6" t="str">
            <v>Organics</v>
          </cell>
          <cell r="C6" t="str">
            <v>Yard Waste</v>
          </cell>
          <cell r="D6" t="str">
            <v>Branches and Stumps</v>
          </cell>
        </row>
        <row r="7">
          <cell r="B7" t="str">
            <v>Other Compostables</v>
          </cell>
          <cell r="C7" t="str">
            <v>Compostable Paper</v>
          </cell>
          <cell r="D7" t="str">
            <v>Waxed Corrugated Cardboard</v>
          </cell>
        </row>
        <row r="8">
          <cell r="B8" t="str">
            <v>Other Compostables</v>
          </cell>
          <cell r="C8" t="str">
            <v>Compostable Paper</v>
          </cell>
          <cell r="D8" t="str">
            <v>Pizza Boxes</v>
          </cell>
        </row>
        <row r="9">
          <cell r="B9" t="str">
            <v>Other Compostables</v>
          </cell>
          <cell r="C9" t="str">
            <v>Compostable Paper</v>
          </cell>
          <cell r="D9" t="str">
            <v>Compostable Paper</v>
          </cell>
        </row>
        <row r="10">
          <cell r="B10" t="str">
            <v>Other Compostables</v>
          </cell>
          <cell r="C10" t="str">
            <v>Compostable Paper</v>
          </cell>
          <cell r="D10" t="str">
            <v>Pot. Comp. Single-use Food Service Paper</v>
          </cell>
        </row>
        <row r="11">
          <cell r="B11" t="str">
            <v>Other Compostables</v>
          </cell>
          <cell r="C11" t="str">
            <v>Compostable Plastic</v>
          </cell>
          <cell r="D11" t="str">
            <v>Pot. Comp. Single-use Food Service Plastic</v>
          </cell>
        </row>
        <row r="12">
          <cell r="B12" t="str">
            <v>Other Compostables</v>
          </cell>
          <cell r="C12" t="str">
            <v>Other Compostable</v>
          </cell>
          <cell r="D12" t="str">
            <v>Other Compostable Organics</v>
          </cell>
        </row>
        <row r="13">
          <cell r="B13" t="str">
            <v>Other Non-compostables</v>
          </cell>
          <cell r="C13" t="str">
            <v>Contaminants</v>
          </cell>
          <cell r="D13" t="str">
            <v>Newspaper</v>
          </cell>
        </row>
        <row r="14">
          <cell r="B14" t="str">
            <v>Other Non-compostables</v>
          </cell>
          <cell r="C14" t="str">
            <v>Contaminants</v>
          </cell>
          <cell r="D14" t="str">
            <v>Uncoated Corrugated Cardboard/Kraft Paper</v>
          </cell>
        </row>
        <row r="15">
          <cell r="B15" t="str">
            <v>Other Non-compostables</v>
          </cell>
          <cell r="C15" t="str">
            <v>Contaminants</v>
          </cell>
          <cell r="D15" t="str">
            <v>Mixed Recyclable Paper</v>
          </cell>
        </row>
        <row r="16">
          <cell r="B16" t="str">
            <v>Other Non-compostables</v>
          </cell>
          <cell r="C16" t="str">
            <v>Contaminants</v>
          </cell>
          <cell r="D16" t="str">
            <v>Recyclable Polycoated Paper</v>
          </cell>
        </row>
        <row r="17">
          <cell r="B17" t="str">
            <v>Other Non-compostables</v>
          </cell>
          <cell r="C17" t="str">
            <v>Contaminants</v>
          </cell>
          <cell r="D17" t="str">
            <v>Non-comp. Single-use Food Service Paper</v>
          </cell>
        </row>
        <row r="18">
          <cell r="B18" t="str">
            <v>Other Non-compostables</v>
          </cell>
          <cell r="C18" t="str">
            <v>Contaminants</v>
          </cell>
          <cell r="D18" t="str">
            <v>Recyclable Plastic</v>
          </cell>
        </row>
        <row r="19">
          <cell r="B19" t="str">
            <v>Other Non-compostables</v>
          </cell>
          <cell r="C19" t="str">
            <v>Contaminants</v>
          </cell>
          <cell r="D19" t="str">
            <v>Non-comp. Single-use Food Service Plastic</v>
          </cell>
        </row>
        <row r="20">
          <cell r="B20" t="str">
            <v>Other Non-compostables</v>
          </cell>
          <cell r="C20" t="str">
            <v>Contaminants</v>
          </cell>
          <cell r="D20" t="str">
            <v>Clean Shopping/Dry Cleaning Bags</v>
          </cell>
        </row>
        <row r="21">
          <cell r="B21" t="str">
            <v>Other Non-compostables</v>
          </cell>
          <cell r="C21" t="str">
            <v>Contaminants</v>
          </cell>
          <cell r="D21" t="str">
            <v>Other Non-compostable Film</v>
          </cell>
        </row>
        <row r="22">
          <cell r="B22" t="str">
            <v>Other Non-compostables</v>
          </cell>
          <cell r="C22" t="str">
            <v>Contaminants</v>
          </cell>
          <cell r="D22" t="str">
            <v>Recyclable Glass</v>
          </cell>
        </row>
        <row r="23">
          <cell r="B23" t="str">
            <v>Other Non-compostables</v>
          </cell>
          <cell r="C23" t="str">
            <v>Contaminants</v>
          </cell>
          <cell r="D23" t="str">
            <v>Recyclable Metal</v>
          </cell>
        </row>
        <row r="24">
          <cell r="B24" t="str">
            <v>Other Non-compostables</v>
          </cell>
          <cell r="C24" t="str">
            <v>Contaminants</v>
          </cell>
          <cell r="D24" t="str">
            <v>Animal Excrement And Litter</v>
          </cell>
        </row>
        <row r="25">
          <cell r="B25" t="str">
            <v>Other Non-compostables</v>
          </cell>
          <cell r="C25" t="str">
            <v>Contaminants</v>
          </cell>
          <cell r="D25" t="str">
            <v>Other Materials</v>
          </cell>
        </row>
      </sheetData>
      <sheetData sheetId="1">
        <row r="3">
          <cell r="C3" t="str">
            <v>Contaminants</v>
          </cell>
        </row>
        <row r="4">
          <cell r="C4" t="str">
            <v>Other Compostable</v>
          </cell>
        </row>
        <row r="5">
          <cell r="C5" t="str">
            <v>Compostable Plastic</v>
          </cell>
        </row>
        <row r="6">
          <cell r="C6" t="str">
            <v>Compostable Paper</v>
          </cell>
        </row>
        <row r="7">
          <cell r="C7" t="str">
            <v>Yard Waste</v>
          </cell>
        </row>
        <row r="8">
          <cell r="C8" t="str">
            <v>Food Waste</v>
          </cell>
        </row>
      </sheetData>
      <sheetData sheetId="2">
        <row r="18">
          <cell r="O18" t="str">
            <v>Contaminants</v>
          </cell>
          <cell r="P18">
            <v>3.4318885049865654E-2</v>
          </cell>
        </row>
        <row r="19">
          <cell r="O19" t="str">
            <v>Other Compostable</v>
          </cell>
          <cell r="P19">
            <v>6.4459030976947603E-4</v>
          </cell>
        </row>
        <row r="20">
          <cell r="O20" t="str">
            <v>Compostable Plastic</v>
          </cell>
          <cell r="P20">
            <v>2.45740325579835E-4</v>
          </cell>
        </row>
        <row r="21">
          <cell r="O21" t="str">
            <v>Compostable Paper</v>
          </cell>
          <cell r="P21">
            <v>1.1965335718190804E-3</v>
          </cell>
        </row>
        <row r="22">
          <cell r="O22" t="str">
            <v>Yard Waste</v>
          </cell>
          <cell r="P22">
            <v>0.9173532845233564</v>
          </cell>
        </row>
        <row r="23">
          <cell r="O23" t="str">
            <v>Food Waste</v>
          </cell>
          <cell r="P23">
            <v>4.6240966219609561E-2</v>
          </cell>
        </row>
        <row r="31">
          <cell r="O31" t="str">
            <v>Organics</v>
          </cell>
          <cell r="P31">
            <v>0.96359425074296601</v>
          </cell>
        </row>
        <row r="32">
          <cell r="O32" t="str">
            <v>Other Compostables</v>
          </cell>
          <cell r="P32">
            <v>2.0868642071683913E-3</v>
          </cell>
        </row>
        <row r="33">
          <cell r="O33" t="str">
            <v>Other Non-compostables</v>
          </cell>
          <cell r="P33">
            <v>3.4318885049865654E-2</v>
          </cell>
        </row>
      </sheetData>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Data"/>
      <sheetName val="PieChart"/>
      <sheetName val="LargComp"/>
      <sheetName val="Format"/>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www.epa.gov/sites/production/files/2016-03/documents/warm_v14_management_practices.pdf"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2"/>
  <sheetViews>
    <sheetView zoomScale="70" zoomScaleNormal="70" workbookViewId="0">
      <selection activeCell="R7" sqref="R7"/>
    </sheetView>
  </sheetViews>
  <sheetFormatPr defaultRowHeight="15" x14ac:dyDescent="0.25"/>
  <cols>
    <col min="3" max="3" width="18.5703125" bestFit="1" customWidth="1"/>
    <col min="4" max="4" width="10.7109375" bestFit="1" customWidth="1"/>
    <col min="5" max="5" width="21.85546875" bestFit="1" customWidth="1"/>
    <col min="6" max="6" width="30.42578125" bestFit="1" customWidth="1"/>
    <col min="7" max="8" width="8.5703125" customWidth="1"/>
    <col min="9" max="9" width="9.5703125" bestFit="1" customWidth="1"/>
    <col min="10" max="11" width="8.5703125" customWidth="1"/>
    <col min="12" max="12" width="9.5703125" bestFit="1" customWidth="1"/>
    <col min="13" max="14" width="8.5703125" customWidth="1"/>
    <col min="15" max="15" width="10.7109375" customWidth="1"/>
    <col min="16" max="17" width="8.5703125" customWidth="1"/>
    <col min="18" max="18" width="12" bestFit="1" customWidth="1"/>
  </cols>
  <sheetData>
    <row r="1" spans="1:21" x14ac:dyDescent="0.25">
      <c r="A1" t="s">
        <v>65</v>
      </c>
    </row>
    <row r="2" spans="1:21" x14ac:dyDescent="0.25">
      <c r="A2" t="s">
        <v>64</v>
      </c>
    </row>
    <row r="3" spans="1:21" ht="15.75" thickBot="1" x14ac:dyDescent="0.3"/>
    <row r="4" spans="1:21" x14ac:dyDescent="0.25">
      <c r="C4" s="14"/>
      <c r="D4" s="15"/>
      <c r="E4" s="15"/>
      <c r="F4" s="16" t="s">
        <v>25</v>
      </c>
      <c r="G4" s="53">
        <v>40</v>
      </c>
      <c r="H4" s="50"/>
      <c r="I4" s="51"/>
      <c r="J4" s="50">
        <v>402</v>
      </c>
      <c r="K4" s="50"/>
      <c r="L4" s="50"/>
      <c r="M4" s="53">
        <v>739</v>
      </c>
      <c r="N4" s="50"/>
      <c r="O4" s="51"/>
      <c r="P4" s="50">
        <v>960</v>
      </c>
      <c r="Q4" s="50"/>
      <c r="R4" s="51"/>
    </row>
    <row r="5" spans="1:21" x14ac:dyDescent="0.25">
      <c r="C5" s="17"/>
      <c r="D5" s="18"/>
      <c r="E5" s="18"/>
      <c r="F5" s="19" t="s">
        <v>24</v>
      </c>
      <c r="G5" s="52">
        <v>2007</v>
      </c>
      <c r="H5" s="48"/>
      <c r="I5" s="49"/>
      <c r="J5" s="48">
        <v>2009</v>
      </c>
      <c r="K5" s="48"/>
      <c r="L5" s="48"/>
      <c r="M5" s="52">
        <v>2011</v>
      </c>
      <c r="N5" s="48"/>
      <c r="O5" s="49"/>
      <c r="P5" s="48">
        <v>2014</v>
      </c>
      <c r="Q5" s="48"/>
      <c r="R5" s="49"/>
    </row>
    <row r="6" spans="1:21" ht="15.75" thickBot="1" x14ac:dyDescent="0.3">
      <c r="C6" s="23" t="s">
        <v>0</v>
      </c>
      <c r="D6" s="24" t="s">
        <v>1</v>
      </c>
      <c r="E6" s="24" t="s">
        <v>30</v>
      </c>
      <c r="F6" s="25" t="s">
        <v>2</v>
      </c>
      <c r="G6" s="26" t="s">
        <v>26</v>
      </c>
      <c r="H6" s="27" t="s">
        <v>3</v>
      </c>
      <c r="I6" s="28" t="s">
        <v>45</v>
      </c>
      <c r="J6" s="26" t="s">
        <v>26</v>
      </c>
      <c r="K6" s="27" t="s">
        <v>3</v>
      </c>
      <c r="L6" s="28" t="s">
        <v>47</v>
      </c>
      <c r="M6" s="26" t="s">
        <v>26</v>
      </c>
      <c r="N6" s="27" t="s">
        <v>3</v>
      </c>
      <c r="O6" s="28" t="s">
        <v>48</v>
      </c>
      <c r="P6" s="26" t="s">
        <v>26</v>
      </c>
      <c r="Q6" s="27" t="s">
        <v>3</v>
      </c>
      <c r="R6" s="28" t="s">
        <v>49</v>
      </c>
      <c r="S6" s="33" t="s">
        <v>46</v>
      </c>
      <c r="T6" s="33" t="s">
        <v>50</v>
      </c>
      <c r="U6" s="33" t="s">
        <v>51</v>
      </c>
    </row>
    <row r="7" spans="1:21" x14ac:dyDescent="0.25">
      <c r="C7" s="6" t="s">
        <v>4</v>
      </c>
      <c r="D7" s="7">
        <v>1</v>
      </c>
      <c r="E7" s="29" t="s">
        <v>32</v>
      </c>
      <c r="F7" s="5" t="s">
        <v>27</v>
      </c>
      <c r="G7" s="2">
        <v>5.5509216933953501E-3</v>
      </c>
      <c r="H7" s="21">
        <v>1.5646256328337071E-3</v>
      </c>
      <c r="I7" s="3">
        <f t="shared" ref="I7:I23" si="0">G7*I$24</f>
        <v>44.691691756298511</v>
      </c>
      <c r="J7" s="2">
        <v>4.3874697288573898E-2</v>
      </c>
      <c r="K7" s="21">
        <v>8.9266499158036708E-3</v>
      </c>
      <c r="L7" s="3">
        <f t="shared" ref="L7:L23" si="1">J7*L$24</f>
        <v>5811.8424372366608</v>
      </c>
      <c r="M7" s="2">
        <v>3.8249327446462103E-2</v>
      </c>
      <c r="N7" s="21">
        <v>5.3700876220746999E-3</v>
      </c>
      <c r="O7" s="3">
        <f t="shared" ref="O7:O23" si="2">M7*O$24</f>
        <v>5789.8730397829395</v>
      </c>
      <c r="P7" s="2">
        <v>4.1775756015186502E-2</v>
      </c>
      <c r="Q7" s="21">
        <v>5.09711646760769E-3</v>
      </c>
      <c r="R7" s="3">
        <f t="shared" ref="R7:R23" si="3">P7*R$24</f>
        <v>6792.4918688663956</v>
      </c>
      <c r="S7" s="34">
        <f>AVERAGE(I7,L7)</f>
        <v>2928.2670644964796</v>
      </c>
      <c r="T7" s="34">
        <f>AVERAGE(L7,O7)</f>
        <v>5800.8577385097997</v>
      </c>
      <c r="U7" s="34">
        <f>R7+(R7-O7)/(2014-2011)</f>
        <v>7126.6981452275477</v>
      </c>
    </row>
    <row r="8" spans="1:21" x14ac:dyDescent="0.25">
      <c r="C8" s="6" t="s">
        <v>4</v>
      </c>
      <c r="D8" s="7">
        <v>2</v>
      </c>
      <c r="E8" s="29" t="s">
        <v>33</v>
      </c>
      <c r="F8" s="5" t="s">
        <v>5</v>
      </c>
      <c r="G8" s="2">
        <v>4.9535784140535932E-4</v>
      </c>
      <c r="H8" s="21">
        <v>3.4786015662837853E-4</v>
      </c>
      <c r="I8" s="3">
        <f t="shared" si="0"/>
        <v>3.9882349598796574</v>
      </c>
      <c r="J8" s="2">
        <v>3.6682871812873902E-3</v>
      </c>
      <c r="K8" s="21">
        <v>1.1322994806531299E-3</v>
      </c>
      <c r="L8" s="3">
        <f t="shared" si="1"/>
        <v>485.91804456117478</v>
      </c>
      <c r="M8" s="2">
        <v>5.8667428185131404E-3</v>
      </c>
      <c r="N8" s="21">
        <v>1.29437805770465E-3</v>
      </c>
      <c r="O8" s="3">
        <f t="shared" si="2"/>
        <v>888.05995670889297</v>
      </c>
      <c r="P8" s="2">
        <v>5.8011939242185598E-3</v>
      </c>
      <c r="Q8" s="21">
        <v>9.2454522400351098E-4</v>
      </c>
      <c r="R8" s="3">
        <f t="shared" si="3"/>
        <v>943.23996304572415</v>
      </c>
      <c r="S8" s="34">
        <f t="shared" ref="S8:S23" si="4">AVERAGE(I8,L8)</f>
        <v>244.95313976052722</v>
      </c>
      <c r="T8" s="34">
        <f t="shared" ref="T8:T23" si="5">AVERAGE(L8,O8)</f>
        <v>686.9890006350339</v>
      </c>
      <c r="U8" s="34">
        <f t="shared" ref="U8:U23" si="6">R8+(R8-O8)/(2014-2011)</f>
        <v>961.63329849133459</v>
      </c>
    </row>
    <row r="9" spans="1:21" x14ac:dyDescent="0.25">
      <c r="C9" s="6" t="s">
        <v>4</v>
      </c>
      <c r="D9" s="7">
        <v>3</v>
      </c>
      <c r="E9" s="29" t="s">
        <v>32</v>
      </c>
      <c r="F9" s="5" t="s">
        <v>6</v>
      </c>
      <c r="G9" s="2">
        <v>0</v>
      </c>
      <c r="H9" s="21">
        <v>0</v>
      </c>
      <c r="I9" s="3">
        <f t="shared" si="0"/>
        <v>0</v>
      </c>
      <c r="J9" s="2">
        <v>4.1406948463090603E-4</v>
      </c>
      <c r="K9" s="21">
        <v>1.8763797039230901E-4</v>
      </c>
      <c r="L9" s="3">
        <f t="shared" si="1"/>
        <v>54.849531768036364</v>
      </c>
      <c r="M9" s="2">
        <v>1.2575846703483199E-4</v>
      </c>
      <c r="N9" s="21">
        <v>6.2260391092998295E-5</v>
      </c>
      <c r="O9" s="3">
        <f t="shared" si="2"/>
        <v>19.036297012766266</v>
      </c>
      <c r="P9" s="2">
        <v>3.2236810415887501E-4</v>
      </c>
      <c r="Q9" s="21">
        <v>1.8081608170602E-4</v>
      </c>
      <c r="R9" s="3">
        <f t="shared" si="3"/>
        <v>52.415154988099573</v>
      </c>
      <c r="S9" s="34">
        <f t="shared" si="4"/>
        <v>27.424765884018182</v>
      </c>
      <c r="T9" s="34">
        <f t="shared" si="5"/>
        <v>36.942914390401313</v>
      </c>
      <c r="U9" s="34">
        <f t="shared" si="6"/>
        <v>63.541440979877343</v>
      </c>
    </row>
    <row r="10" spans="1:21" x14ac:dyDescent="0.25">
      <c r="C10" s="6" t="s">
        <v>4</v>
      </c>
      <c r="D10" s="7">
        <v>4</v>
      </c>
      <c r="E10" s="31" t="s">
        <v>43</v>
      </c>
      <c r="F10" s="5" t="s">
        <v>7</v>
      </c>
      <c r="G10" s="2">
        <v>1.2019712328218278E-3</v>
      </c>
      <c r="H10" s="21">
        <v>4.5912774554716311E-4</v>
      </c>
      <c r="I10" s="3">
        <f t="shared" si="0"/>
        <v>9.6773348291197561</v>
      </c>
      <c r="J10" s="2">
        <v>1.02100587069879E-2</v>
      </c>
      <c r="K10" s="21">
        <v>3.2747496307878698E-3</v>
      </c>
      <c r="L10" s="3">
        <f t="shared" si="1"/>
        <v>1352.4709262302629</v>
      </c>
      <c r="M10" s="2">
        <v>1.5126316665535501E-2</v>
      </c>
      <c r="N10" s="21">
        <v>2.8576116766703798E-3</v>
      </c>
      <c r="O10" s="3">
        <f t="shared" si="2"/>
        <v>2289.6991633536313</v>
      </c>
      <c r="P10" s="2">
        <v>1.6863915000328099E-2</v>
      </c>
      <c r="Q10" s="21">
        <v>3.5550391501197099E-3</v>
      </c>
      <c r="R10" s="3">
        <f t="shared" si="3"/>
        <v>2741.9732505939969</v>
      </c>
      <c r="S10" s="34">
        <f t="shared" si="4"/>
        <v>681.07413052969127</v>
      </c>
      <c r="T10" s="34">
        <f t="shared" si="5"/>
        <v>1821.085044791947</v>
      </c>
      <c r="U10" s="34">
        <f t="shared" si="6"/>
        <v>2892.7312796741189</v>
      </c>
    </row>
    <row r="11" spans="1:21" x14ac:dyDescent="0.25">
      <c r="C11" s="6" t="s">
        <v>8</v>
      </c>
      <c r="D11" s="7">
        <v>5</v>
      </c>
      <c r="E11" s="32" t="s">
        <v>44</v>
      </c>
      <c r="F11" s="5" t="s">
        <v>9</v>
      </c>
      <c r="G11" s="2">
        <v>2.0251394104513231E-3</v>
      </c>
      <c r="H11" s="21">
        <v>7.3995074348807326E-4</v>
      </c>
      <c r="I11" s="3">
        <f>G11*I$24</f>
        <v>16.304842924213901</v>
      </c>
      <c r="J11" s="2">
        <v>1.65145297473997E-3</v>
      </c>
      <c r="K11" s="21">
        <v>5.44542743797975E-4</v>
      </c>
      <c r="L11" s="3">
        <f t="shared" si="1"/>
        <v>218.75899037129182</v>
      </c>
      <c r="M11" s="2">
        <v>3.2586887155245398E-3</v>
      </c>
      <c r="N11" s="21">
        <v>2.0738473429863899E-3</v>
      </c>
      <c r="O11" s="3">
        <f t="shared" si="2"/>
        <v>493.27387430456855</v>
      </c>
      <c r="P11" s="2">
        <v>1.85169241456261E-3</v>
      </c>
      <c r="Q11" s="21">
        <v>4.40384990401666E-4</v>
      </c>
      <c r="R11" s="3">
        <f t="shared" si="3"/>
        <v>301.0742801395586</v>
      </c>
      <c r="S11" s="34">
        <f t="shared" si="4"/>
        <v>117.53191664775287</v>
      </c>
      <c r="T11" s="34">
        <f t="shared" si="5"/>
        <v>356.01643233793015</v>
      </c>
      <c r="U11" s="34">
        <f t="shared" si="6"/>
        <v>237.00774875122192</v>
      </c>
    </row>
    <row r="12" spans="1:21" x14ac:dyDescent="0.25">
      <c r="C12" s="6" t="s">
        <v>8</v>
      </c>
      <c r="D12" s="7">
        <v>6</v>
      </c>
      <c r="E12" s="32" t="s">
        <v>44</v>
      </c>
      <c r="F12" s="5" t="s">
        <v>10</v>
      </c>
      <c r="G12" s="2">
        <v>1.7847451638869562E-3</v>
      </c>
      <c r="H12" s="21">
        <v>6.7876232441217558E-4</v>
      </c>
      <c r="I12" s="3">
        <f t="shared" si="0"/>
        <v>14.36937595838994</v>
      </c>
      <c r="J12" s="2">
        <v>2.54143918955369E-3</v>
      </c>
      <c r="K12" s="21">
        <v>9.2850354172416499E-4</v>
      </c>
      <c r="L12" s="3">
        <f t="shared" si="1"/>
        <v>336.65062202836179</v>
      </c>
      <c r="M12" s="2">
        <v>4.2107023567715101E-3</v>
      </c>
      <c r="N12" s="21">
        <v>1.36746514060967E-3</v>
      </c>
      <c r="O12" s="3">
        <f t="shared" si="2"/>
        <v>637.3819798046369</v>
      </c>
      <c r="P12" s="2">
        <v>8.2417764426459001E-3</v>
      </c>
      <c r="Q12" s="21">
        <v>6.6254864963672701E-3</v>
      </c>
      <c r="R12" s="3">
        <f t="shared" si="3"/>
        <v>1340.0643055109761</v>
      </c>
      <c r="S12" s="34">
        <f t="shared" si="4"/>
        <v>175.50999899337586</v>
      </c>
      <c r="T12" s="34">
        <f t="shared" si="5"/>
        <v>487.01630091649935</v>
      </c>
      <c r="U12" s="34">
        <f t="shared" si="6"/>
        <v>1574.2917474130891</v>
      </c>
    </row>
    <row r="13" spans="1:21" x14ac:dyDescent="0.25">
      <c r="C13" s="6" t="s">
        <v>8</v>
      </c>
      <c r="D13" s="7">
        <v>7</v>
      </c>
      <c r="E13" s="32" t="s">
        <v>44</v>
      </c>
      <c r="F13" s="5" t="s">
        <v>11</v>
      </c>
      <c r="G13" s="2">
        <v>3.5804173389813849E-3</v>
      </c>
      <c r="H13" s="21">
        <v>9.8935402311554161E-4</v>
      </c>
      <c r="I13" s="3">
        <f t="shared" si="0"/>
        <v>28.826727687953706</v>
      </c>
      <c r="J13" s="2">
        <v>1.0214883627737601E-2</v>
      </c>
      <c r="K13" s="21">
        <v>3.2106696155867801E-3</v>
      </c>
      <c r="L13" s="3">
        <f t="shared" si="1"/>
        <v>1353.110057230643</v>
      </c>
      <c r="M13" s="2">
        <v>1.03827955334362E-2</v>
      </c>
      <c r="N13" s="21">
        <v>1.67174643191846E-3</v>
      </c>
      <c r="O13" s="3">
        <f t="shared" si="2"/>
        <v>1571.6633977620793</v>
      </c>
      <c r="P13" s="2">
        <v>1.10484015786861E-2</v>
      </c>
      <c r="Q13" s="21">
        <v>1.72084122874099E-3</v>
      </c>
      <c r="R13" s="3">
        <f t="shared" si="3"/>
        <v>1796.4050216090614</v>
      </c>
      <c r="S13" s="34">
        <f t="shared" si="4"/>
        <v>690.96839245929834</v>
      </c>
      <c r="T13" s="34">
        <f t="shared" si="5"/>
        <v>1462.3867274963611</v>
      </c>
      <c r="U13" s="34">
        <f t="shared" si="6"/>
        <v>1871.318896224722</v>
      </c>
    </row>
    <row r="14" spans="1:21" x14ac:dyDescent="0.25">
      <c r="C14" s="6" t="s">
        <v>12</v>
      </c>
      <c r="D14" s="7">
        <v>8</v>
      </c>
      <c r="E14" s="29" t="s">
        <v>39</v>
      </c>
      <c r="F14" s="5" t="s">
        <v>13</v>
      </c>
      <c r="G14" s="2">
        <v>0.97224903387009265</v>
      </c>
      <c r="H14" s="21">
        <v>6.3149905219817837E-3</v>
      </c>
      <c r="I14" s="3">
        <f t="shared" si="0"/>
        <v>7827.7908664755678</v>
      </c>
      <c r="J14" s="2">
        <v>0.88352212242767203</v>
      </c>
      <c r="K14" s="21">
        <v>1.63741071783539E-2</v>
      </c>
      <c r="L14" s="3">
        <f>J14*L$24</f>
        <v>117035.36850839554</v>
      </c>
      <c r="M14" s="2">
        <v>0.90031964703808498</v>
      </c>
      <c r="N14" s="21">
        <v>1.1924692335097201E-2</v>
      </c>
      <c r="O14" s="3">
        <f>M14*O$24</f>
        <v>136283.08782341363</v>
      </c>
      <c r="P14" s="2">
        <v>0.88196494549611504</v>
      </c>
      <c r="Q14" s="21">
        <v>1.78627365768614E-2</v>
      </c>
      <c r="R14" s="3">
        <f t="shared" si="3"/>
        <v>143402.30536413932</v>
      </c>
      <c r="S14" s="34">
        <f t="shared" si="4"/>
        <v>62431.579687435551</v>
      </c>
      <c r="T14" s="34">
        <f t="shared" si="5"/>
        <v>126659.22816590458</v>
      </c>
      <c r="U14" s="34">
        <f t="shared" si="6"/>
        <v>145775.37787771455</v>
      </c>
    </row>
    <row r="15" spans="1:21" x14ac:dyDescent="0.25">
      <c r="C15" s="6" t="s">
        <v>12</v>
      </c>
      <c r="D15" s="7">
        <v>9</v>
      </c>
      <c r="E15" s="29" t="s">
        <v>31</v>
      </c>
      <c r="F15" s="5" t="s">
        <v>14</v>
      </c>
      <c r="G15" s="2">
        <v>9.4700763798083413E-5</v>
      </c>
      <c r="H15" s="21">
        <v>1.180931206651604E-4</v>
      </c>
      <c r="I15" s="3">
        <f t="shared" si="0"/>
        <v>0.76245668350640516</v>
      </c>
      <c r="J15" s="2">
        <v>5.3030721071903005E-4</v>
      </c>
      <c r="K15" s="21">
        <v>2.2427661051740701E-4</v>
      </c>
      <c r="L15" s="3">
        <f t="shared" si="1"/>
        <v>70.246910919021005</v>
      </c>
      <c r="M15" s="2">
        <v>1.6469946604101E-3</v>
      </c>
      <c r="N15" s="21">
        <v>2.0179698582677799E-3</v>
      </c>
      <c r="O15" s="3">
        <f t="shared" si="2"/>
        <v>249.30869684760756</v>
      </c>
      <c r="P15" s="2">
        <v>9.5940757293915804E-4</v>
      </c>
      <c r="Q15" s="21">
        <v>1.73103343094463E-4</v>
      </c>
      <c r="R15" s="3">
        <f t="shared" si="3"/>
        <v>155.99402044930247</v>
      </c>
      <c r="S15" s="34">
        <f t="shared" si="4"/>
        <v>35.504683801263702</v>
      </c>
      <c r="T15" s="34">
        <f t="shared" si="5"/>
        <v>159.77780388331428</v>
      </c>
      <c r="U15" s="34">
        <f t="shared" si="6"/>
        <v>124.8891283165341</v>
      </c>
    </row>
    <row r="16" spans="1:21" x14ac:dyDescent="0.25">
      <c r="C16" s="6" t="s">
        <v>12</v>
      </c>
      <c r="D16" s="7">
        <v>10</v>
      </c>
      <c r="E16" s="32" t="s">
        <v>44</v>
      </c>
      <c r="F16" s="5" t="s">
        <v>15</v>
      </c>
      <c r="G16" s="2">
        <v>2.6297673639313931E-3</v>
      </c>
      <c r="H16" s="21">
        <v>3.8571381109056349E-3</v>
      </c>
      <c r="I16" s="3">
        <f t="shared" si="0"/>
        <v>21.17283559583171</v>
      </c>
      <c r="J16" s="2">
        <v>5.9232990348143597E-3</v>
      </c>
      <c r="K16" s="21">
        <v>5.8090791892795399E-3</v>
      </c>
      <c r="L16" s="3">
        <f t="shared" si="1"/>
        <v>784.62719577423218</v>
      </c>
      <c r="M16" s="2">
        <v>1.21566518150109E-4</v>
      </c>
      <c r="N16" s="21">
        <v>8.99051305994444E-5</v>
      </c>
      <c r="O16" s="3">
        <f t="shared" si="2"/>
        <v>18.401753781495653</v>
      </c>
      <c r="P16" s="2">
        <v>7.28057888244846E-3</v>
      </c>
      <c r="Q16" s="21">
        <v>8.9542191898216005E-3</v>
      </c>
      <c r="R16" s="3">
        <f t="shared" si="3"/>
        <v>1183.7792436765019</v>
      </c>
      <c r="S16" s="34">
        <f t="shared" si="4"/>
        <v>402.90001568503192</v>
      </c>
      <c r="T16" s="34">
        <f t="shared" si="5"/>
        <v>401.51447477786394</v>
      </c>
      <c r="U16" s="34">
        <f t="shared" si="6"/>
        <v>1572.2384069748373</v>
      </c>
    </row>
    <row r="17" spans="3:21" x14ac:dyDescent="0.25">
      <c r="C17" s="6" t="s">
        <v>16</v>
      </c>
      <c r="D17" s="7">
        <v>11</v>
      </c>
      <c r="E17" s="7"/>
      <c r="F17" s="5" t="s">
        <v>17</v>
      </c>
      <c r="G17" s="2">
        <v>1.8940152759616685E-4</v>
      </c>
      <c r="H17" s="21">
        <v>2.4053799693758262E-4</v>
      </c>
      <c r="I17" s="3">
        <f t="shared" si="0"/>
        <v>1.5249133670128105</v>
      </c>
      <c r="J17" s="2">
        <v>2.49406683221539E-3</v>
      </c>
      <c r="K17" s="21">
        <v>1.8930897759106399E-3</v>
      </c>
      <c r="L17" s="3">
        <f t="shared" si="1"/>
        <v>330.37546359433719</v>
      </c>
      <c r="M17" s="2">
        <v>5.1861026774048299E-3</v>
      </c>
      <c r="N17" s="21">
        <v>4.1236001439195896E-3</v>
      </c>
      <c r="O17" s="3">
        <f t="shared" si="2"/>
        <v>785.03017119663627</v>
      </c>
      <c r="P17" s="2">
        <v>4.8462612009939803E-3</v>
      </c>
      <c r="Q17" s="21">
        <v>2.8010470910689099E-3</v>
      </c>
      <c r="R17" s="3">
        <f t="shared" si="3"/>
        <v>787.97352680314725</v>
      </c>
      <c r="S17" s="34">
        <f t="shared" si="4"/>
        <v>165.950188480675</v>
      </c>
      <c r="T17" s="34">
        <f t="shared" si="5"/>
        <v>557.7028173954867</v>
      </c>
      <c r="U17" s="34">
        <f t="shared" si="6"/>
        <v>788.95464533865095</v>
      </c>
    </row>
    <row r="18" spans="3:21" x14ac:dyDescent="0.25">
      <c r="C18" s="6" t="s">
        <v>16</v>
      </c>
      <c r="D18" s="7">
        <v>12</v>
      </c>
      <c r="E18" s="7"/>
      <c r="F18" s="5" t="s">
        <v>18</v>
      </c>
      <c r="G18" s="2">
        <v>3.2781033622413479E-4</v>
      </c>
      <c r="H18" s="21">
        <v>1.2459421076999481E-4</v>
      </c>
      <c r="I18" s="3">
        <f t="shared" si="0"/>
        <v>2.6392731352144785</v>
      </c>
      <c r="J18" s="2">
        <v>3.0748168297273801E-4</v>
      </c>
      <c r="K18" s="21">
        <v>2.0795719178959499E-4</v>
      </c>
      <c r="L18" s="3">
        <f t="shared" si="1"/>
        <v>40.730425603171007</v>
      </c>
      <c r="M18" s="2">
        <v>1.97462856133639E-4</v>
      </c>
      <c r="N18" s="21">
        <v>8.4569879241749106E-5</v>
      </c>
      <c r="O18" s="3">
        <f t="shared" si="2"/>
        <v>29.890326011273242</v>
      </c>
      <c r="P18" s="2">
        <v>1.02921521350749E-4</v>
      </c>
      <c r="Q18" s="21">
        <v>4.8950863161914398E-5</v>
      </c>
      <c r="R18" s="3">
        <f t="shared" si="3"/>
        <v>16.734433163871032</v>
      </c>
      <c r="S18" s="34">
        <f t="shared" si="4"/>
        <v>21.684849369192744</v>
      </c>
      <c r="T18" s="34">
        <f t="shared" si="5"/>
        <v>35.310375807222123</v>
      </c>
      <c r="U18" s="34">
        <f t="shared" si="6"/>
        <v>12.349135548070294</v>
      </c>
    </row>
    <row r="19" spans="3:21" x14ac:dyDescent="0.25">
      <c r="C19" s="6" t="s">
        <v>16</v>
      </c>
      <c r="D19" s="7">
        <v>13</v>
      </c>
      <c r="E19" s="7"/>
      <c r="F19" s="5" t="s">
        <v>19</v>
      </c>
      <c r="G19" s="2">
        <v>1.2383946035133986E-4</v>
      </c>
      <c r="H19" s="21">
        <v>4.6420768399667035E-5</v>
      </c>
      <c r="I19" s="3">
        <f t="shared" si="0"/>
        <v>0.99705873996991456</v>
      </c>
      <c r="J19" s="2">
        <v>2.21509628960389E-4</v>
      </c>
      <c r="K19" s="21">
        <v>1.6246129217432599E-4</v>
      </c>
      <c r="L19" s="3">
        <f t="shared" si="1"/>
        <v>29.342175363197374</v>
      </c>
      <c r="M19" s="2">
        <v>1.9878662947084801E-4</v>
      </c>
      <c r="N19" s="21">
        <v>6.6287826288839906E-5</v>
      </c>
      <c r="O19" s="3">
        <f t="shared" si="2"/>
        <v>30.090708085091872</v>
      </c>
      <c r="P19" s="2">
        <v>1.5035491814718201E-4</v>
      </c>
      <c r="Q19" s="21">
        <v>6.8933618689947905E-5</v>
      </c>
      <c r="R19" s="3">
        <f t="shared" si="3"/>
        <v>24.446824100263907</v>
      </c>
      <c r="S19" s="34">
        <f t="shared" si="4"/>
        <v>15.169617051583645</v>
      </c>
      <c r="T19" s="34">
        <f t="shared" si="5"/>
        <v>29.716441724144623</v>
      </c>
      <c r="U19" s="34">
        <f t="shared" si="6"/>
        <v>22.565529438654586</v>
      </c>
    </row>
    <row r="20" spans="3:21" x14ac:dyDescent="0.25">
      <c r="C20" s="6" t="s">
        <v>16</v>
      </c>
      <c r="D20" s="7">
        <v>14</v>
      </c>
      <c r="E20" s="7"/>
      <c r="F20" s="5" t="s">
        <v>20</v>
      </c>
      <c r="G20" s="2">
        <v>3.2781033622413491E-5</v>
      </c>
      <c r="H20" s="21">
        <v>2.7868153865732975E-5</v>
      </c>
      <c r="I20" s="3">
        <f t="shared" si="0"/>
        <v>0.26392731352144794</v>
      </c>
      <c r="J20" s="2">
        <v>3.9652416748552798E-4</v>
      </c>
      <c r="K20" s="21">
        <v>2.2398841843628499E-4</v>
      </c>
      <c r="L20" s="3">
        <f t="shared" si="1"/>
        <v>52.525399066000837</v>
      </c>
      <c r="M20" s="2">
        <v>6.2658604644319103E-4</v>
      </c>
      <c r="N20" s="21">
        <v>2.539986599903E-4</v>
      </c>
      <c r="O20" s="3">
        <f t="shared" si="2"/>
        <v>94.847514965682706</v>
      </c>
      <c r="P20" s="2">
        <v>8.3858665647753498E-4</v>
      </c>
      <c r="Q20" s="21">
        <v>2.4562744320244799E-4</v>
      </c>
      <c r="R20" s="3">
        <f t="shared" si="3"/>
        <v>136.34925106784053</v>
      </c>
      <c r="S20" s="34">
        <f t="shared" si="4"/>
        <v>26.394663189761143</v>
      </c>
      <c r="T20" s="34">
        <f t="shared" si="5"/>
        <v>73.686457015841768</v>
      </c>
      <c r="U20" s="34">
        <f t="shared" si="6"/>
        <v>150.18316310189314</v>
      </c>
    </row>
    <row r="21" spans="3:21" x14ac:dyDescent="0.25">
      <c r="C21" s="6" t="s">
        <v>16</v>
      </c>
      <c r="D21" s="7">
        <v>15</v>
      </c>
      <c r="E21" s="7"/>
      <c r="F21" s="5" t="s">
        <v>21</v>
      </c>
      <c r="G21" s="2">
        <v>1.7592488044028572E-3</v>
      </c>
      <c r="H21" s="21">
        <v>6.9516430054981861E-4</v>
      </c>
      <c r="I21" s="3">
        <f t="shared" si="0"/>
        <v>14.164099158984373</v>
      </c>
      <c r="J21" s="2">
        <v>1.5088972739272699E-3</v>
      </c>
      <c r="K21" s="21">
        <v>4.8486834349847902E-4</v>
      </c>
      <c r="L21" s="3">
        <f t="shared" si="1"/>
        <v>199.87541229885622</v>
      </c>
      <c r="M21" s="2">
        <v>3.2425827848079698E-3</v>
      </c>
      <c r="N21" s="21">
        <v>1.0463645181034301E-3</v>
      </c>
      <c r="O21" s="3">
        <f t="shared" si="2"/>
        <v>490.83588910948231</v>
      </c>
      <c r="P21" s="2">
        <v>2.8567434315270399E-3</v>
      </c>
      <c r="Q21" s="21">
        <v>8.7779221310025799E-4</v>
      </c>
      <c r="R21" s="3">
        <f t="shared" si="3"/>
        <v>464.48965574748496</v>
      </c>
      <c r="S21" s="34">
        <f t="shared" si="4"/>
        <v>107.0197557289203</v>
      </c>
      <c r="T21" s="34">
        <f t="shared" si="5"/>
        <v>345.35565070416925</v>
      </c>
      <c r="U21" s="34">
        <f t="shared" si="6"/>
        <v>455.70757796015249</v>
      </c>
    </row>
    <row r="22" spans="3:21" x14ac:dyDescent="0.25">
      <c r="C22" s="6" t="s">
        <v>16</v>
      </c>
      <c r="D22" s="7">
        <v>16</v>
      </c>
      <c r="E22" s="7"/>
      <c r="F22" s="5" t="s">
        <v>22</v>
      </c>
      <c r="G22" s="2">
        <v>1.4569348276628221E-4</v>
      </c>
      <c r="H22" s="21">
        <v>5.7885772432741561E-5</v>
      </c>
      <c r="I22" s="3">
        <f t="shared" si="0"/>
        <v>1.1730102823175468</v>
      </c>
      <c r="J22" s="2">
        <v>1.2808081516125499E-4</v>
      </c>
      <c r="K22" s="21">
        <v>7.1597933201325296E-5</v>
      </c>
      <c r="L22" s="3">
        <f t="shared" si="1"/>
        <v>16.966168724858726</v>
      </c>
      <c r="M22" s="2">
        <v>2.2415895176734901E-4</v>
      </c>
      <c r="N22" s="21">
        <v>1.05522518865772E-4</v>
      </c>
      <c r="O22" s="3">
        <f t="shared" si="2"/>
        <v>33.931364499948195</v>
      </c>
      <c r="P22" s="2">
        <v>5.2373629822601898E-4</v>
      </c>
      <c r="Q22" s="21">
        <v>1.74200766331454E-4</v>
      </c>
      <c r="R22" s="3">
        <f t="shared" si="3"/>
        <v>85.156437284754134</v>
      </c>
      <c r="S22" s="34">
        <f t="shared" si="4"/>
        <v>9.0695895035881371</v>
      </c>
      <c r="T22" s="34">
        <f t="shared" si="5"/>
        <v>25.44876661240346</v>
      </c>
      <c r="U22" s="34">
        <f t="shared" si="6"/>
        <v>102.23146154635612</v>
      </c>
    </row>
    <row r="23" spans="3:21" ht="15.75" thickBot="1" x14ac:dyDescent="0.3">
      <c r="C23" s="9" t="s">
        <v>16</v>
      </c>
      <c r="D23" s="10">
        <v>17</v>
      </c>
      <c r="E23" s="10"/>
      <c r="F23" s="11" t="s">
        <v>23</v>
      </c>
      <c r="G23" s="2">
        <v>7.8091706762727269E-3</v>
      </c>
      <c r="H23" s="21">
        <v>3.2592592726015572E-3</v>
      </c>
      <c r="I23" s="3">
        <f t="shared" si="0"/>
        <v>62.873351132220506</v>
      </c>
      <c r="J23" s="2">
        <v>3.2392822472561401E-2</v>
      </c>
      <c r="K23" s="21">
        <v>8.6327240821711497E-3</v>
      </c>
      <c r="L23" s="3">
        <f t="shared" si="1"/>
        <v>4290.9009507157098</v>
      </c>
      <c r="M23" s="2">
        <v>1.1015779834048301E-2</v>
      </c>
      <c r="N23" s="21">
        <v>4.0365597931848003E-3</v>
      </c>
      <c r="O23" s="3">
        <f t="shared" si="2"/>
        <v>1667.479428562873</v>
      </c>
      <c r="P23" s="2">
        <v>1.4571360541988701E-2</v>
      </c>
      <c r="Q23" s="21">
        <v>1.1255480162066E-2</v>
      </c>
      <c r="R23" s="3">
        <f t="shared" si="3"/>
        <v>2369.2173988137702</v>
      </c>
      <c r="S23" s="34">
        <f t="shared" si="4"/>
        <v>2176.8871509239652</v>
      </c>
      <c r="T23" s="34">
        <f t="shared" si="5"/>
        <v>2979.1901896392915</v>
      </c>
      <c r="U23" s="34">
        <f t="shared" si="6"/>
        <v>2603.1300555640692</v>
      </c>
    </row>
    <row r="24" spans="3:21" ht="16.5" thickTop="1" thickBot="1" x14ac:dyDescent="0.3">
      <c r="C24" s="8"/>
      <c r="D24" s="4"/>
      <c r="E24" s="4"/>
      <c r="F24" s="20" t="s">
        <v>29</v>
      </c>
      <c r="G24" s="12">
        <f>SUM(G7:G23)</f>
        <v>1</v>
      </c>
      <c r="H24" s="22"/>
      <c r="I24" s="13">
        <v>8051.22</v>
      </c>
      <c r="J24" s="12">
        <f>SUM(J7:J23)</f>
        <v>1.0000000000000007</v>
      </c>
      <c r="K24" s="22"/>
      <c r="L24" s="13">
        <v>132464.55921988125</v>
      </c>
      <c r="M24" s="12">
        <f>SUM(M7:M23)</f>
        <v>0.999999999999999</v>
      </c>
      <c r="N24" s="22"/>
      <c r="O24" s="13">
        <v>151371.89138520337</v>
      </c>
      <c r="P24" s="12">
        <f>SUM(P7:P23)</f>
        <v>1.0000000000000004</v>
      </c>
      <c r="Q24" s="22"/>
      <c r="R24" s="13">
        <v>162594.10999999999</v>
      </c>
    </row>
    <row r="25" spans="3:21" x14ac:dyDescent="0.25">
      <c r="J25" s="1"/>
    </row>
    <row r="27" spans="3:21" x14ac:dyDescent="0.25">
      <c r="P27">
        <v>2012</v>
      </c>
      <c r="Q27">
        <v>2013</v>
      </c>
      <c r="R27">
        <v>2014</v>
      </c>
      <c r="S27">
        <v>2015</v>
      </c>
    </row>
    <row r="28" spans="3:21" x14ac:dyDescent="0.25">
      <c r="E28" s="29" t="s">
        <v>31</v>
      </c>
      <c r="P28">
        <f>O7+(R7-O7)/(2014-2011)</f>
        <v>6124.0793161440915</v>
      </c>
      <c r="Q28">
        <f>P28+$P$30</f>
        <v>6458.2855925052436</v>
      </c>
      <c r="R28">
        <f t="shared" ref="R28:S28" si="7">Q28+$P$30</f>
        <v>6792.4918688663956</v>
      </c>
      <c r="S28">
        <f t="shared" si="7"/>
        <v>7126.6981452275477</v>
      </c>
    </row>
    <row r="29" spans="3:21" x14ac:dyDescent="0.25">
      <c r="E29" s="29" t="s">
        <v>32</v>
      </c>
    </row>
    <row r="30" spans="3:21" x14ac:dyDescent="0.25">
      <c r="E30" s="29" t="s">
        <v>33</v>
      </c>
      <c r="O30" t="s">
        <v>52</v>
      </c>
      <c r="P30">
        <f>(R7-O7)/(2014-2011)</f>
        <v>334.20627636115205</v>
      </c>
    </row>
    <row r="31" spans="3:21" x14ac:dyDescent="0.25">
      <c r="E31" s="29" t="s">
        <v>34</v>
      </c>
    </row>
    <row r="32" spans="3:21" x14ac:dyDescent="0.25">
      <c r="E32" s="29" t="s">
        <v>35</v>
      </c>
    </row>
    <row r="33" spans="5:5" x14ac:dyDescent="0.25">
      <c r="E33" s="29" t="s">
        <v>36</v>
      </c>
    </row>
    <row r="34" spans="5:5" x14ac:dyDescent="0.25">
      <c r="E34" s="29" t="s">
        <v>37</v>
      </c>
    </row>
    <row r="35" spans="5:5" x14ac:dyDescent="0.25">
      <c r="E35" s="29" t="s">
        <v>27</v>
      </c>
    </row>
    <row r="36" spans="5:5" x14ac:dyDescent="0.25">
      <c r="E36" s="29" t="s">
        <v>38</v>
      </c>
    </row>
    <row r="37" spans="5:5" x14ac:dyDescent="0.25">
      <c r="E37" s="29" t="s">
        <v>39</v>
      </c>
    </row>
    <row r="38" spans="5:5" x14ac:dyDescent="0.25">
      <c r="E38" s="30" t="s">
        <v>40</v>
      </c>
    </row>
    <row r="39" spans="5:5" x14ac:dyDescent="0.25">
      <c r="E39" s="30" t="s">
        <v>41</v>
      </c>
    </row>
    <row r="40" spans="5:5" x14ac:dyDescent="0.25">
      <c r="E40" s="30" t="s">
        <v>42</v>
      </c>
    </row>
    <row r="41" spans="5:5" x14ac:dyDescent="0.25">
      <c r="E41" s="31" t="s">
        <v>43</v>
      </c>
    </row>
    <row r="42" spans="5:5" x14ac:dyDescent="0.25">
      <c r="E42" s="32" t="s">
        <v>44</v>
      </c>
    </row>
  </sheetData>
  <mergeCells count="8">
    <mergeCell ref="P5:R5"/>
    <mergeCell ref="P4:R4"/>
    <mergeCell ref="G5:I5"/>
    <mergeCell ref="G4:I4"/>
    <mergeCell ref="J5:L5"/>
    <mergeCell ref="J4:L4"/>
    <mergeCell ref="M5:O5"/>
    <mergeCell ref="M4:O4"/>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5"/>
  <sheetViews>
    <sheetView tabSelected="1" topLeftCell="A16" zoomScale="60" zoomScaleNormal="60" workbookViewId="0">
      <selection activeCell="D67" sqref="D67"/>
    </sheetView>
  </sheetViews>
  <sheetFormatPr defaultRowHeight="15" x14ac:dyDescent="0.25"/>
  <cols>
    <col min="3" max="3" width="22.7109375" bestFit="1" customWidth="1"/>
    <col min="4" max="4" width="26.140625" bestFit="1" customWidth="1"/>
    <col min="5" max="5" width="17.5703125" bestFit="1" customWidth="1"/>
    <col min="6" max="6" width="18.42578125" bestFit="1" customWidth="1"/>
    <col min="7" max="7" width="13.5703125" bestFit="1" customWidth="1"/>
  </cols>
  <sheetData>
    <row r="1" spans="1:7" x14ac:dyDescent="0.25">
      <c r="A1" s="37" t="s">
        <v>56</v>
      </c>
    </row>
    <row r="2" spans="1:7" x14ac:dyDescent="0.25">
      <c r="A2" s="37"/>
      <c r="B2" s="41" t="s">
        <v>28</v>
      </c>
      <c r="D2" t="s">
        <v>99</v>
      </c>
    </row>
    <row r="3" spans="1:7" x14ac:dyDescent="0.25">
      <c r="D3" s="36" t="s">
        <v>53</v>
      </c>
      <c r="E3" s="36" t="s">
        <v>54</v>
      </c>
      <c r="F3" s="36" t="s">
        <v>55</v>
      </c>
    </row>
    <row r="4" spans="1:7" x14ac:dyDescent="0.25">
      <c r="C4" s="35" t="s">
        <v>43</v>
      </c>
      <c r="D4" s="34"/>
      <c r="E4" s="34"/>
      <c r="F4" s="34">
        <f>SUM('Pierce Composting'!E41:E42)</f>
        <v>1732.4640403838916</v>
      </c>
      <c r="G4" s="34"/>
    </row>
    <row r="5" spans="1:7" x14ac:dyDescent="0.25">
      <c r="C5" s="35" t="s">
        <v>33</v>
      </c>
      <c r="D5" s="34"/>
      <c r="E5" s="34"/>
      <c r="F5" s="34"/>
    </row>
    <row r="6" spans="1:7" x14ac:dyDescent="0.25">
      <c r="C6" s="35" t="s">
        <v>32</v>
      </c>
      <c r="D6" s="34"/>
      <c r="E6" s="34"/>
      <c r="F6" s="34"/>
    </row>
    <row r="7" spans="1:7" x14ac:dyDescent="0.25">
      <c r="C7" s="35" t="s">
        <v>44</v>
      </c>
      <c r="D7" s="34"/>
      <c r="E7" s="34"/>
      <c r="F7" s="34">
        <f>SUM('Pierce Composting'!E47:E52)</f>
        <v>78.186454385770958</v>
      </c>
    </row>
    <row r="8" spans="1:7" x14ac:dyDescent="0.25">
      <c r="C8" s="35" t="s">
        <v>31</v>
      </c>
      <c r="D8" s="34"/>
      <c r="E8" s="34"/>
      <c r="F8" s="34"/>
    </row>
    <row r="9" spans="1:7" x14ac:dyDescent="0.25">
      <c r="C9" s="35" t="s">
        <v>39</v>
      </c>
      <c r="D9" s="34"/>
      <c r="E9" s="34"/>
      <c r="F9" s="34">
        <f>SUM('Pierce Composting'!E43:E44)</f>
        <v>34369.558157952066</v>
      </c>
    </row>
    <row r="10" spans="1:7" x14ac:dyDescent="0.25">
      <c r="C10" s="35"/>
      <c r="D10" s="34"/>
      <c r="E10" s="34"/>
      <c r="F10" s="34"/>
    </row>
    <row r="13" spans="1:7" x14ac:dyDescent="0.25">
      <c r="B13" s="40" t="s">
        <v>61</v>
      </c>
    </row>
    <row r="14" spans="1:7" x14ac:dyDescent="0.25">
      <c r="C14" s="35" t="s">
        <v>57</v>
      </c>
      <c r="D14" t="s">
        <v>58</v>
      </c>
      <c r="E14" t="s">
        <v>59</v>
      </c>
      <c r="F14" t="s">
        <v>60</v>
      </c>
      <c r="G14" t="s">
        <v>62</v>
      </c>
    </row>
    <row r="15" spans="1:7" x14ac:dyDescent="0.25">
      <c r="C15" s="35" t="s">
        <v>43</v>
      </c>
      <c r="D15">
        <v>0.02</v>
      </c>
      <c r="E15">
        <v>0.05</v>
      </c>
      <c r="F15">
        <v>-0.24</v>
      </c>
      <c r="G15">
        <f>SUM(D15:F15)</f>
        <v>-0.16999999999999998</v>
      </c>
    </row>
    <row r="16" spans="1:7" x14ac:dyDescent="0.25">
      <c r="C16" s="35" t="s">
        <v>33</v>
      </c>
      <c r="D16">
        <v>0.02</v>
      </c>
      <c r="E16">
        <v>0.05</v>
      </c>
      <c r="F16">
        <v>-0.24</v>
      </c>
      <c r="G16">
        <f t="shared" ref="G16:G20" si="0">SUM(D16:F16)</f>
        <v>-0.16999999999999998</v>
      </c>
    </row>
    <row r="17" spans="1:17" x14ac:dyDescent="0.25">
      <c r="C17" s="35" t="s">
        <v>32</v>
      </c>
      <c r="D17">
        <v>0.02</v>
      </c>
      <c r="E17">
        <v>0.05</v>
      </c>
      <c r="F17">
        <v>-0.24</v>
      </c>
      <c r="G17">
        <f t="shared" si="0"/>
        <v>-0.16999999999999998</v>
      </c>
    </row>
    <row r="18" spans="1:17" x14ac:dyDescent="0.25">
      <c r="C18" s="35" t="s">
        <v>44</v>
      </c>
      <c r="D18">
        <v>0.02</v>
      </c>
      <c r="E18">
        <v>7.0000000000000007E-2</v>
      </c>
      <c r="F18">
        <v>-0.24</v>
      </c>
      <c r="G18">
        <f t="shared" si="0"/>
        <v>-0.14999999999999997</v>
      </c>
    </row>
    <row r="19" spans="1:17" x14ac:dyDescent="0.25">
      <c r="C19" s="35" t="s">
        <v>31</v>
      </c>
      <c r="D19">
        <v>0.02</v>
      </c>
      <c r="E19">
        <v>7.0000000000000007E-2</v>
      </c>
      <c r="F19">
        <v>-0.24</v>
      </c>
      <c r="G19">
        <f t="shared" si="0"/>
        <v>-0.14999999999999997</v>
      </c>
    </row>
    <row r="20" spans="1:17" x14ac:dyDescent="0.25">
      <c r="C20" s="35" t="s">
        <v>39</v>
      </c>
      <c r="D20">
        <v>0.02</v>
      </c>
      <c r="E20">
        <v>7.0000000000000007E-2</v>
      </c>
      <c r="F20">
        <v>-0.24</v>
      </c>
      <c r="G20">
        <f t="shared" si="0"/>
        <v>-0.14999999999999997</v>
      </c>
    </row>
    <row r="21" spans="1:17" x14ac:dyDescent="0.25">
      <c r="C21" s="35"/>
    </row>
    <row r="22" spans="1:17" x14ac:dyDescent="0.25">
      <c r="B22" s="41"/>
    </row>
    <row r="23" spans="1:17" x14ac:dyDescent="0.25">
      <c r="A23" t="s">
        <v>55</v>
      </c>
      <c r="B23" s="41" t="s">
        <v>63</v>
      </c>
      <c r="H23" s="42"/>
      <c r="I23" s="42"/>
      <c r="J23" s="42"/>
      <c r="K23" s="42"/>
      <c r="L23" s="42"/>
      <c r="M23" s="42"/>
      <c r="N23" s="42"/>
      <c r="O23" s="42"/>
      <c r="P23" s="42"/>
      <c r="Q23" s="42"/>
    </row>
    <row r="24" spans="1:17" x14ac:dyDescent="0.25">
      <c r="D24" s="41" t="s">
        <v>58</v>
      </c>
      <c r="E24" s="41" t="s">
        <v>59</v>
      </c>
      <c r="F24" s="41" t="s">
        <v>60</v>
      </c>
      <c r="G24" s="41" t="s">
        <v>62</v>
      </c>
      <c r="H24" s="42"/>
      <c r="I24" s="42"/>
      <c r="J24" s="43" t="s">
        <v>58</v>
      </c>
      <c r="K24" s="43" t="s">
        <v>59</v>
      </c>
      <c r="L24" s="43" t="s">
        <v>60</v>
      </c>
      <c r="M24" s="43" t="s">
        <v>62</v>
      </c>
      <c r="N24" s="42"/>
      <c r="O24" s="42"/>
      <c r="P24" s="42"/>
      <c r="Q24" s="42"/>
    </row>
    <row r="25" spans="1:17" x14ac:dyDescent="0.25">
      <c r="C25" s="40" t="s">
        <v>43</v>
      </c>
      <c r="D25" s="38">
        <f>F4*D15</f>
        <v>34.649280807677833</v>
      </c>
      <c r="E25" s="38">
        <f t="shared" ref="E25:E30" si="1">E15*F4</f>
        <v>86.623202019194594</v>
      </c>
      <c r="F25" s="38">
        <f t="shared" ref="F25:F30" si="2">F15*F4</f>
        <v>-415.79136969213397</v>
      </c>
      <c r="G25" s="39">
        <f>SUM(D25:F25)</f>
        <v>-294.51888686526155</v>
      </c>
      <c r="H25" s="42"/>
      <c r="I25" s="44" t="s">
        <v>43</v>
      </c>
      <c r="J25" s="45">
        <f t="shared" ref="J25:L30" si="3">INDEX($D$4:$F$9,MATCH($C25,$C$4:$C$9,0),MATCH($A$23,$D$3:$F$3,0))*INDEX($D$15:$G$20,MATCH($C25,$C$15:$C$20,0),MATCH(J$24,$D$14:$G$14,0))</f>
        <v>34.649280807677833</v>
      </c>
      <c r="K25" s="45">
        <f t="shared" si="3"/>
        <v>86.623202019194594</v>
      </c>
      <c r="L25" s="45">
        <f t="shared" si="3"/>
        <v>-415.79136969213397</v>
      </c>
      <c r="M25" s="46">
        <f t="shared" ref="M25:M30" si="4">SUM(J25:L25)</f>
        <v>-294.51888686526155</v>
      </c>
      <c r="N25" s="42" t="b">
        <f>J25=D25</f>
        <v>1</v>
      </c>
      <c r="O25" s="42" t="b">
        <f t="shared" ref="O25:O31" si="5">K25=E25</f>
        <v>1</v>
      </c>
      <c r="P25" s="42" t="b">
        <f t="shared" ref="P25:P31" si="6">L25=F25</f>
        <v>1</v>
      </c>
      <c r="Q25" s="42" t="b">
        <f t="shared" ref="Q25:Q31" si="7">M25=G25</f>
        <v>1</v>
      </c>
    </row>
    <row r="26" spans="1:17" x14ac:dyDescent="0.25">
      <c r="C26" s="40" t="s">
        <v>33</v>
      </c>
      <c r="D26" s="38">
        <f t="shared" ref="D25:D30" si="8">F5*D16</f>
        <v>0</v>
      </c>
      <c r="E26" s="38">
        <f t="shared" si="1"/>
        <v>0</v>
      </c>
      <c r="F26" s="38">
        <f t="shared" si="2"/>
        <v>0</v>
      </c>
      <c r="G26" s="39">
        <f t="shared" ref="G26:G30" si="9">SUM(D26:F26)</f>
        <v>0</v>
      </c>
      <c r="H26" s="42"/>
      <c r="I26" s="44" t="s">
        <v>33</v>
      </c>
      <c r="J26" s="45">
        <f t="shared" si="3"/>
        <v>0</v>
      </c>
      <c r="K26" s="45">
        <f t="shared" si="3"/>
        <v>0</v>
      </c>
      <c r="L26" s="45">
        <f t="shared" si="3"/>
        <v>0</v>
      </c>
      <c r="M26" s="46">
        <f t="shared" si="4"/>
        <v>0</v>
      </c>
      <c r="N26" s="42" t="b">
        <f t="shared" ref="N26:N31" si="10">J26=D26</f>
        <v>1</v>
      </c>
      <c r="O26" s="42" t="b">
        <f t="shared" si="5"/>
        <v>1</v>
      </c>
      <c r="P26" s="42" t="b">
        <f t="shared" si="6"/>
        <v>1</v>
      </c>
      <c r="Q26" s="42" t="b">
        <f t="shared" si="7"/>
        <v>1</v>
      </c>
    </row>
    <row r="27" spans="1:17" x14ac:dyDescent="0.25">
      <c r="C27" s="40" t="s">
        <v>32</v>
      </c>
      <c r="D27" s="38">
        <f t="shared" si="8"/>
        <v>0</v>
      </c>
      <c r="E27" s="38">
        <f t="shared" si="1"/>
        <v>0</v>
      </c>
      <c r="F27" s="38">
        <f t="shared" si="2"/>
        <v>0</v>
      </c>
      <c r="G27" s="39">
        <f t="shared" si="9"/>
        <v>0</v>
      </c>
      <c r="H27" s="42"/>
      <c r="I27" s="44" t="s">
        <v>32</v>
      </c>
      <c r="J27" s="45">
        <f t="shared" si="3"/>
        <v>0</v>
      </c>
      <c r="K27" s="45">
        <f t="shared" si="3"/>
        <v>0</v>
      </c>
      <c r="L27" s="45">
        <f t="shared" si="3"/>
        <v>0</v>
      </c>
      <c r="M27" s="46">
        <f t="shared" si="4"/>
        <v>0</v>
      </c>
      <c r="N27" s="42" t="b">
        <f t="shared" si="10"/>
        <v>1</v>
      </c>
      <c r="O27" s="42" t="b">
        <f t="shared" si="5"/>
        <v>1</v>
      </c>
      <c r="P27" s="42" t="b">
        <f t="shared" si="6"/>
        <v>1</v>
      </c>
      <c r="Q27" s="42" t="b">
        <f t="shared" si="7"/>
        <v>1</v>
      </c>
    </row>
    <row r="28" spans="1:17" x14ac:dyDescent="0.25">
      <c r="C28" s="40" t="s">
        <v>44</v>
      </c>
      <c r="D28" s="38">
        <f t="shared" si="8"/>
        <v>1.5637290877154193</v>
      </c>
      <c r="E28" s="38">
        <f t="shared" si="1"/>
        <v>5.4730518070039675</v>
      </c>
      <c r="F28" s="38">
        <f t="shared" si="2"/>
        <v>-18.764749052585028</v>
      </c>
      <c r="G28" s="39">
        <f t="shared" si="9"/>
        <v>-11.727968157865641</v>
      </c>
      <c r="H28" s="42"/>
      <c r="I28" s="44" t="s">
        <v>44</v>
      </c>
      <c r="J28" s="45">
        <f t="shared" si="3"/>
        <v>1.5637290877154193</v>
      </c>
      <c r="K28" s="45">
        <f t="shared" si="3"/>
        <v>5.4730518070039675</v>
      </c>
      <c r="L28" s="45">
        <f t="shared" si="3"/>
        <v>-18.764749052585028</v>
      </c>
      <c r="M28" s="46">
        <f t="shared" si="4"/>
        <v>-11.727968157865641</v>
      </c>
      <c r="N28" s="42" t="b">
        <f t="shared" si="10"/>
        <v>1</v>
      </c>
      <c r="O28" s="42" t="b">
        <f t="shared" si="5"/>
        <v>1</v>
      </c>
      <c r="P28" s="42" t="b">
        <f t="shared" si="6"/>
        <v>1</v>
      </c>
      <c r="Q28" s="42" t="b">
        <f t="shared" si="7"/>
        <v>1</v>
      </c>
    </row>
    <row r="29" spans="1:17" x14ac:dyDescent="0.25">
      <c r="C29" s="40" t="s">
        <v>31</v>
      </c>
      <c r="D29" s="38">
        <f t="shared" si="8"/>
        <v>0</v>
      </c>
      <c r="E29" s="38">
        <f t="shared" si="1"/>
        <v>0</v>
      </c>
      <c r="F29" s="38">
        <f t="shared" si="2"/>
        <v>0</v>
      </c>
      <c r="G29" s="39">
        <f t="shared" si="9"/>
        <v>0</v>
      </c>
      <c r="H29" s="42"/>
      <c r="I29" s="44" t="s">
        <v>31</v>
      </c>
      <c r="J29" s="45">
        <f t="shared" si="3"/>
        <v>0</v>
      </c>
      <c r="K29" s="45">
        <f t="shared" si="3"/>
        <v>0</v>
      </c>
      <c r="L29" s="45">
        <f t="shared" si="3"/>
        <v>0</v>
      </c>
      <c r="M29" s="46">
        <f t="shared" si="4"/>
        <v>0</v>
      </c>
      <c r="N29" s="42" t="b">
        <f t="shared" si="10"/>
        <v>1</v>
      </c>
      <c r="O29" s="42" t="b">
        <f t="shared" si="5"/>
        <v>1</v>
      </c>
      <c r="P29" s="42" t="b">
        <f t="shared" si="6"/>
        <v>1</v>
      </c>
      <c r="Q29" s="42" t="b">
        <f t="shared" si="7"/>
        <v>1</v>
      </c>
    </row>
    <row r="30" spans="1:17" x14ac:dyDescent="0.25">
      <c r="C30" s="40" t="s">
        <v>39</v>
      </c>
      <c r="D30" s="38">
        <f t="shared" si="8"/>
        <v>687.3911631590413</v>
      </c>
      <c r="E30" s="38">
        <f t="shared" si="1"/>
        <v>2405.8690710566448</v>
      </c>
      <c r="F30" s="38">
        <f t="shared" si="2"/>
        <v>-8248.6939579084956</v>
      </c>
      <c r="G30" s="39">
        <f t="shared" si="9"/>
        <v>-5155.4337236928095</v>
      </c>
      <c r="H30" s="42"/>
      <c r="I30" s="44" t="s">
        <v>39</v>
      </c>
      <c r="J30" s="45">
        <f t="shared" si="3"/>
        <v>687.3911631590413</v>
      </c>
      <c r="K30" s="45">
        <f t="shared" si="3"/>
        <v>2405.8690710566448</v>
      </c>
      <c r="L30" s="45">
        <f t="shared" si="3"/>
        <v>-8248.6939579084956</v>
      </c>
      <c r="M30" s="46">
        <f t="shared" si="4"/>
        <v>-5155.4337236928095</v>
      </c>
      <c r="N30" s="42" t="b">
        <f t="shared" si="10"/>
        <v>1</v>
      </c>
      <c r="O30" s="42" t="b">
        <f t="shared" si="5"/>
        <v>1</v>
      </c>
      <c r="P30" s="42" t="b">
        <f t="shared" si="6"/>
        <v>1</v>
      </c>
      <c r="Q30" s="42" t="b">
        <f t="shared" si="7"/>
        <v>1</v>
      </c>
    </row>
    <row r="31" spans="1:17" x14ac:dyDescent="0.25">
      <c r="C31" s="40" t="s">
        <v>29</v>
      </c>
      <c r="D31" s="39">
        <f>SUM(D25:D30)</f>
        <v>723.60417305443457</v>
      </c>
      <c r="E31" s="39">
        <f t="shared" ref="E31" si="11">SUM(E25:E30)</f>
        <v>2497.9653248828436</v>
      </c>
      <c r="F31" s="39">
        <f t="shared" ref="F31" si="12">SUM(F25:F30)</f>
        <v>-8683.2500766532139</v>
      </c>
      <c r="G31" s="39">
        <f t="shared" ref="G31" si="13">SUM(G25:G30)</f>
        <v>-5461.6805787159365</v>
      </c>
      <c r="H31" s="46" t="b">
        <f>SUM(D31:F31)=G31</f>
        <v>1</v>
      </c>
      <c r="I31" s="44" t="s">
        <v>29</v>
      </c>
      <c r="J31" s="46">
        <f>SUM(J25:J30)</f>
        <v>723.60417305443457</v>
      </c>
      <c r="K31" s="46">
        <f t="shared" ref="K31" si="14">SUM(K25:K30)</f>
        <v>2497.9653248828436</v>
      </c>
      <c r="L31" s="46">
        <f>SUM(L25:L30)</f>
        <v>-8683.2500766532139</v>
      </c>
      <c r="M31" s="46">
        <f>SUM(M25:M30)</f>
        <v>-5461.6805787159365</v>
      </c>
      <c r="N31" s="42" t="b">
        <f t="shared" si="10"/>
        <v>1</v>
      </c>
      <c r="O31" s="42" t="b">
        <f t="shared" si="5"/>
        <v>1</v>
      </c>
      <c r="P31" s="42" t="b">
        <f t="shared" si="6"/>
        <v>1</v>
      </c>
      <c r="Q31" s="42" t="b">
        <f t="shared" si="7"/>
        <v>1</v>
      </c>
    </row>
    <row r="36" spans="2:7" x14ac:dyDescent="0.25">
      <c r="B36" s="41" t="s">
        <v>28</v>
      </c>
      <c r="D36" t="s">
        <v>138</v>
      </c>
    </row>
    <row r="37" spans="2:7" x14ac:dyDescent="0.25">
      <c r="D37" s="36" t="s">
        <v>53</v>
      </c>
      <c r="E37" s="36" t="s">
        <v>54</v>
      </c>
      <c r="F37" s="36" t="s">
        <v>55</v>
      </c>
    </row>
    <row r="38" spans="2:7" x14ac:dyDescent="0.25">
      <c r="C38" s="35" t="s">
        <v>43</v>
      </c>
      <c r="D38" s="34"/>
      <c r="E38" s="34"/>
      <c r="F38" s="34">
        <f>'Tacoma Composting'!AB9</f>
        <v>237.12695609075848</v>
      </c>
      <c r="G38" s="34"/>
    </row>
    <row r="39" spans="2:7" x14ac:dyDescent="0.25">
      <c r="C39" s="35" t="s">
        <v>33</v>
      </c>
      <c r="D39" s="34"/>
      <c r="E39" s="34"/>
      <c r="F39" s="34"/>
    </row>
    <row r="40" spans="2:7" x14ac:dyDescent="0.25">
      <c r="C40" s="35" t="s">
        <v>32</v>
      </c>
      <c r="D40" s="34"/>
      <c r="E40" s="34"/>
      <c r="F40" s="34">
        <f>'Tacoma Composting'!AB8</f>
        <v>967.27126139080053</v>
      </c>
    </row>
    <row r="41" spans="2:7" x14ac:dyDescent="0.25">
      <c r="C41" s="35" t="s">
        <v>44</v>
      </c>
      <c r="D41" s="34"/>
      <c r="E41" s="34"/>
      <c r="F41" s="34">
        <f>SUM('Tacoma Composting'!AB14:AB19)</f>
        <v>54.354736432254839</v>
      </c>
    </row>
    <row r="42" spans="2:7" x14ac:dyDescent="0.25">
      <c r="C42" s="35" t="s">
        <v>31</v>
      </c>
      <c r="D42" s="34"/>
      <c r="E42" s="34"/>
      <c r="F42" s="34"/>
    </row>
    <row r="43" spans="2:7" x14ac:dyDescent="0.25">
      <c r="C43" s="35" t="s">
        <v>39</v>
      </c>
      <c r="D43" s="34"/>
      <c r="E43" s="34"/>
      <c r="F43" s="34">
        <f>'Tacoma Composting'!AB10+'Tacoma Composting'!AB11</f>
        <v>23893.502904622324</v>
      </c>
    </row>
    <row r="44" spans="2:7" x14ac:dyDescent="0.25">
      <c r="C44" s="35"/>
      <c r="D44" s="34"/>
      <c r="E44" s="34"/>
      <c r="F44" s="34"/>
    </row>
    <row r="47" spans="2:7" x14ac:dyDescent="0.25">
      <c r="B47" s="40" t="s">
        <v>61</v>
      </c>
    </row>
    <row r="48" spans="2:7" x14ac:dyDescent="0.25">
      <c r="C48" s="35" t="s">
        <v>57</v>
      </c>
      <c r="D48" t="s">
        <v>58</v>
      </c>
      <c r="E48" t="s">
        <v>59</v>
      </c>
      <c r="F48" t="s">
        <v>60</v>
      </c>
      <c r="G48" t="s">
        <v>62</v>
      </c>
    </row>
    <row r="49" spans="2:7" x14ac:dyDescent="0.25">
      <c r="C49" s="35" t="s">
        <v>43</v>
      </c>
      <c r="D49">
        <v>0.02</v>
      </c>
      <c r="E49">
        <v>0.05</v>
      </c>
      <c r="F49">
        <v>-0.24</v>
      </c>
      <c r="G49">
        <f>SUM(D49:F49)</f>
        <v>-0.16999999999999998</v>
      </c>
    </row>
    <row r="50" spans="2:7" x14ac:dyDescent="0.25">
      <c r="C50" s="35" t="s">
        <v>33</v>
      </c>
      <c r="D50">
        <v>0.02</v>
      </c>
      <c r="E50">
        <v>0.05</v>
      </c>
      <c r="F50">
        <v>-0.24</v>
      </c>
      <c r="G50">
        <f t="shared" ref="G50:G54" si="15">SUM(D50:F50)</f>
        <v>-0.16999999999999998</v>
      </c>
    </row>
    <row r="51" spans="2:7" x14ac:dyDescent="0.25">
      <c r="C51" s="35" t="s">
        <v>32</v>
      </c>
      <c r="D51">
        <v>0.02</v>
      </c>
      <c r="E51">
        <v>0.05</v>
      </c>
      <c r="F51">
        <v>-0.24</v>
      </c>
      <c r="G51">
        <f t="shared" si="15"/>
        <v>-0.16999999999999998</v>
      </c>
    </row>
    <row r="52" spans="2:7" x14ac:dyDescent="0.25">
      <c r="C52" s="35" t="s">
        <v>44</v>
      </c>
      <c r="D52">
        <v>0.02</v>
      </c>
      <c r="E52">
        <v>7.0000000000000007E-2</v>
      </c>
      <c r="F52">
        <v>-0.24</v>
      </c>
      <c r="G52">
        <f t="shared" si="15"/>
        <v>-0.14999999999999997</v>
      </c>
    </row>
    <row r="53" spans="2:7" x14ac:dyDescent="0.25">
      <c r="C53" s="35" t="s">
        <v>31</v>
      </c>
      <c r="D53">
        <v>0.02</v>
      </c>
      <c r="E53">
        <v>7.0000000000000007E-2</v>
      </c>
      <c r="F53">
        <v>-0.24</v>
      </c>
      <c r="G53">
        <f t="shared" si="15"/>
        <v>-0.14999999999999997</v>
      </c>
    </row>
    <row r="54" spans="2:7" x14ac:dyDescent="0.25">
      <c r="C54" s="35" t="s">
        <v>39</v>
      </c>
      <c r="D54">
        <v>0.02</v>
      </c>
      <c r="E54">
        <v>7.0000000000000007E-2</v>
      </c>
      <c r="F54">
        <v>-0.24</v>
      </c>
      <c r="G54">
        <f t="shared" si="15"/>
        <v>-0.14999999999999997</v>
      </c>
    </row>
    <row r="55" spans="2:7" x14ac:dyDescent="0.25">
      <c r="C55" s="35"/>
    </row>
    <row r="56" spans="2:7" x14ac:dyDescent="0.25">
      <c r="B56" s="41"/>
    </row>
    <row r="57" spans="2:7" x14ac:dyDescent="0.25">
      <c r="B57" s="41" t="s">
        <v>63</v>
      </c>
    </row>
    <row r="58" spans="2:7" x14ac:dyDescent="0.25">
      <c r="D58" s="41" t="s">
        <v>58</v>
      </c>
      <c r="E58" s="41" t="s">
        <v>59</v>
      </c>
      <c r="F58" s="41" t="s">
        <v>60</v>
      </c>
      <c r="G58" s="41" t="s">
        <v>62</v>
      </c>
    </row>
    <row r="59" spans="2:7" x14ac:dyDescent="0.25">
      <c r="C59" s="40" t="s">
        <v>43</v>
      </c>
      <c r="D59" s="38">
        <f>F38*D49</f>
        <v>4.7425391218151693</v>
      </c>
      <c r="E59" s="38">
        <f t="shared" ref="E59:E64" si="16">E49*F38</f>
        <v>11.856347804537926</v>
      </c>
      <c r="F59" s="38">
        <f t="shared" ref="F59:F64" si="17">F49*F38</f>
        <v>-56.910469461782036</v>
      </c>
      <c r="G59" s="39">
        <f>SUM(D59:F59)</f>
        <v>-40.31158253542894</v>
      </c>
    </row>
    <row r="60" spans="2:7" x14ac:dyDescent="0.25">
      <c r="C60" s="40" t="s">
        <v>33</v>
      </c>
      <c r="D60" s="38">
        <f t="shared" ref="D60:D64" si="18">F39*D50</f>
        <v>0</v>
      </c>
      <c r="E60" s="38">
        <f t="shared" si="16"/>
        <v>0</v>
      </c>
      <c r="F60" s="38">
        <f t="shared" si="17"/>
        <v>0</v>
      </c>
      <c r="G60" s="39">
        <f t="shared" ref="G60:G64" si="19">SUM(D60:F60)</f>
        <v>0</v>
      </c>
    </row>
    <row r="61" spans="2:7" x14ac:dyDescent="0.25">
      <c r="C61" s="40" t="s">
        <v>32</v>
      </c>
      <c r="D61" s="38">
        <f t="shared" si="18"/>
        <v>19.345425227816012</v>
      </c>
      <c r="E61" s="38">
        <f t="shared" si="16"/>
        <v>48.363563069540028</v>
      </c>
      <c r="F61" s="38">
        <f t="shared" si="17"/>
        <v>-232.14510273379213</v>
      </c>
      <c r="G61" s="39">
        <f t="shared" si="19"/>
        <v>-164.43611443643607</v>
      </c>
    </row>
    <row r="62" spans="2:7" x14ac:dyDescent="0.25">
      <c r="C62" s="40" t="s">
        <v>44</v>
      </c>
      <c r="D62" s="38">
        <f t="shared" si="18"/>
        <v>1.0870947286450967</v>
      </c>
      <c r="E62" s="38">
        <f t="shared" si="16"/>
        <v>3.8048315502578389</v>
      </c>
      <c r="F62" s="38">
        <f t="shared" si="17"/>
        <v>-13.045136743741161</v>
      </c>
      <c r="G62" s="39">
        <f t="shared" si="19"/>
        <v>-8.1532104648382244</v>
      </c>
    </row>
    <row r="63" spans="2:7" x14ac:dyDescent="0.25">
      <c r="C63" s="40" t="s">
        <v>31</v>
      </c>
      <c r="D63" s="38">
        <f t="shared" si="18"/>
        <v>0</v>
      </c>
      <c r="E63" s="38">
        <f t="shared" si="16"/>
        <v>0</v>
      </c>
      <c r="F63" s="38">
        <f t="shared" si="17"/>
        <v>0</v>
      </c>
      <c r="G63" s="39">
        <f t="shared" si="19"/>
        <v>0</v>
      </c>
    </row>
    <row r="64" spans="2:7" x14ac:dyDescent="0.25">
      <c r="C64" s="40" t="s">
        <v>39</v>
      </c>
      <c r="D64" s="38">
        <f t="shared" si="18"/>
        <v>477.87005809244647</v>
      </c>
      <c r="E64" s="38">
        <f t="shared" si="16"/>
        <v>1672.5452033235629</v>
      </c>
      <c r="F64" s="38">
        <f t="shared" si="17"/>
        <v>-5734.4406971093576</v>
      </c>
      <c r="G64" s="39">
        <f t="shared" si="19"/>
        <v>-3584.0254356933483</v>
      </c>
    </row>
    <row r="65" spans="3:7" x14ac:dyDescent="0.25">
      <c r="C65" s="40" t="s">
        <v>29</v>
      </c>
      <c r="D65" s="39">
        <f>SUM(D59:D64)</f>
        <v>503.04511717072273</v>
      </c>
      <c r="E65" s="39">
        <f t="shared" ref="E65:G65" si="20">SUM(E59:E64)</f>
        <v>1736.5699457478986</v>
      </c>
      <c r="F65" s="39">
        <f t="shared" si="20"/>
        <v>-6036.5414060486728</v>
      </c>
      <c r="G65" s="39">
        <f t="shared" si="20"/>
        <v>-3796.9263431300515</v>
      </c>
    </row>
  </sheetData>
  <hyperlinks>
    <hyperlink ref="A1" r:id="rId1" display="https://www.epa.gov/sites/production/files/2016-03/documents/warm_v14_management_practices.pdf"/>
  </hyperlinks>
  <pageMargins left="0.7" right="0.7" top="0.75" bottom="0.75" header="0.3" footer="0.3"/>
  <pageSetup orientation="portrait" horizontalDpi="1200" verticalDpi="1200"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52"/>
  <sheetViews>
    <sheetView workbookViewId="0">
      <selection activeCell="I7" sqref="I7"/>
    </sheetView>
  </sheetViews>
  <sheetFormatPr defaultRowHeight="15" x14ac:dyDescent="0.25"/>
  <cols>
    <col min="1" max="1" width="9.140625" style="47"/>
    <col min="2" max="2" width="62" style="47" bestFit="1" customWidth="1"/>
    <col min="3" max="3" width="41" style="47" bestFit="1" customWidth="1"/>
    <col min="4" max="16384" width="9.140625" style="47"/>
  </cols>
  <sheetData>
    <row r="3" spans="2:13" x14ac:dyDescent="0.25">
      <c r="D3" s="47" t="s">
        <v>98</v>
      </c>
      <c r="I3" s="47" t="s">
        <v>97</v>
      </c>
    </row>
    <row r="4" spans="2:13" x14ac:dyDescent="0.25">
      <c r="B4" s="47" t="s">
        <v>96</v>
      </c>
      <c r="D4" s="47" t="s">
        <v>95</v>
      </c>
      <c r="G4" s="47" t="s">
        <v>94</v>
      </c>
      <c r="I4" s="47" t="s">
        <v>28</v>
      </c>
    </row>
    <row r="5" spans="2:13" x14ac:dyDescent="0.25">
      <c r="B5" s="47" t="s">
        <v>93</v>
      </c>
      <c r="D5" s="47">
        <v>0.96359425074296601</v>
      </c>
      <c r="I5" s="47">
        <v>25097.901122103882</v>
      </c>
    </row>
    <row r="6" spans="2:13" x14ac:dyDescent="0.25">
      <c r="C6" s="47" t="s">
        <v>73</v>
      </c>
      <c r="E6" s="47">
        <v>3.7136851478158199E-2</v>
      </c>
      <c r="G6" s="47">
        <v>1.79997461191947E-2</v>
      </c>
      <c r="I6" s="47">
        <v>967.27126139080053</v>
      </c>
    </row>
    <row r="7" spans="2:13" x14ac:dyDescent="0.25">
      <c r="C7" s="47" t="s">
        <v>72</v>
      </c>
      <c r="E7" s="47">
        <v>9.1041147414513603E-3</v>
      </c>
      <c r="G7" s="47">
        <v>4.1614230374037702E-3</v>
      </c>
      <c r="I7" s="47">
        <v>237.12695609075848</v>
      </c>
    </row>
    <row r="8" spans="2:13" x14ac:dyDescent="0.25">
      <c r="C8" s="47" t="s">
        <v>71</v>
      </c>
      <c r="E8" s="47">
        <v>0.91190697298677104</v>
      </c>
      <c r="G8" s="47">
        <v>4.06342607154596E-2</v>
      </c>
      <c r="I8" s="47">
        <v>23751.647566319923</v>
      </c>
    </row>
    <row r="9" spans="2:13" x14ac:dyDescent="0.25">
      <c r="C9" s="47" t="s">
        <v>70</v>
      </c>
      <c r="E9" s="47">
        <v>5.44631153658538E-3</v>
      </c>
      <c r="G9" s="47">
        <v>7.6318998086392599E-3</v>
      </c>
      <c r="I9" s="47">
        <v>141.85533830240254</v>
      </c>
    </row>
    <row r="11" spans="2:13" x14ac:dyDescent="0.25">
      <c r="B11" s="47" t="s">
        <v>15</v>
      </c>
      <c r="D11" s="47">
        <v>2.0868642071683913E-3</v>
      </c>
      <c r="I11" s="47">
        <v>54.354736432254839</v>
      </c>
      <c r="L11" s="47" t="s">
        <v>92</v>
      </c>
    </row>
    <row r="12" spans="2:13" x14ac:dyDescent="0.25">
      <c r="C12" s="47" t="s">
        <v>69</v>
      </c>
      <c r="E12" s="47">
        <v>1.8332721259383199E-5</v>
      </c>
      <c r="G12" s="47">
        <v>3.08565201440471E-5</v>
      </c>
      <c r="I12" s="47">
        <v>0.47749644117565848</v>
      </c>
      <c r="L12" s="47">
        <v>37466</v>
      </c>
      <c r="M12" s="47" t="s">
        <v>91</v>
      </c>
    </row>
    <row r="13" spans="2:13" x14ac:dyDescent="0.25">
      <c r="C13" s="47" t="s">
        <v>10</v>
      </c>
      <c r="E13" s="47">
        <v>4.5761062396352202E-4</v>
      </c>
      <c r="G13" s="47">
        <v>4.7566891924701401E-4</v>
      </c>
      <c r="I13" s="47">
        <v>11.918985801135008</v>
      </c>
    </row>
    <row r="14" spans="2:13" x14ac:dyDescent="0.25">
      <c r="C14" s="47" t="s">
        <v>8</v>
      </c>
      <c r="E14" s="47">
        <v>5.6139787267537201E-4</v>
      </c>
      <c r="G14" s="47">
        <v>3.17498187640268E-4</v>
      </c>
      <c r="I14" s="47">
        <v>14.622241973426185</v>
      </c>
    </row>
    <row r="15" spans="2:13" x14ac:dyDescent="0.25">
      <c r="C15" s="47" t="s">
        <v>68</v>
      </c>
      <c r="E15" s="47">
        <v>1.5919235392080299E-4</v>
      </c>
      <c r="G15" s="47">
        <v>2.5101477775751999E-4</v>
      </c>
      <c r="I15" s="47">
        <v>4.1463447452272435</v>
      </c>
    </row>
    <row r="16" spans="2:13" x14ac:dyDescent="0.25">
      <c r="C16" s="47" t="s">
        <v>67</v>
      </c>
      <c r="E16" s="47">
        <v>2.45740325579835E-4</v>
      </c>
      <c r="G16" s="47">
        <v>2.6186744386496902E-4</v>
      </c>
      <c r="I16" s="47">
        <v>6.4005844662947071</v>
      </c>
    </row>
    <row r="17" spans="2:9" x14ac:dyDescent="0.25">
      <c r="C17" s="47" t="s">
        <v>66</v>
      </c>
      <c r="E17" s="47">
        <v>6.4459030976947603E-4</v>
      </c>
      <c r="G17" s="47">
        <v>5.2050273377601396E-4</v>
      </c>
      <c r="I17" s="47">
        <v>16.789083004996041</v>
      </c>
    </row>
    <row r="19" spans="2:9" x14ac:dyDescent="0.25">
      <c r="B19" s="47" t="s">
        <v>90</v>
      </c>
      <c r="D19" s="47">
        <v>3.4318885049865654E-2</v>
      </c>
      <c r="I19" s="47">
        <v>893.8741414638572</v>
      </c>
    </row>
    <row r="20" spans="2:9" x14ac:dyDescent="0.25">
      <c r="C20" s="47" t="s">
        <v>89</v>
      </c>
      <c r="E20" s="47">
        <v>1.1278863548765501E-3</v>
      </c>
      <c r="G20" s="47">
        <v>8.6125659637312701E-4</v>
      </c>
      <c r="I20" s="47">
        <v>29.377074624340754</v>
      </c>
    </row>
    <row r="21" spans="2:9" x14ac:dyDescent="0.25">
      <c r="C21" s="47" t="s">
        <v>88</v>
      </c>
      <c r="E21" s="47">
        <v>8.0814088821936801E-5</v>
      </c>
      <c r="G21" s="47">
        <v>1.11255814386613E-4</v>
      </c>
      <c r="I21" s="47">
        <v>2.1048942632877123</v>
      </c>
    </row>
    <row r="22" spans="2:9" x14ac:dyDescent="0.25">
      <c r="C22" s="47" t="s">
        <v>87</v>
      </c>
      <c r="E22" s="47">
        <v>2.17038231189568E-4</v>
      </c>
      <c r="G22" s="47">
        <v>1.65604858939573E-4</v>
      </c>
      <c r="I22" s="47">
        <v>5.6530059845335421</v>
      </c>
    </row>
    <row r="23" spans="2:9" x14ac:dyDescent="0.25">
      <c r="C23" s="47" t="s">
        <v>86</v>
      </c>
      <c r="E23" s="47">
        <v>0</v>
      </c>
      <c r="G23" s="47">
        <v>0</v>
      </c>
      <c r="I23" s="47">
        <v>0</v>
      </c>
    </row>
    <row r="24" spans="2:9" x14ac:dyDescent="0.25">
      <c r="C24" s="47" t="s">
        <v>85</v>
      </c>
      <c r="E24" s="47">
        <v>9.2201818446463902E-5</v>
      </c>
      <c r="G24" s="47">
        <v>1.18810601352746E-4</v>
      </c>
      <c r="I24" s="47">
        <v>2.4015005494929964</v>
      </c>
    </row>
    <row r="25" spans="2:9" x14ac:dyDescent="0.25">
      <c r="C25" s="47" t="s">
        <v>84</v>
      </c>
      <c r="E25" s="47">
        <v>1.6846174634832099E-4</v>
      </c>
      <c r="G25" s="47">
        <v>1.4154049349698899E-4</v>
      </c>
      <c r="I25" s="47">
        <v>4.3877765454153934</v>
      </c>
    </row>
    <row r="26" spans="2:9" x14ac:dyDescent="0.25">
      <c r="C26" s="47" t="s">
        <v>83</v>
      </c>
      <c r="E26" s="47">
        <v>2.0391166306297599E-5</v>
      </c>
      <c r="G26" s="47">
        <v>1.67844348263828E-5</v>
      </c>
      <c r="I26" s="47">
        <v>0.53111096846544703</v>
      </c>
    </row>
    <row r="27" spans="2:9" x14ac:dyDescent="0.25">
      <c r="C27" s="47" t="s">
        <v>82</v>
      </c>
      <c r="E27" s="47">
        <v>4.9118878249648597E-5</v>
      </c>
      <c r="G27" s="47">
        <v>3.2701814340615398E-5</v>
      </c>
      <c r="I27" s="47">
        <v>1.2793566883445198</v>
      </c>
    </row>
    <row r="28" spans="2:9" x14ac:dyDescent="0.25">
      <c r="C28" s="47" t="s">
        <v>81</v>
      </c>
      <c r="E28" s="47">
        <v>3.1457276089832302E-4</v>
      </c>
      <c r="G28" s="47">
        <v>1.81111908380295E-4</v>
      </c>
      <c r="I28" s="47">
        <v>8.1934030248166376</v>
      </c>
    </row>
    <row r="29" spans="2:9" x14ac:dyDescent="0.25">
      <c r="C29" s="47" t="s">
        <v>80</v>
      </c>
      <c r="E29" s="47">
        <v>3.7672168273907399E-4</v>
      </c>
      <c r="G29" s="47">
        <v>4.7180532401649799E-4</v>
      </c>
      <c r="I29" s="47">
        <v>9.8121419224406754</v>
      </c>
    </row>
    <row r="30" spans="2:9" x14ac:dyDescent="0.25">
      <c r="C30" s="47" t="s">
        <v>79</v>
      </c>
      <c r="E30" s="47">
        <v>1.15577738818121E-4</v>
      </c>
      <c r="G30" s="47">
        <v>6.6040958557721802E-5</v>
      </c>
      <c r="I30" s="47">
        <v>3.0103528103628259</v>
      </c>
    </row>
    <row r="31" spans="2:9" x14ac:dyDescent="0.25">
      <c r="C31" s="47" t="s">
        <v>78</v>
      </c>
      <c r="E31" s="47">
        <v>2.3853408889827499E-3</v>
      </c>
      <c r="G31" s="47">
        <v>2.1030961343214099E-3</v>
      </c>
      <c r="I31" s="47">
        <v>62.128898888760268</v>
      </c>
    </row>
    <row r="32" spans="2:9" x14ac:dyDescent="0.25">
      <c r="C32" s="47" t="s">
        <v>23</v>
      </c>
      <c r="E32" s="47">
        <v>2.9370759694188599E-2</v>
      </c>
      <c r="G32" s="47">
        <v>3.7460650736437097E-2</v>
      </c>
      <c r="I32" s="47">
        <v>764.99462519359645</v>
      </c>
    </row>
    <row r="34" spans="2:9" x14ac:dyDescent="0.25">
      <c r="C34" s="47" t="s">
        <v>77</v>
      </c>
      <c r="E34" s="47">
        <v>1</v>
      </c>
      <c r="I34" s="47">
        <v>26046.129999999997</v>
      </c>
    </row>
    <row r="35" spans="2:9" x14ac:dyDescent="0.25">
      <c r="C35" s="47" t="s">
        <v>76</v>
      </c>
      <c r="I35" s="47">
        <v>180</v>
      </c>
    </row>
    <row r="36" spans="2:9" x14ac:dyDescent="0.25">
      <c r="B36" s="47" t="s">
        <v>75</v>
      </c>
    </row>
    <row r="37" spans="2:9" x14ac:dyDescent="0.25">
      <c r="B37" s="47" t="s">
        <v>74</v>
      </c>
    </row>
    <row r="41" spans="2:9" x14ac:dyDescent="0.25">
      <c r="C41" s="47" t="s">
        <v>73</v>
      </c>
      <c r="E41" s="47">
        <f>E6*$L$12</f>
        <v>1391.369277480675</v>
      </c>
    </row>
    <row r="42" spans="2:9" x14ac:dyDescent="0.25">
      <c r="C42" s="47" t="s">
        <v>72</v>
      </c>
      <c r="E42" s="47">
        <f>E7*$L$12</f>
        <v>341.09476290321669</v>
      </c>
    </row>
    <row r="43" spans="2:9" x14ac:dyDescent="0.25">
      <c r="C43" s="47" t="s">
        <v>71</v>
      </c>
      <c r="E43" s="47">
        <f>E8*$L$12</f>
        <v>34165.506649922361</v>
      </c>
    </row>
    <row r="44" spans="2:9" x14ac:dyDescent="0.25">
      <c r="C44" s="47" t="s">
        <v>70</v>
      </c>
      <c r="E44" s="47">
        <f>E9*$L$12</f>
        <v>204.05150802970783</v>
      </c>
    </row>
    <row r="47" spans="2:9" x14ac:dyDescent="0.25">
      <c r="C47" s="47" t="s">
        <v>69</v>
      </c>
      <c r="E47" s="47">
        <f t="shared" ref="E47:E52" si="0">E12*$L$12</f>
        <v>0.68685373470405087</v>
      </c>
    </row>
    <row r="48" spans="2:9" x14ac:dyDescent="0.25">
      <c r="C48" s="47" t="s">
        <v>10</v>
      </c>
      <c r="E48" s="47">
        <f t="shared" si="0"/>
        <v>17.144839637417316</v>
      </c>
    </row>
    <row r="49" spans="3:5" x14ac:dyDescent="0.25">
      <c r="C49" s="47" t="s">
        <v>8</v>
      </c>
      <c r="E49" s="47">
        <f t="shared" si="0"/>
        <v>21.033332697655489</v>
      </c>
    </row>
    <row r="50" spans="3:5" x14ac:dyDescent="0.25">
      <c r="C50" s="47" t="s">
        <v>68</v>
      </c>
      <c r="E50" s="47">
        <f t="shared" si="0"/>
        <v>5.9643007319968051</v>
      </c>
    </row>
    <row r="51" spans="3:5" x14ac:dyDescent="0.25">
      <c r="C51" s="47" t="s">
        <v>67</v>
      </c>
      <c r="E51" s="47">
        <f t="shared" si="0"/>
        <v>9.2069070381740978</v>
      </c>
    </row>
    <row r="52" spans="3:5" x14ac:dyDescent="0.25">
      <c r="C52" s="47" t="s">
        <v>66</v>
      </c>
      <c r="E52" s="47">
        <f t="shared" si="0"/>
        <v>24.150220545823188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87"/>
  <sheetViews>
    <sheetView showGridLines="0" topLeftCell="M4" zoomScale="70" zoomScaleNormal="70" workbookViewId="0">
      <selection activeCell="R26" sqref="R26"/>
    </sheetView>
  </sheetViews>
  <sheetFormatPr defaultColWidth="0" defaultRowHeight="15" customHeight="1" zeroHeight="1" x14ac:dyDescent="0.25"/>
  <cols>
    <col min="1" max="1" width="6.140625" style="54" hidden="1" customWidth="1"/>
    <col min="2" max="2" width="11.140625" style="54" hidden="1" customWidth="1"/>
    <col min="3" max="3" width="6.140625" style="54" hidden="1" customWidth="1"/>
    <col min="4" max="4" width="26.28515625" style="54" hidden="1" customWidth="1"/>
    <col min="5" max="5" width="12.7109375" style="54" hidden="1" customWidth="1"/>
    <col min="6" max="6" width="9.42578125" style="54" hidden="1" customWidth="1"/>
    <col min="7" max="7" width="11.5703125" style="54" hidden="1" customWidth="1"/>
    <col min="8" max="8" width="15.28515625" style="54" hidden="1" customWidth="1"/>
    <col min="9" max="9" width="9.140625" style="54" hidden="1" customWidth="1"/>
    <col min="10" max="10" width="38.5703125" style="54" hidden="1" customWidth="1"/>
    <col min="11" max="11" width="18.28515625" style="54" hidden="1" customWidth="1"/>
    <col min="12" max="12" width="21.140625" style="54" hidden="1" customWidth="1"/>
    <col min="13" max="13" width="3.7109375" style="54" customWidth="1"/>
    <col min="14" max="14" width="3.7109375" style="195" customWidth="1"/>
    <col min="15" max="15" width="39.42578125" style="195" bestFit="1" customWidth="1"/>
    <col min="16" max="17" width="8.85546875" style="195" customWidth="1"/>
    <col min="18" max="18" width="11.140625" style="195" customWidth="1"/>
    <col min="19" max="19" width="6.140625" style="190" customWidth="1"/>
    <col min="20" max="20" width="1.42578125" style="147" customWidth="1"/>
    <col min="21" max="21" width="1.7109375" style="147" customWidth="1"/>
    <col min="22" max="22" width="33.42578125" style="147" customWidth="1"/>
    <col min="23" max="23" width="3.140625" style="147" customWidth="1"/>
    <col min="24" max="24" width="7.85546875" style="147" bestFit="1" customWidth="1"/>
    <col min="25" max="25" width="1.28515625" style="147" customWidth="1"/>
    <col min="26" max="26" width="6.85546875" style="147" customWidth="1"/>
    <col min="27" max="27" width="1.28515625" style="147" customWidth="1"/>
    <col min="28" max="28" width="8.28515625" style="147" bestFit="1" customWidth="1"/>
    <col min="29" max="29" width="1.140625" style="147" customWidth="1"/>
    <col min="30" max="30" width="0.85546875" style="147" customWidth="1"/>
    <col min="31" max="31" width="9.140625" style="57" customWidth="1"/>
    <col min="32" max="32" width="20.7109375" style="54" hidden="1" customWidth="1"/>
    <col min="33" max="35" width="9.140625" style="54" hidden="1" customWidth="1"/>
    <col min="36" max="36" width="9.140625" style="54" customWidth="1"/>
    <col min="37" max="46" width="9.140625" style="190" hidden="1" customWidth="1"/>
    <col min="47" max="78" width="0" style="190" hidden="1" customWidth="1"/>
    <col min="79" max="16384" width="9.140625" style="190" hidden="1"/>
  </cols>
  <sheetData>
    <row r="1" spans="1:35" x14ac:dyDescent="0.25">
      <c r="N1" s="55"/>
      <c r="O1" s="55"/>
      <c r="P1" s="55"/>
      <c r="Q1" s="55"/>
      <c r="R1" s="55"/>
      <c r="S1" s="54"/>
      <c r="T1" s="56"/>
      <c r="U1" s="56"/>
      <c r="V1" s="56"/>
      <c r="W1" s="56"/>
      <c r="X1" s="56"/>
      <c r="Y1" s="56"/>
      <c r="Z1" s="56"/>
      <c r="AA1" s="56"/>
      <c r="AB1" s="56"/>
      <c r="AC1" s="56"/>
      <c r="AD1" s="56"/>
    </row>
    <row r="2" spans="1:35" x14ac:dyDescent="0.25">
      <c r="B2" s="58" t="s">
        <v>76</v>
      </c>
      <c r="C2" s="59">
        <f>60*3</f>
        <v>180</v>
      </c>
      <c r="D2" s="58" t="s">
        <v>100</v>
      </c>
      <c r="E2" s="60">
        <v>26046.129999999997</v>
      </c>
      <c r="N2" s="55"/>
      <c r="O2" s="55"/>
      <c r="P2" s="55"/>
      <c r="Q2" s="55"/>
      <c r="R2" s="55"/>
      <c r="S2" s="54"/>
      <c r="T2" s="56"/>
      <c r="U2" s="56"/>
      <c r="V2" s="56"/>
      <c r="W2" s="56"/>
      <c r="X2" s="56"/>
      <c r="Y2" s="56"/>
      <c r="Z2" s="56"/>
      <c r="AA2" s="56"/>
      <c r="AB2" s="56"/>
      <c r="AC2" s="56"/>
      <c r="AD2" s="56"/>
    </row>
    <row r="3" spans="1:35" x14ac:dyDescent="0.25">
      <c r="N3" s="55"/>
      <c r="O3" s="55"/>
      <c r="P3" s="55"/>
      <c r="Q3" s="55"/>
      <c r="R3" s="55"/>
      <c r="S3" s="54"/>
      <c r="T3" s="56"/>
      <c r="U3" s="56"/>
      <c r="V3" s="56"/>
      <c r="W3" s="56"/>
      <c r="X3" s="56"/>
      <c r="Y3" s="56"/>
      <c r="Z3" s="56"/>
      <c r="AA3" s="56"/>
      <c r="AB3" s="56"/>
      <c r="AC3" s="56"/>
      <c r="AD3" s="56"/>
    </row>
    <row r="4" spans="1:35" ht="15.75" thickBot="1" x14ac:dyDescent="0.3">
      <c r="A4" s="61" t="s">
        <v>101</v>
      </c>
      <c r="B4" s="62"/>
      <c r="C4" s="62"/>
      <c r="D4" s="62"/>
      <c r="E4" s="62"/>
      <c r="F4" s="62"/>
      <c r="G4" s="62"/>
      <c r="H4" s="63"/>
      <c r="N4" s="54"/>
      <c r="O4" s="54"/>
      <c r="P4" s="54"/>
      <c r="Q4" s="54"/>
      <c r="R4" s="54"/>
      <c r="S4" s="54"/>
      <c r="T4" s="64"/>
      <c r="U4" s="64"/>
      <c r="V4" s="64"/>
      <c r="W4" s="64"/>
      <c r="X4" s="64"/>
      <c r="Y4" s="64"/>
      <c r="Z4" s="64"/>
      <c r="AA4" s="64"/>
      <c r="AB4" s="64"/>
      <c r="AC4" s="64"/>
      <c r="AD4" s="64"/>
    </row>
    <row r="5" spans="1:35" x14ac:dyDescent="0.25">
      <c r="A5" s="65" t="s">
        <v>102</v>
      </c>
      <c r="B5" s="66" t="s">
        <v>0</v>
      </c>
      <c r="C5" s="66" t="s">
        <v>1</v>
      </c>
      <c r="D5" s="66" t="s">
        <v>2</v>
      </c>
      <c r="E5" s="66" t="s">
        <v>103</v>
      </c>
      <c r="F5" s="66" t="s">
        <v>104</v>
      </c>
      <c r="G5" s="66" t="s">
        <v>105</v>
      </c>
      <c r="H5" s="67" t="s">
        <v>106</v>
      </c>
      <c r="J5" s="68" t="s">
        <v>107</v>
      </c>
      <c r="K5" s="69" t="s">
        <v>108</v>
      </c>
      <c r="L5" s="70" t="s">
        <v>0</v>
      </c>
      <c r="N5" s="55"/>
      <c r="O5" s="55"/>
      <c r="P5" s="55"/>
      <c r="Q5" s="55"/>
      <c r="R5" s="55"/>
      <c r="S5" s="54"/>
      <c r="T5" s="71"/>
      <c r="U5" s="71"/>
      <c r="V5" s="72"/>
      <c r="W5" s="73" t="s">
        <v>98</v>
      </c>
      <c r="X5" s="73"/>
      <c r="Y5" s="73"/>
      <c r="Z5" s="74"/>
      <c r="AA5" s="74"/>
      <c r="AB5" s="75" t="s">
        <v>97</v>
      </c>
      <c r="AC5" s="73"/>
      <c r="AD5" s="76"/>
    </row>
    <row r="6" spans="1:35" ht="15.75" thickBot="1" x14ac:dyDescent="0.3">
      <c r="A6" s="77">
        <v>2015</v>
      </c>
      <c r="B6" s="78" t="s">
        <v>93</v>
      </c>
      <c r="C6" s="79">
        <v>1</v>
      </c>
      <c r="D6" s="78" t="s">
        <v>109</v>
      </c>
      <c r="E6" s="80">
        <v>3.7136851478158199E-2</v>
      </c>
      <c r="F6" s="80">
        <v>1.19729440916276E-4</v>
      </c>
      <c r="G6" s="80">
        <v>1.79997461191947E-2</v>
      </c>
      <c r="H6" s="81">
        <v>1</v>
      </c>
      <c r="I6" s="82"/>
      <c r="J6" s="83" t="str">
        <f>[1]MatList!D3</f>
        <v>Food Waste, Vegetative</v>
      </c>
      <c r="K6" s="84" t="str">
        <f>[1]MatList!C3</f>
        <v>Food Waste</v>
      </c>
      <c r="L6" s="85" t="str">
        <f>[1]MatList!B3</f>
        <v>Organics</v>
      </c>
      <c r="N6" s="55"/>
      <c r="O6" s="55"/>
      <c r="P6" s="55"/>
      <c r="Q6" s="55"/>
      <c r="R6" s="55"/>
      <c r="S6" s="54"/>
      <c r="T6" s="86"/>
      <c r="U6" s="86" t="s">
        <v>96</v>
      </c>
      <c r="V6" s="86"/>
      <c r="W6" s="87" t="s">
        <v>95</v>
      </c>
      <c r="X6" s="87"/>
      <c r="Y6" s="87"/>
      <c r="Z6" s="87" t="s">
        <v>94</v>
      </c>
      <c r="AA6" s="87"/>
      <c r="AB6" s="88" t="s">
        <v>28</v>
      </c>
      <c r="AC6" s="87"/>
      <c r="AD6" s="89"/>
    </row>
    <row r="7" spans="1:35" ht="18.75" x14ac:dyDescent="0.3">
      <c r="A7" s="77">
        <v>2015</v>
      </c>
      <c r="B7" s="78" t="s">
        <v>93</v>
      </c>
      <c r="C7" s="79">
        <v>2</v>
      </c>
      <c r="D7" s="78" t="s">
        <v>110</v>
      </c>
      <c r="E7" s="80">
        <v>9.1041147414513603E-3</v>
      </c>
      <c r="F7" s="80">
        <v>6.3995867356121401E-6</v>
      </c>
      <c r="G7" s="80">
        <v>4.1614230374037702E-3</v>
      </c>
      <c r="H7" s="81">
        <v>1</v>
      </c>
      <c r="I7" s="82"/>
      <c r="J7" s="83" t="str">
        <f>[1]MatList!D4</f>
        <v>Other Food Waste</v>
      </c>
      <c r="K7" s="84" t="str">
        <f>[1]MatList!C4</f>
        <v>Food Waste</v>
      </c>
      <c r="L7" s="85" t="str">
        <f>[1]MatList!B4</f>
        <v>Organics</v>
      </c>
      <c r="N7" s="55"/>
      <c r="O7" s="55"/>
      <c r="P7" s="55"/>
      <c r="Q7" s="55"/>
      <c r="R7" s="55"/>
      <c r="S7" s="54"/>
      <c r="T7" s="90"/>
      <c r="U7" s="91" t="str">
        <f>L6</f>
        <v>Organics</v>
      </c>
      <c r="V7" s="92"/>
      <c r="W7" s="93">
        <f>SUM(X8:X11)</f>
        <v>0.96359425074296601</v>
      </c>
      <c r="X7" s="94"/>
      <c r="Y7" s="94"/>
      <c r="Z7" s="95"/>
      <c r="AA7" s="95"/>
      <c r="AB7" s="96">
        <f>SUM(AB8:AB11)</f>
        <v>25097.901122103882</v>
      </c>
      <c r="AC7" s="97"/>
      <c r="AD7" s="97"/>
    </row>
    <row r="8" spans="1:35" x14ac:dyDescent="0.25">
      <c r="A8" s="77">
        <v>2015</v>
      </c>
      <c r="B8" s="78" t="s">
        <v>93</v>
      </c>
      <c r="C8" s="79">
        <v>3</v>
      </c>
      <c r="D8" s="78" t="s">
        <v>111</v>
      </c>
      <c r="E8" s="80">
        <v>0.91190697298677104</v>
      </c>
      <c r="F8" s="80">
        <v>6.1017290819262297E-4</v>
      </c>
      <c r="G8" s="80">
        <v>4.06342607154596E-2</v>
      </c>
      <c r="H8" s="81">
        <v>1</v>
      </c>
      <c r="I8" s="82"/>
      <c r="J8" s="83" t="str">
        <f>[1]MatList!D5</f>
        <v>Leaves, Grass, Prunings and Trimmings</v>
      </c>
      <c r="K8" s="84" t="str">
        <f>[1]MatList!C5</f>
        <v>Yard Waste</v>
      </c>
      <c r="L8" s="85" t="str">
        <f>[1]MatList!B5</f>
        <v>Organics</v>
      </c>
      <c r="N8" s="55"/>
      <c r="O8" s="55"/>
      <c r="P8" s="55"/>
      <c r="Q8" s="55"/>
      <c r="R8" s="55"/>
      <c r="S8" s="54"/>
      <c r="T8" s="97"/>
      <c r="U8" s="98"/>
      <c r="V8" s="99" t="str">
        <f>'Tacoma Composting'!J6</f>
        <v>Food Waste, Vegetative</v>
      </c>
      <c r="W8" s="97"/>
      <c r="X8" s="100">
        <f>'Tacoma Composting'!E6</f>
        <v>3.7136851478158199E-2</v>
      </c>
      <c r="Y8" s="100"/>
      <c r="Z8" s="100">
        <f>'Tacoma Composting'!G6</f>
        <v>1.79997461191947E-2</v>
      </c>
      <c r="AA8" s="100"/>
      <c r="AB8" s="101">
        <f>$AB$36*X8</f>
        <v>967.27126139080053</v>
      </c>
      <c r="AC8" s="97"/>
      <c r="AD8" s="97"/>
      <c r="AF8" s="102" t="s">
        <v>112</v>
      </c>
      <c r="AG8" s="102"/>
      <c r="AH8" s="102"/>
      <c r="AI8" s="102"/>
    </row>
    <row r="9" spans="1:35" x14ac:dyDescent="0.25">
      <c r="A9" s="77">
        <v>2015</v>
      </c>
      <c r="B9" s="78" t="s">
        <v>93</v>
      </c>
      <c r="C9" s="79">
        <v>4</v>
      </c>
      <c r="D9" s="78" t="s">
        <v>42</v>
      </c>
      <c r="E9" s="80">
        <v>5.44631153658538E-3</v>
      </c>
      <c r="F9" s="80">
        <v>2.15245220162814E-5</v>
      </c>
      <c r="G9" s="80">
        <v>7.6318998086392599E-3</v>
      </c>
      <c r="H9" s="81">
        <v>1</v>
      </c>
      <c r="I9" s="82"/>
      <c r="J9" s="83" t="str">
        <f>[1]MatList!D6</f>
        <v>Branches and Stumps</v>
      </c>
      <c r="K9" s="84" t="str">
        <f>[1]MatList!C6</f>
        <v>Yard Waste</v>
      </c>
      <c r="L9" s="85" t="str">
        <f>[1]MatList!B6</f>
        <v>Organics</v>
      </c>
      <c r="N9" s="55"/>
      <c r="O9" s="55"/>
      <c r="P9" s="55"/>
      <c r="Q9" s="55"/>
      <c r="R9" s="55"/>
      <c r="S9" s="54"/>
      <c r="T9" s="97"/>
      <c r="U9" s="98"/>
      <c r="V9" s="100" t="str">
        <f>'Tacoma Composting'!J7</f>
        <v>Other Food Waste</v>
      </c>
      <c r="W9" s="97"/>
      <c r="X9" s="100">
        <f>'Tacoma Composting'!E7</f>
        <v>9.1041147414513603E-3</v>
      </c>
      <c r="Y9" s="100"/>
      <c r="Z9" s="100">
        <f>'Tacoma Composting'!G7</f>
        <v>4.1614230374037702E-3</v>
      </c>
      <c r="AA9" s="100"/>
      <c r="AB9" s="101">
        <f>$AB$36*X9</f>
        <v>237.12695609075848</v>
      </c>
      <c r="AC9" s="97"/>
      <c r="AD9" s="97"/>
      <c r="AF9" s="103" t="s">
        <v>93</v>
      </c>
      <c r="AG9" s="104">
        <f>W7</f>
        <v>0.96359425074296601</v>
      </c>
      <c r="AH9" s="104">
        <f>SUM(X8:X11)</f>
        <v>0.96359425074296601</v>
      </c>
      <c r="AI9" s="105">
        <f>AG9-AH9</f>
        <v>0</v>
      </c>
    </row>
    <row r="10" spans="1:35" x14ac:dyDescent="0.25">
      <c r="A10" s="77">
        <v>2015</v>
      </c>
      <c r="B10" s="78" t="s">
        <v>12</v>
      </c>
      <c r="C10" s="79">
        <v>5</v>
      </c>
      <c r="D10" s="78" t="s">
        <v>113</v>
      </c>
      <c r="E10" s="80">
        <v>1.8332721259383199E-5</v>
      </c>
      <c r="F10" s="80">
        <v>3.5185367297049398E-10</v>
      </c>
      <c r="G10" s="80">
        <v>3.08565201440471E-5</v>
      </c>
      <c r="H10" s="81">
        <v>2</v>
      </c>
      <c r="I10" s="82"/>
      <c r="J10" s="83" t="str">
        <f>[1]MatList!D7</f>
        <v>Waxed Corrugated Cardboard</v>
      </c>
      <c r="K10" s="84" t="str">
        <f>[1]MatList!C7</f>
        <v>Compostable Paper</v>
      </c>
      <c r="L10" s="85" t="str">
        <f>[1]MatList!B7</f>
        <v>Other Compostables</v>
      </c>
      <c r="N10" s="55"/>
      <c r="O10" s="55"/>
      <c r="P10" s="55"/>
      <c r="Q10" s="55"/>
      <c r="R10" s="55"/>
      <c r="S10" s="54"/>
      <c r="T10" s="97"/>
      <c r="U10" s="98"/>
      <c r="V10" s="100" t="str">
        <f>'Tacoma Composting'!J8</f>
        <v>Leaves, Grass, Prunings and Trimmings</v>
      </c>
      <c r="W10" s="97"/>
      <c r="X10" s="100">
        <f>'Tacoma Composting'!E8</f>
        <v>0.91190697298677104</v>
      </c>
      <c r="Y10" s="100"/>
      <c r="Z10" s="100">
        <f>'Tacoma Composting'!G8</f>
        <v>4.06342607154596E-2</v>
      </c>
      <c r="AA10" s="100"/>
      <c r="AB10" s="101">
        <f>$AB$36*X10</f>
        <v>23751.647566319923</v>
      </c>
      <c r="AC10" s="97"/>
      <c r="AD10" s="97"/>
      <c r="AF10" s="103" t="s">
        <v>15</v>
      </c>
      <c r="AG10" s="104">
        <f>W13</f>
        <v>2.0868642071683913E-3</v>
      </c>
      <c r="AH10" s="104">
        <f>SUM(X14:X19)</f>
        <v>2.0868642071683913E-3</v>
      </c>
      <c r="AI10" s="105">
        <f t="shared" ref="AI10:AI13" si="0">AG10-AH10</f>
        <v>0</v>
      </c>
    </row>
    <row r="11" spans="1:35" x14ac:dyDescent="0.25">
      <c r="A11" s="77">
        <v>2015</v>
      </c>
      <c r="B11" s="78" t="s">
        <v>12</v>
      </c>
      <c r="C11" s="79">
        <v>6</v>
      </c>
      <c r="D11" s="78" t="s">
        <v>114</v>
      </c>
      <c r="E11" s="80">
        <v>4.5761062396352202E-4</v>
      </c>
      <c r="F11" s="80">
        <v>8.3613758460333005E-8</v>
      </c>
      <c r="G11" s="80">
        <v>4.7566891924701401E-4</v>
      </c>
      <c r="H11" s="81">
        <v>2</v>
      </c>
      <c r="I11" s="82"/>
      <c r="J11" s="83" t="str">
        <f>[1]MatList!D8</f>
        <v>Pizza Boxes</v>
      </c>
      <c r="K11" s="84" t="str">
        <f>[1]MatList!C8</f>
        <v>Compostable Paper</v>
      </c>
      <c r="L11" s="85" t="str">
        <f>[1]MatList!B8</f>
        <v>Other Compostables</v>
      </c>
      <c r="N11" s="55"/>
      <c r="O11" s="55"/>
      <c r="P11" s="55"/>
      <c r="Q11" s="55"/>
      <c r="R11" s="55"/>
      <c r="S11" s="54"/>
      <c r="T11" s="97"/>
      <c r="U11" s="98"/>
      <c r="V11" s="100" t="str">
        <f>'Tacoma Composting'!J9</f>
        <v>Branches and Stumps</v>
      </c>
      <c r="W11" s="97"/>
      <c r="X11" s="100">
        <f>'Tacoma Composting'!E9</f>
        <v>5.44631153658538E-3</v>
      </c>
      <c r="Y11" s="100"/>
      <c r="Z11" s="100">
        <f>'Tacoma Composting'!G9</f>
        <v>7.6318998086392599E-3</v>
      </c>
      <c r="AA11" s="100"/>
      <c r="AB11" s="101">
        <f>$AB$36*X11</f>
        <v>141.85533830240254</v>
      </c>
      <c r="AC11" s="97"/>
      <c r="AD11" s="97"/>
      <c r="AF11" s="103" t="s">
        <v>90</v>
      </c>
      <c r="AG11" s="104">
        <f>W21</f>
        <v>3.4318885049865654E-2</v>
      </c>
      <c r="AH11" s="104">
        <f>SUM(X22:X34)</f>
        <v>3.4318885049865654E-2</v>
      </c>
      <c r="AI11" s="105">
        <f>AG11-AH11</f>
        <v>0</v>
      </c>
    </row>
    <row r="12" spans="1:35" x14ac:dyDescent="0.25">
      <c r="A12" s="77">
        <v>2015</v>
      </c>
      <c r="B12" s="78" t="s">
        <v>12</v>
      </c>
      <c r="C12" s="79">
        <v>7</v>
      </c>
      <c r="D12" s="78" t="s">
        <v>115</v>
      </c>
      <c r="E12" s="80">
        <v>5.6139787267537201E-4</v>
      </c>
      <c r="F12" s="80">
        <v>3.7252094550070699E-8</v>
      </c>
      <c r="G12" s="80">
        <v>3.17498187640268E-4</v>
      </c>
      <c r="H12" s="81">
        <v>2</v>
      </c>
      <c r="I12" s="82"/>
      <c r="J12" s="83" t="str">
        <f>[1]MatList!D9</f>
        <v>Compostable Paper</v>
      </c>
      <c r="K12" s="84" t="str">
        <f>[1]MatList!C9</f>
        <v>Compostable Paper</v>
      </c>
      <c r="L12" s="85" t="str">
        <f>[1]MatList!B9</f>
        <v>Other Compostables</v>
      </c>
      <c r="N12" s="55"/>
      <c r="O12" s="55"/>
      <c r="P12" s="55"/>
      <c r="Q12" s="55"/>
      <c r="R12" s="55"/>
      <c r="S12" s="54"/>
      <c r="T12" s="97"/>
      <c r="U12" s="98"/>
      <c r="V12" s="100"/>
      <c r="W12" s="97"/>
      <c r="X12" s="100"/>
      <c r="Y12" s="100"/>
      <c r="Z12" s="100"/>
      <c r="AA12" s="100"/>
      <c r="AB12" s="101"/>
      <c r="AC12" s="97"/>
      <c r="AD12" s="97"/>
      <c r="AG12" s="104">
        <f>SUM(AG9:AG11)</f>
        <v>1</v>
      </c>
      <c r="AH12" s="104">
        <f>SUM(AH9:AH11)</f>
        <v>1</v>
      </c>
      <c r="AI12" s="105">
        <f t="shared" si="0"/>
        <v>0</v>
      </c>
    </row>
    <row r="13" spans="1:35" x14ac:dyDescent="0.25">
      <c r="A13" s="77">
        <v>2015</v>
      </c>
      <c r="B13" s="78" t="s">
        <v>12</v>
      </c>
      <c r="C13" s="79">
        <v>8</v>
      </c>
      <c r="D13" s="78" t="s">
        <v>116</v>
      </c>
      <c r="E13" s="80">
        <v>1.5919235392080299E-4</v>
      </c>
      <c r="F13" s="80">
        <v>2.3284492439152301E-8</v>
      </c>
      <c r="G13" s="80">
        <v>2.5101477775751999E-4</v>
      </c>
      <c r="H13" s="81">
        <v>2</v>
      </c>
      <c r="I13" s="82"/>
      <c r="J13" s="83" t="str">
        <f>[1]MatList!D10</f>
        <v>Pot. Comp. Single-use Food Service Paper</v>
      </c>
      <c r="K13" s="84" t="str">
        <f>[1]MatList!C10</f>
        <v>Compostable Paper</v>
      </c>
      <c r="L13" s="85" t="str">
        <f>[1]MatList!B10</f>
        <v>Other Compostables</v>
      </c>
      <c r="N13" s="55"/>
      <c r="O13" s="55"/>
      <c r="P13" s="55"/>
      <c r="Q13" s="55"/>
      <c r="R13" s="55"/>
      <c r="S13" s="54"/>
      <c r="T13" s="97"/>
      <c r="U13" s="106" t="str">
        <f>L10</f>
        <v>Other Compostables</v>
      </c>
      <c r="V13" s="107"/>
      <c r="W13" s="108">
        <f>SUM(X14:X19)</f>
        <v>2.0868642071683913E-3</v>
      </c>
      <c r="X13" s="109"/>
      <c r="Y13" s="110"/>
      <c r="Z13" s="110"/>
      <c r="AA13" s="110"/>
      <c r="AB13" s="111">
        <f>SUM(AB14:AB19)</f>
        <v>54.354736432254839</v>
      </c>
      <c r="AC13" s="97"/>
      <c r="AD13" s="97"/>
      <c r="AG13" s="104">
        <f>SUM(W7,W13,W21)</f>
        <v>1</v>
      </c>
      <c r="AH13" s="104">
        <f>SUM(X8:X11,X14:X19,X22:X34)</f>
        <v>1.0000000000000002</v>
      </c>
      <c r="AI13" s="105">
        <f t="shared" si="0"/>
        <v>0</v>
      </c>
    </row>
    <row r="14" spans="1:35" x14ac:dyDescent="0.25">
      <c r="A14" s="77">
        <v>2015</v>
      </c>
      <c r="B14" s="78" t="s">
        <v>12</v>
      </c>
      <c r="C14" s="79">
        <v>9</v>
      </c>
      <c r="D14" s="78" t="s">
        <v>117</v>
      </c>
      <c r="E14" s="80">
        <v>2.45740325579835E-4</v>
      </c>
      <c r="F14" s="80">
        <v>2.5341435558197999E-8</v>
      </c>
      <c r="G14" s="80">
        <v>2.6186744386496902E-4</v>
      </c>
      <c r="H14" s="81">
        <v>2</v>
      </c>
      <c r="I14" s="82"/>
      <c r="J14" s="83" t="str">
        <f>[1]MatList!D11</f>
        <v>Pot. Comp. Single-use Food Service Plastic</v>
      </c>
      <c r="K14" s="84" t="str">
        <f>[1]MatList!C11</f>
        <v>Compostable Plastic</v>
      </c>
      <c r="L14" s="85" t="str">
        <f>[1]MatList!B11</f>
        <v>Other Compostables</v>
      </c>
      <c r="N14" s="55"/>
      <c r="O14" s="55"/>
      <c r="P14" s="55"/>
      <c r="Q14" s="55"/>
      <c r="R14" s="55"/>
      <c r="S14" s="54"/>
      <c r="T14" s="97"/>
      <c r="U14" s="98"/>
      <c r="V14" s="100" t="str">
        <f>'Tacoma Composting'!J10</f>
        <v>Waxed Corrugated Cardboard</v>
      </c>
      <c r="W14" s="97"/>
      <c r="X14" s="100">
        <f>'Tacoma Composting'!E10</f>
        <v>1.8332721259383199E-5</v>
      </c>
      <c r="Y14" s="100"/>
      <c r="Z14" s="100">
        <f>'Tacoma Composting'!G10</f>
        <v>3.08565201440471E-5</v>
      </c>
      <c r="AA14" s="100"/>
      <c r="AB14" s="101">
        <f t="shared" ref="AB14:AB19" si="1">$AB$36*X14</f>
        <v>0.47749644117565848</v>
      </c>
      <c r="AC14" s="97"/>
      <c r="AD14" s="97"/>
      <c r="AI14" s="105"/>
    </row>
    <row r="15" spans="1:35" x14ac:dyDescent="0.25">
      <c r="A15" s="77">
        <v>2015</v>
      </c>
      <c r="B15" s="78" t="s">
        <v>12</v>
      </c>
      <c r="C15" s="79">
        <v>10</v>
      </c>
      <c r="D15" s="78" t="s">
        <v>118</v>
      </c>
      <c r="E15" s="80">
        <v>6.4459030976947603E-4</v>
      </c>
      <c r="F15" s="80">
        <v>1.0011847483608E-7</v>
      </c>
      <c r="G15" s="80">
        <v>5.2050273377601396E-4</v>
      </c>
      <c r="H15" s="81">
        <v>2</v>
      </c>
      <c r="I15" s="82"/>
      <c r="J15" s="83" t="str">
        <f>[1]MatList!D12</f>
        <v>Other Compostable Organics</v>
      </c>
      <c r="K15" s="84" t="str">
        <f>[1]MatList!C12</f>
        <v>Other Compostable</v>
      </c>
      <c r="L15" s="85" t="str">
        <f>[1]MatList!B12</f>
        <v>Other Compostables</v>
      </c>
      <c r="N15" s="55"/>
      <c r="O15" s="55"/>
      <c r="P15" s="55"/>
      <c r="Q15" s="55"/>
      <c r="R15" s="55"/>
      <c r="S15" s="54"/>
      <c r="T15" s="97"/>
      <c r="U15" s="98"/>
      <c r="V15" s="100" t="str">
        <f>'Tacoma Composting'!J11</f>
        <v>Pizza Boxes</v>
      </c>
      <c r="W15" s="97"/>
      <c r="X15" s="100">
        <f>'Tacoma Composting'!E11</f>
        <v>4.5761062396352202E-4</v>
      </c>
      <c r="Y15" s="100"/>
      <c r="Z15" s="100">
        <f>'Tacoma Composting'!G11</f>
        <v>4.7566891924701401E-4</v>
      </c>
      <c r="AA15" s="100"/>
      <c r="AB15" s="101">
        <f t="shared" si="1"/>
        <v>11.918985801135008</v>
      </c>
      <c r="AC15" s="97"/>
      <c r="AD15" s="97"/>
      <c r="AF15" s="102" t="s">
        <v>112</v>
      </c>
      <c r="AG15" s="102"/>
      <c r="AH15" s="102"/>
      <c r="AI15" s="102"/>
    </row>
    <row r="16" spans="1:35" ht="15.75" thickBot="1" x14ac:dyDescent="0.3">
      <c r="A16" s="77">
        <v>2015</v>
      </c>
      <c r="B16" s="78" t="s">
        <v>119</v>
      </c>
      <c r="C16" s="79">
        <v>11</v>
      </c>
      <c r="D16" s="78" t="s">
        <v>89</v>
      </c>
      <c r="E16" s="80">
        <v>1.1278863548765501E-3</v>
      </c>
      <c r="F16" s="80">
        <v>2.7411532591022801E-7</v>
      </c>
      <c r="G16" s="80">
        <v>8.6125659637312701E-4</v>
      </c>
      <c r="H16" s="81">
        <v>3</v>
      </c>
      <c r="I16" s="82"/>
      <c r="J16" s="83" t="str">
        <f>[1]MatList!D13</f>
        <v>Newspaper</v>
      </c>
      <c r="K16" s="84" t="str">
        <f>[1]MatList!C13</f>
        <v>Contaminants</v>
      </c>
      <c r="L16" s="85" t="str">
        <f>[1]MatList!B13</f>
        <v>Other Non-compostables</v>
      </c>
      <c r="N16" s="55"/>
      <c r="O16" s="55"/>
      <c r="P16" s="55"/>
      <c r="Q16" s="55"/>
      <c r="R16" s="55"/>
      <c r="S16" s="54"/>
      <c r="T16" s="97"/>
      <c r="U16" s="98"/>
      <c r="V16" s="100" t="str">
        <f>'Tacoma Composting'!J12</f>
        <v>Compostable Paper</v>
      </c>
      <c r="W16" s="97"/>
      <c r="X16" s="100">
        <f>'Tacoma Composting'!E12</f>
        <v>5.6139787267537201E-4</v>
      </c>
      <c r="Y16" s="100"/>
      <c r="Z16" s="100">
        <f>'Tacoma Composting'!G12</f>
        <v>3.17498187640268E-4</v>
      </c>
      <c r="AA16" s="100"/>
      <c r="AB16" s="101">
        <f t="shared" si="1"/>
        <v>14.622241973426185</v>
      </c>
      <c r="AC16" s="97"/>
      <c r="AD16" s="97"/>
      <c r="AF16" s="103" t="s">
        <v>93</v>
      </c>
      <c r="AG16" s="112">
        <f>AB7</f>
        <v>25097.901122103882</v>
      </c>
      <c r="AH16" s="112">
        <f>SUM(AB8:AB11)</f>
        <v>25097.901122103882</v>
      </c>
      <c r="AI16" s="105">
        <f t="shared" ref="AI16:AI20" si="2">AG16-AH16</f>
        <v>0</v>
      </c>
    </row>
    <row r="17" spans="1:35" x14ac:dyDescent="0.25">
      <c r="A17" s="77">
        <v>2015</v>
      </c>
      <c r="B17" s="78" t="s">
        <v>119</v>
      </c>
      <c r="C17" s="79">
        <v>12</v>
      </c>
      <c r="D17" s="78" t="s">
        <v>120</v>
      </c>
      <c r="E17" s="80">
        <v>8.0814088821936801E-5</v>
      </c>
      <c r="F17" s="80">
        <v>4.5741839912153601E-9</v>
      </c>
      <c r="G17" s="80">
        <v>1.11255814386613E-4</v>
      </c>
      <c r="H17" s="81">
        <v>3</v>
      </c>
      <c r="I17" s="82"/>
      <c r="J17" s="83" t="str">
        <f>[1]MatList!D14</f>
        <v>Uncoated Corrugated Cardboard/Kraft Paper</v>
      </c>
      <c r="K17" s="84" t="str">
        <f>[1]MatList!C14</f>
        <v>Contaminants</v>
      </c>
      <c r="L17" s="85" t="str">
        <f>[1]MatList!B14</f>
        <v>Other Non-compostables</v>
      </c>
      <c r="N17" s="55"/>
      <c r="O17" s="113" t="s">
        <v>121</v>
      </c>
      <c r="P17" s="114" t="s">
        <v>122</v>
      </c>
      <c r="Q17" s="55"/>
      <c r="R17" s="55"/>
      <c r="S17" s="54"/>
      <c r="T17" s="97"/>
      <c r="U17" s="98"/>
      <c r="V17" s="100" t="str">
        <f>'Tacoma Composting'!J13</f>
        <v>Pot. Comp. Single-use Food Service Paper</v>
      </c>
      <c r="W17" s="97"/>
      <c r="X17" s="100">
        <f>'Tacoma Composting'!E13</f>
        <v>1.5919235392080299E-4</v>
      </c>
      <c r="Y17" s="100"/>
      <c r="Z17" s="100">
        <f>'Tacoma Composting'!G13</f>
        <v>2.5101477775751999E-4</v>
      </c>
      <c r="AA17" s="100"/>
      <c r="AB17" s="101">
        <f t="shared" si="1"/>
        <v>4.1463447452272435</v>
      </c>
      <c r="AC17" s="97"/>
      <c r="AD17" s="97"/>
      <c r="AF17" s="103" t="s">
        <v>15</v>
      </c>
      <c r="AG17" s="112">
        <f>AB13</f>
        <v>54.354736432254839</v>
      </c>
      <c r="AH17" s="112">
        <f>SUM(AB14:AB19)</f>
        <v>54.354736432254839</v>
      </c>
      <c r="AI17" s="105">
        <f>AG17-AH17</f>
        <v>0</v>
      </c>
    </row>
    <row r="18" spans="1:35" x14ac:dyDescent="0.25">
      <c r="A18" s="77">
        <v>2015</v>
      </c>
      <c r="B18" s="78" t="s">
        <v>119</v>
      </c>
      <c r="C18" s="79">
        <v>13</v>
      </c>
      <c r="D18" s="78" t="s">
        <v>123</v>
      </c>
      <c r="E18" s="80">
        <v>2.17038231189568E-4</v>
      </c>
      <c r="F18" s="80">
        <v>1.01347804637415E-8</v>
      </c>
      <c r="G18" s="80">
        <v>1.65604858939573E-4</v>
      </c>
      <c r="H18" s="81">
        <v>3</v>
      </c>
      <c r="I18" s="82"/>
      <c r="J18" s="83" t="str">
        <f>[1]MatList!D15</f>
        <v>Mixed Recyclable Paper</v>
      </c>
      <c r="K18" s="84" t="str">
        <f>[1]MatList!C15</f>
        <v>Contaminants</v>
      </c>
      <c r="L18" s="85" t="str">
        <f>[1]MatList!B15</f>
        <v>Other Non-compostables</v>
      </c>
      <c r="N18" s="54"/>
      <c r="O18" s="115" t="str">
        <f>[1]Recoverabiliy!C3</f>
        <v>Contaminants</v>
      </c>
      <c r="P18" s="116">
        <f>SUMIF('Tacoma Composting'!$K$6:$K$28,O18,'Tacoma Composting'!$E$6:$E$28)</f>
        <v>3.4318885049865654E-2</v>
      </c>
      <c r="Q18" s="117"/>
      <c r="R18" s="118"/>
      <c r="S18" s="54"/>
      <c r="T18" s="97"/>
      <c r="U18" s="98"/>
      <c r="V18" s="100" t="str">
        <f>'Tacoma Composting'!J14</f>
        <v>Pot. Comp. Single-use Food Service Plastic</v>
      </c>
      <c r="W18" s="97"/>
      <c r="X18" s="100">
        <f>'Tacoma Composting'!E14</f>
        <v>2.45740325579835E-4</v>
      </c>
      <c r="Y18" s="100"/>
      <c r="Z18" s="100">
        <f>'Tacoma Composting'!G14</f>
        <v>2.6186744386496902E-4</v>
      </c>
      <c r="AA18" s="100"/>
      <c r="AB18" s="101">
        <f t="shared" si="1"/>
        <v>6.4005844662947071</v>
      </c>
      <c r="AC18" s="97"/>
      <c r="AD18" s="97"/>
      <c r="AF18" s="103" t="s">
        <v>90</v>
      </c>
      <c r="AG18" s="112">
        <f>AB21</f>
        <v>893.8741414638572</v>
      </c>
      <c r="AH18" s="112">
        <f>SUM(AB22:AB34)</f>
        <v>893.8741414638572</v>
      </c>
      <c r="AI18" s="105">
        <f t="shared" si="2"/>
        <v>0</v>
      </c>
    </row>
    <row r="19" spans="1:35" x14ac:dyDescent="0.25">
      <c r="A19" s="77">
        <v>2015</v>
      </c>
      <c r="B19" s="78" t="s">
        <v>119</v>
      </c>
      <c r="C19" s="79">
        <v>14</v>
      </c>
      <c r="D19" s="78" t="s">
        <v>124</v>
      </c>
      <c r="E19" s="80">
        <v>0</v>
      </c>
      <c r="F19" s="80">
        <v>0</v>
      </c>
      <c r="G19" s="80">
        <v>0</v>
      </c>
      <c r="H19" s="81">
        <v>3</v>
      </c>
      <c r="I19" s="82"/>
      <c r="J19" s="83" t="str">
        <f>[1]MatList!D16</f>
        <v>Recyclable Polycoated Paper</v>
      </c>
      <c r="K19" s="84" t="str">
        <f>[1]MatList!C16</f>
        <v>Contaminants</v>
      </c>
      <c r="L19" s="85" t="str">
        <f>[1]MatList!B16</f>
        <v>Other Non-compostables</v>
      </c>
      <c r="N19" s="54"/>
      <c r="O19" s="115" t="str">
        <f>[1]Recoverabiliy!C4</f>
        <v>Other Compostable</v>
      </c>
      <c r="P19" s="116">
        <f>SUMIF('Tacoma Composting'!$K$6:$K$28,O19,'Tacoma Composting'!$E$6:$E$28)</f>
        <v>6.4459030976947603E-4</v>
      </c>
      <c r="Q19" s="117"/>
      <c r="R19" s="118"/>
      <c r="S19" s="54"/>
      <c r="T19" s="97"/>
      <c r="U19" s="98"/>
      <c r="V19" s="100" t="str">
        <f>'Tacoma Composting'!J15</f>
        <v>Other Compostable Organics</v>
      </c>
      <c r="W19" s="97"/>
      <c r="X19" s="100">
        <f>'Tacoma Composting'!E15</f>
        <v>6.4459030976947603E-4</v>
      </c>
      <c r="Y19" s="100"/>
      <c r="Z19" s="100">
        <f>'Tacoma Composting'!G15</f>
        <v>5.2050273377601396E-4</v>
      </c>
      <c r="AA19" s="100"/>
      <c r="AB19" s="101">
        <f t="shared" si="1"/>
        <v>16.789083004996041</v>
      </c>
      <c r="AC19" s="97"/>
      <c r="AD19" s="97"/>
      <c r="AG19" s="112">
        <f>SUM(AG16:AG18)</f>
        <v>26046.129999999994</v>
      </c>
      <c r="AH19" s="112">
        <f>SUM(AH16:AH18)</f>
        <v>26046.129999999994</v>
      </c>
      <c r="AI19" s="105">
        <f t="shared" si="2"/>
        <v>0</v>
      </c>
    </row>
    <row r="20" spans="1:35" x14ac:dyDescent="0.25">
      <c r="A20" s="77">
        <v>2015</v>
      </c>
      <c r="B20" s="78" t="s">
        <v>119</v>
      </c>
      <c r="C20" s="79">
        <v>15</v>
      </c>
      <c r="D20" s="78" t="s">
        <v>125</v>
      </c>
      <c r="E20" s="80">
        <v>9.2201818446463902E-5</v>
      </c>
      <c r="F20" s="80">
        <v>5.2164924543569199E-9</v>
      </c>
      <c r="G20" s="80">
        <v>1.18810601352746E-4</v>
      </c>
      <c r="H20" s="81">
        <v>3</v>
      </c>
      <c r="I20" s="82"/>
      <c r="J20" s="83" t="str">
        <f>[1]MatList!D17</f>
        <v>Non-comp. Single-use Food Service Paper</v>
      </c>
      <c r="K20" s="84" t="str">
        <f>[1]MatList!C17</f>
        <v>Contaminants</v>
      </c>
      <c r="L20" s="85" t="str">
        <f>[1]MatList!B17</f>
        <v>Other Non-compostables</v>
      </c>
      <c r="N20" s="54"/>
      <c r="O20" s="115" t="str">
        <f>[1]Recoverabiliy!C5</f>
        <v>Compostable Plastic</v>
      </c>
      <c r="P20" s="116">
        <f>SUMIF('Tacoma Composting'!$K$6:$K$28,O20,'Tacoma Composting'!$E$6:$E$28)</f>
        <v>2.45740325579835E-4</v>
      </c>
      <c r="Q20" s="119"/>
      <c r="R20" s="120"/>
      <c r="S20" s="54"/>
      <c r="T20" s="97"/>
      <c r="U20" s="98"/>
      <c r="V20" s="97"/>
      <c r="W20" s="97"/>
      <c r="X20" s="97"/>
      <c r="Y20" s="97"/>
      <c r="Z20" s="97"/>
      <c r="AA20" s="97"/>
      <c r="AB20" s="97"/>
      <c r="AC20" s="97"/>
      <c r="AD20" s="97"/>
      <c r="AG20" s="112">
        <f>SUM(AB7,AB13,AB21)</f>
        <v>26046.129999999994</v>
      </c>
      <c r="AH20" s="112">
        <f>SUM(AB8:AB11,AB14:AB19,AB22:AB34)</f>
        <v>26046.129999999994</v>
      </c>
      <c r="AI20" s="105">
        <f t="shared" si="2"/>
        <v>0</v>
      </c>
    </row>
    <row r="21" spans="1:35" x14ac:dyDescent="0.25">
      <c r="A21" s="77">
        <v>2015</v>
      </c>
      <c r="B21" s="78" t="s">
        <v>119</v>
      </c>
      <c r="C21" s="79">
        <v>16</v>
      </c>
      <c r="D21" s="78" t="s">
        <v>126</v>
      </c>
      <c r="E21" s="80">
        <v>1.6846174634832099E-4</v>
      </c>
      <c r="F21" s="80">
        <v>7.4033725850171897E-9</v>
      </c>
      <c r="G21" s="80">
        <v>1.4154049349698899E-4</v>
      </c>
      <c r="H21" s="81">
        <v>3</v>
      </c>
      <c r="I21" s="82"/>
      <c r="J21" s="83" t="str">
        <f>[1]MatList!D18</f>
        <v>Recyclable Plastic</v>
      </c>
      <c r="K21" s="84" t="str">
        <f>[1]MatList!C18</f>
        <v>Contaminants</v>
      </c>
      <c r="L21" s="85" t="str">
        <f>[1]MatList!B18</f>
        <v>Other Non-compostables</v>
      </c>
      <c r="N21" s="54"/>
      <c r="O21" s="115" t="str">
        <f>[1]Recoverabiliy!C6</f>
        <v>Compostable Paper</v>
      </c>
      <c r="P21" s="116">
        <f>SUMIF('Tacoma Composting'!$K$6:$K$28,O21,'Tacoma Composting'!$E$6:$E$28)</f>
        <v>1.1965335718190804E-3</v>
      </c>
      <c r="Q21" s="121"/>
      <c r="R21" s="120"/>
      <c r="S21" s="54"/>
      <c r="T21" s="97"/>
      <c r="U21" s="106" t="str">
        <f>L16</f>
        <v>Other Non-compostables</v>
      </c>
      <c r="V21" s="107"/>
      <c r="W21" s="108">
        <f>SUM(X22:X34)</f>
        <v>3.4318885049865654E-2</v>
      </c>
      <c r="X21" s="109"/>
      <c r="Y21" s="110"/>
      <c r="Z21" s="110"/>
      <c r="AA21" s="110"/>
      <c r="AB21" s="111">
        <f>SUM(AB22:AB34)</f>
        <v>893.8741414638572</v>
      </c>
      <c r="AC21" s="97"/>
      <c r="AD21" s="97"/>
    </row>
    <row r="22" spans="1:35" x14ac:dyDescent="0.25">
      <c r="A22" s="77">
        <v>2015</v>
      </c>
      <c r="B22" s="78" t="s">
        <v>119</v>
      </c>
      <c r="C22" s="79">
        <v>17</v>
      </c>
      <c r="D22" s="78" t="s">
        <v>127</v>
      </c>
      <c r="E22" s="80">
        <v>2.0391166306297599E-5</v>
      </c>
      <c r="F22" s="80">
        <v>1.04107409370235E-10</v>
      </c>
      <c r="G22" s="80">
        <v>1.67844348263828E-5</v>
      </c>
      <c r="H22" s="81">
        <v>3</v>
      </c>
      <c r="I22" s="82"/>
      <c r="J22" s="83" t="str">
        <f>[1]MatList!D19</f>
        <v>Non-comp. Single-use Food Service Plastic</v>
      </c>
      <c r="K22" s="84" t="str">
        <f>[1]MatList!C19</f>
        <v>Contaminants</v>
      </c>
      <c r="L22" s="85" t="str">
        <f>[1]MatList!B19</f>
        <v>Other Non-compostables</v>
      </c>
      <c r="N22" s="54"/>
      <c r="O22" s="115" t="str">
        <f>[1]Recoverabiliy!C7</f>
        <v>Yard Waste</v>
      </c>
      <c r="P22" s="116">
        <f>SUMIF('Tacoma Composting'!$K$6:$K$28,O22,'Tacoma Composting'!$E$6:$E$28)</f>
        <v>0.9173532845233564</v>
      </c>
      <c r="Q22" s="120"/>
      <c r="R22" s="120"/>
      <c r="S22" s="54"/>
      <c r="T22" s="97"/>
      <c r="U22" s="98"/>
      <c r="V22" s="100" t="str">
        <f>'Tacoma Composting'!J16</f>
        <v>Newspaper</v>
      </c>
      <c r="W22" s="97"/>
      <c r="X22" s="100">
        <f>'Tacoma Composting'!E16</f>
        <v>1.1278863548765501E-3</v>
      </c>
      <c r="Y22" s="100"/>
      <c r="Z22" s="100">
        <f>'Tacoma Composting'!G16</f>
        <v>8.6125659637312701E-4</v>
      </c>
      <c r="AA22" s="100"/>
      <c r="AB22" s="101">
        <f t="shared" ref="AB22:AB34" si="3">$AB$36*X22</f>
        <v>29.377074624340754</v>
      </c>
      <c r="AC22" s="97"/>
      <c r="AD22" s="97"/>
    </row>
    <row r="23" spans="1:35" ht="15" customHeight="1" x14ac:dyDescent="0.25">
      <c r="A23" s="77">
        <v>2015</v>
      </c>
      <c r="B23" s="78" t="s">
        <v>119</v>
      </c>
      <c r="C23" s="79">
        <v>18</v>
      </c>
      <c r="D23" s="78" t="s">
        <v>128</v>
      </c>
      <c r="E23" s="80">
        <v>4.9118878249648597E-5</v>
      </c>
      <c r="F23" s="80">
        <v>3.9519541067361698E-10</v>
      </c>
      <c r="G23" s="80">
        <v>3.2701814340615398E-5</v>
      </c>
      <c r="H23" s="81">
        <v>3</v>
      </c>
      <c r="I23" s="82"/>
      <c r="J23" s="83" t="str">
        <f>[1]MatList!D20</f>
        <v>Clean Shopping/Dry Cleaning Bags</v>
      </c>
      <c r="K23" s="84" t="str">
        <f>[1]MatList!C20</f>
        <v>Contaminants</v>
      </c>
      <c r="L23" s="85" t="str">
        <f>[1]MatList!B20</f>
        <v>Other Non-compostables</v>
      </c>
      <c r="N23" s="55"/>
      <c r="O23" s="115" t="str">
        <f>[1]Recoverabiliy!C8</f>
        <v>Food Waste</v>
      </c>
      <c r="P23" s="116">
        <f>SUMIF('Tacoma Composting'!$K$6:$K$28,O23,'Tacoma Composting'!$E$6:$E$28)</f>
        <v>4.6240966219609561E-2</v>
      </c>
      <c r="Q23" s="120"/>
      <c r="R23" s="120"/>
      <c r="S23" s="54"/>
      <c r="T23" s="97"/>
      <c r="U23" s="98"/>
      <c r="V23" s="100" t="str">
        <f>'Tacoma Composting'!J17</f>
        <v>Uncoated Corrugated Cardboard/Kraft Paper</v>
      </c>
      <c r="W23" s="97"/>
      <c r="X23" s="100">
        <f>'Tacoma Composting'!E17</f>
        <v>8.0814088821936801E-5</v>
      </c>
      <c r="Y23" s="100"/>
      <c r="Z23" s="100">
        <f>'Tacoma Composting'!G17</f>
        <v>1.11255814386613E-4</v>
      </c>
      <c r="AA23" s="100"/>
      <c r="AB23" s="101">
        <f t="shared" si="3"/>
        <v>2.1048942632877123</v>
      </c>
      <c r="AC23" s="97"/>
      <c r="AD23" s="97"/>
    </row>
    <row r="24" spans="1:35" ht="14.45" customHeight="1" thickBot="1" x14ac:dyDescent="0.3">
      <c r="A24" s="77">
        <v>2015</v>
      </c>
      <c r="B24" s="78" t="s">
        <v>119</v>
      </c>
      <c r="C24" s="79">
        <v>19</v>
      </c>
      <c r="D24" s="78" t="s">
        <v>129</v>
      </c>
      <c r="E24" s="80">
        <v>3.1457276089832302E-4</v>
      </c>
      <c r="F24" s="80">
        <v>1.2121663087795701E-8</v>
      </c>
      <c r="G24" s="80">
        <v>1.81111908380295E-4</v>
      </c>
      <c r="H24" s="81">
        <v>3</v>
      </c>
      <c r="I24" s="82"/>
      <c r="J24" s="83" t="str">
        <f>[1]MatList!D21</f>
        <v>Other Non-compostable Film</v>
      </c>
      <c r="K24" s="84" t="str">
        <f>[1]MatList!C21</f>
        <v>Contaminants</v>
      </c>
      <c r="L24" s="85" t="str">
        <f>[1]MatList!B21</f>
        <v>Other Non-compostables</v>
      </c>
      <c r="N24" s="55"/>
      <c r="O24" s="122" t="s">
        <v>29</v>
      </c>
      <c r="P24" s="123">
        <f>SUM(P18:P23)</f>
        <v>1</v>
      </c>
      <c r="Q24" s="120"/>
      <c r="R24" s="120"/>
      <c r="S24" s="54"/>
      <c r="T24" s="97"/>
      <c r="U24" s="97"/>
      <c r="V24" s="100" t="str">
        <f>'Tacoma Composting'!J18</f>
        <v>Mixed Recyclable Paper</v>
      </c>
      <c r="W24" s="97"/>
      <c r="X24" s="100">
        <f>'Tacoma Composting'!E18</f>
        <v>2.17038231189568E-4</v>
      </c>
      <c r="Y24" s="100"/>
      <c r="Z24" s="100">
        <f>'Tacoma Composting'!G18</f>
        <v>1.65604858939573E-4</v>
      </c>
      <c r="AA24" s="100"/>
      <c r="AB24" s="101">
        <f t="shared" si="3"/>
        <v>5.6530059845335421</v>
      </c>
      <c r="AC24" s="97"/>
      <c r="AD24" s="97"/>
    </row>
    <row r="25" spans="1:35" x14ac:dyDescent="0.25">
      <c r="A25" s="77">
        <v>2015</v>
      </c>
      <c r="B25" s="78" t="s">
        <v>119</v>
      </c>
      <c r="C25" s="79">
        <v>20</v>
      </c>
      <c r="D25" s="78" t="s">
        <v>130</v>
      </c>
      <c r="E25" s="80">
        <v>3.7672168273907399E-4</v>
      </c>
      <c r="F25" s="80">
        <v>8.2260978287455901E-8</v>
      </c>
      <c r="G25" s="80">
        <v>4.7180532401649799E-4</v>
      </c>
      <c r="H25" s="81">
        <v>3</v>
      </c>
      <c r="I25" s="82"/>
      <c r="J25" s="83" t="str">
        <f>[1]MatList!D22</f>
        <v>Recyclable Glass</v>
      </c>
      <c r="K25" s="84" t="str">
        <f>[1]MatList!C22</f>
        <v>Contaminants</v>
      </c>
      <c r="L25" s="85" t="str">
        <f>[1]MatList!B22</f>
        <v>Other Non-compostables</v>
      </c>
      <c r="N25" s="55"/>
      <c r="O25" s="55"/>
      <c r="P25" s="55"/>
      <c r="Q25" s="120"/>
      <c r="R25" s="120"/>
      <c r="S25" s="54"/>
      <c r="T25" s="97"/>
      <c r="U25" s="98"/>
      <c r="V25" s="100" t="str">
        <f>'Tacoma Composting'!J19</f>
        <v>Recyclable Polycoated Paper</v>
      </c>
      <c r="W25" s="97"/>
      <c r="X25" s="100">
        <f>'Tacoma Composting'!E19</f>
        <v>0</v>
      </c>
      <c r="Y25" s="100"/>
      <c r="Z25" s="100">
        <f>'Tacoma Composting'!G19</f>
        <v>0</v>
      </c>
      <c r="AA25" s="100"/>
      <c r="AB25" s="101">
        <f t="shared" si="3"/>
        <v>0</v>
      </c>
      <c r="AC25" s="124"/>
      <c r="AD25" s="125"/>
    </row>
    <row r="26" spans="1:35" x14ac:dyDescent="0.25">
      <c r="A26" s="77">
        <v>2015</v>
      </c>
      <c r="B26" s="78" t="s">
        <v>119</v>
      </c>
      <c r="C26" s="79">
        <v>21</v>
      </c>
      <c r="D26" s="78" t="s">
        <v>131</v>
      </c>
      <c r="E26" s="80">
        <v>1.15577738818121E-4</v>
      </c>
      <c r="F26" s="80">
        <v>1.6117398055164799E-9</v>
      </c>
      <c r="G26" s="80">
        <v>6.6040958557721802E-5</v>
      </c>
      <c r="H26" s="81">
        <v>3</v>
      </c>
      <c r="I26" s="82"/>
      <c r="J26" s="83" t="str">
        <f>[1]MatList!D23</f>
        <v>Recyclable Metal</v>
      </c>
      <c r="K26" s="84" t="str">
        <f>[1]MatList!C23</f>
        <v>Contaminants</v>
      </c>
      <c r="L26" s="85" t="str">
        <f>[1]MatList!B23</f>
        <v>Other Non-compostables</v>
      </c>
      <c r="N26" s="55"/>
      <c r="O26" s="55"/>
      <c r="P26" s="55"/>
      <c r="Q26" s="120"/>
      <c r="R26" s="120"/>
      <c r="S26" s="54"/>
      <c r="T26" s="97"/>
      <c r="U26" s="98"/>
      <c r="V26" s="100" t="str">
        <f>'Tacoma Composting'!J20</f>
        <v>Non-comp. Single-use Food Service Paper</v>
      </c>
      <c r="W26" s="97"/>
      <c r="X26" s="100">
        <f>'Tacoma Composting'!E20</f>
        <v>9.2201818446463902E-5</v>
      </c>
      <c r="Y26" s="100"/>
      <c r="Z26" s="100">
        <f>'Tacoma Composting'!G20</f>
        <v>1.18810601352746E-4</v>
      </c>
      <c r="AA26" s="100"/>
      <c r="AB26" s="101">
        <f t="shared" si="3"/>
        <v>2.4015005494929964</v>
      </c>
      <c r="AC26" s="126"/>
      <c r="AD26" s="126"/>
    </row>
    <row r="27" spans="1:35" x14ac:dyDescent="0.25">
      <c r="A27" s="77">
        <v>2015</v>
      </c>
      <c r="B27" s="78" t="s">
        <v>119</v>
      </c>
      <c r="C27" s="79">
        <v>22</v>
      </c>
      <c r="D27" s="78" t="s">
        <v>132</v>
      </c>
      <c r="E27" s="80">
        <v>2.3853408889827499E-3</v>
      </c>
      <c r="F27" s="80">
        <v>1.6345057234126301E-6</v>
      </c>
      <c r="G27" s="80">
        <v>2.1030961343214099E-3</v>
      </c>
      <c r="H27" s="81">
        <v>3</v>
      </c>
      <c r="I27" s="82"/>
      <c r="J27" s="83" t="str">
        <f>[1]MatList!D24</f>
        <v>Animal Excrement And Litter</v>
      </c>
      <c r="K27" s="84" t="str">
        <f>[1]MatList!C24</f>
        <v>Contaminants</v>
      </c>
      <c r="L27" s="85" t="str">
        <f>[1]MatList!B24</f>
        <v>Other Non-compostables</v>
      </c>
      <c r="N27" s="55"/>
      <c r="O27" s="55"/>
      <c r="P27" s="55"/>
      <c r="Q27" s="120"/>
      <c r="R27" s="120"/>
      <c r="S27" s="54"/>
      <c r="T27" s="97"/>
      <c r="U27" s="98"/>
      <c r="V27" s="100" t="str">
        <f>'Tacoma Composting'!J21</f>
        <v>Recyclable Plastic</v>
      </c>
      <c r="W27" s="97"/>
      <c r="X27" s="100">
        <f>'Tacoma Composting'!E21</f>
        <v>1.6846174634832099E-4</v>
      </c>
      <c r="Y27" s="100"/>
      <c r="Z27" s="100">
        <f>'Tacoma Composting'!G21</f>
        <v>1.4154049349698899E-4</v>
      </c>
      <c r="AA27" s="100"/>
      <c r="AB27" s="101">
        <f t="shared" si="3"/>
        <v>4.3877765454153934</v>
      </c>
      <c r="AC27" s="126"/>
      <c r="AD27" s="126"/>
    </row>
    <row r="28" spans="1:35" x14ac:dyDescent="0.25">
      <c r="A28" s="127">
        <v>2015</v>
      </c>
      <c r="B28" s="128" t="s">
        <v>119</v>
      </c>
      <c r="C28" s="128">
        <v>23</v>
      </c>
      <c r="D28" s="128" t="s">
        <v>133</v>
      </c>
      <c r="E28" s="129">
        <v>2.9370759694188599E-2</v>
      </c>
      <c r="F28" s="129">
        <v>5.1858366186466397E-4</v>
      </c>
      <c r="G28" s="129">
        <v>3.7460650736437097E-2</v>
      </c>
      <c r="H28" s="130">
        <v>3</v>
      </c>
      <c r="I28" s="57"/>
      <c r="J28" s="131" t="str">
        <f>[1]MatList!D25</f>
        <v>Other Materials</v>
      </c>
      <c r="K28" s="132" t="str">
        <f>[1]MatList!C25</f>
        <v>Contaminants</v>
      </c>
      <c r="L28" s="133" t="str">
        <f>[1]MatList!B25</f>
        <v>Other Non-compostables</v>
      </c>
      <c r="N28" s="55"/>
      <c r="O28" s="55"/>
      <c r="P28" s="55"/>
      <c r="Q28" s="120"/>
      <c r="R28" s="120"/>
      <c r="S28" s="54"/>
      <c r="T28" s="97"/>
      <c r="U28" s="98"/>
      <c r="V28" s="100" t="str">
        <f>'Tacoma Composting'!J22</f>
        <v>Non-comp. Single-use Food Service Plastic</v>
      </c>
      <c r="W28" s="97"/>
      <c r="X28" s="100">
        <f>'Tacoma Composting'!E22</f>
        <v>2.0391166306297599E-5</v>
      </c>
      <c r="Y28" s="100"/>
      <c r="Z28" s="100">
        <f>'Tacoma Composting'!G22</f>
        <v>1.67844348263828E-5</v>
      </c>
      <c r="AA28" s="100"/>
      <c r="AB28" s="101">
        <f t="shared" si="3"/>
        <v>0.53111096846544703</v>
      </c>
      <c r="AC28" s="126"/>
      <c r="AD28" s="126"/>
    </row>
    <row r="29" spans="1:35" ht="15.75" thickBot="1" x14ac:dyDescent="0.3">
      <c r="A29" s="57"/>
      <c r="B29" s="57"/>
      <c r="C29" s="57"/>
      <c r="D29" s="57"/>
      <c r="E29" s="134"/>
      <c r="F29" s="134"/>
      <c r="G29" s="134"/>
      <c r="H29" s="57"/>
      <c r="I29" s="57"/>
      <c r="J29" s="57"/>
      <c r="K29" s="84"/>
      <c r="L29" s="57"/>
      <c r="N29" s="55"/>
      <c r="O29" s="55"/>
      <c r="P29" s="55"/>
      <c r="Q29" s="135"/>
      <c r="R29" s="135"/>
      <c r="S29" s="54"/>
      <c r="T29" s="97"/>
      <c r="U29" s="98"/>
      <c r="V29" s="100" t="str">
        <f>'Tacoma Composting'!J23</f>
        <v>Clean Shopping/Dry Cleaning Bags</v>
      </c>
      <c r="W29" s="97"/>
      <c r="X29" s="100">
        <f>'Tacoma Composting'!E23</f>
        <v>4.9118878249648597E-5</v>
      </c>
      <c r="Y29" s="100"/>
      <c r="Z29" s="100">
        <f>'Tacoma Composting'!G23</f>
        <v>3.2701814340615398E-5</v>
      </c>
      <c r="AA29" s="100"/>
      <c r="AB29" s="101">
        <f t="shared" si="3"/>
        <v>1.2793566883445198</v>
      </c>
      <c r="AC29" s="126"/>
      <c r="AD29" s="126"/>
    </row>
    <row r="30" spans="1:35" x14ac:dyDescent="0.25">
      <c r="N30" s="55"/>
      <c r="O30" s="113" t="s">
        <v>121</v>
      </c>
      <c r="P30" s="136" t="s">
        <v>134</v>
      </c>
      <c r="Q30" s="55"/>
      <c r="R30" s="137"/>
      <c r="S30" s="54"/>
      <c r="T30" s="97"/>
      <c r="U30" s="98"/>
      <c r="V30" s="100" t="str">
        <f>'Tacoma Composting'!J24</f>
        <v>Other Non-compostable Film</v>
      </c>
      <c r="W30" s="97"/>
      <c r="X30" s="100">
        <f>'Tacoma Composting'!E24</f>
        <v>3.1457276089832302E-4</v>
      </c>
      <c r="Y30" s="100"/>
      <c r="Z30" s="100">
        <f>'Tacoma Composting'!G24</f>
        <v>1.81111908380295E-4</v>
      </c>
      <c r="AA30" s="100"/>
      <c r="AB30" s="101">
        <f t="shared" si="3"/>
        <v>8.1934030248166376</v>
      </c>
      <c r="AC30" s="126"/>
      <c r="AD30" s="126"/>
    </row>
    <row r="31" spans="1:35" x14ac:dyDescent="0.25">
      <c r="F31" s="138"/>
      <c r="G31" s="138"/>
      <c r="N31" s="55"/>
      <c r="O31" s="115" t="s">
        <v>93</v>
      </c>
      <c r="P31" s="116">
        <f>SUMIF('Tacoma Composting'!$L$6:$L$28,O31,'Tacoma Composting'!$E$6:$E$28)</f>
        <v>0.96359425074296601</v>
      </c>
      <c r="Q31" s="55"/>
      <c r="R31" s="139"/>
      <c r="S31" s="54"/>
      <c r="T31" s="97"/>
      <c r="U31" s="98"/>
      <c r="V31" s="100" t="str">
        <f>'Tacoma Composting'!J25</f>
        <v>Recyclable Glass</v>
      </c>
      <c r="W31" s="97"/>
      <c r="X31" s="100">
        <f>'Tacoma Composting'!E25</f>
        <v>3.7672168273907399E-4</v>
      </c>
      <c r="Y31" s="100"/>
      <c r="Z31" s="100">
        <f>'Tacoma Composting'!G25</f>
        <v>4.7180532401649799E-4</v>
      </c>
      <c r="AA31" s="100"/>
      <c r="AB31" s="101">
        <f t="shared" si="3"/>
        <v>9.8121419224406754</v>
      </c>
      <c r="AC31" s="124"/>
      <c r="AD31" s="126"/>
    </row>
    <row r="32" spans="1:35" x14ac:dyDescent="0.25">
      <c r="A32" s="102" t="s">
        <v>112</v>
      </c>
      <c r="B32" s="102"/>
      <c r="C32" s="102"/>
      <c r="D32" s="102"/>
      <c r="E32" s="102"/>
      <c r="F32" s="102"/>
      <c r="G32" s="102"/>
      <c r="H32" s="102"/>
      <c r="I32" s="102"/>
      <c r="J32" s="102"/>
      <c r="K32" s="102"/>
      <c r="N32" s="54"/>
      <c r="O32" s="115" t="s">
        <v>15</v>
      </c>
      <c r="P32" s="116">
        <f>SUMIF('Tacoma Composting'!$L$6:$L$28,O32,'Tacoma Composting'!$E$6:$E$28)</f>
        <v>2.0868642071683913E-3</v>
      </c>
      <c r="Q32" s="55"/>
      <c r="R32" s="55"/>
      <c r="S32" s="54"/>
      <c r="T32" s="97"/>
      <c r="U32" s="97"/>
      <c r="V32" s="100" t="str">
        <f>'Tacoma Composting'!J26</f>
        <v>Recyclable Metal</v>
      </c>
      <c r="W32" s="97"/>
      <c r="X32" s="100">
        <f>'Tacoma Composting'!E26</f>
        <v>1.15577738818121E-4</v>
      </c>
      <c r="Y32" s="100"/>
      <c r="Z32" s="100">
        <f>'Tacoma Composting'!G26</f>
        <v>6.6040958557721802E-5</v>
      </c>
      <c r="AA32" s="100"/>
      <c r="AB32" s="101">
        <f t="shared" si="3"/>
        <v>3.0103528103628259</v>
      </c>
      <c r="AC32" s="126"/>
      <c r="AD32" s="126"/>
    </row>
    <row r="33" spans="1:35" x14ac:dyDescent="0.25">
      <c r="A33" s="140" t="s">
        <v>101</v>
      </c>
      <c r="B33" s="141"/>
      <c r="C33" s="141"/>
      <c r="D33" s="141"/>
      <c r="E33" s="141"/>
      <c r="F33" s="141"/>
      <c r="G33" s="141"/>
      <c r="H33" s="141"/>
      <c r="I33" s="141"/>
      <c r="J33" s="57"/>
      <c r="K33" s="142">
        <f>SUM(E6:E28)</f>
        <v>1.0000000000000002</v>
      </c>
      <c r="N33" s="54"/>
      <c r="O33" s="115" t="s">
        <v>90</v>
      </c>
      <c r="P33" s="116">
        <f>SUMIF('Tacoma Composting'!$L$6:$L$28,O33,'Tacoma Composting'!$E$6:$E$28)</f>
        <v>3.4318885049865654E-2</v>
      </c>
      <c r="Q33" s="55"/>
      <c r="R33" s="55"/>
      <c r="S33" s="54"/>
      <c r="T33" s="97"/>
      <c r="U33" s="97"/>
      <c r="V33" s="100" t="str">
        <f>'Tacoma Composting'!J27</f>
        <v>Animal Excrement And Litter</v>
      </c>
      <c r="W33" s="97"/>
      <c r="X33" s="100">
        <f>'Tacoma Composting'!E27</f>
        <v>2.3853408889827499E-3</v>
      </c>
      <c r="Y33" s="100"/>
      <c r="Z33" s="100">
        <f>'Tacoma Composting'!G27</f>
        <v>2.1030961343214099E-3</v>
      </c>
      <c r="AA33" s="100"/>
      <c r="AB33" s="101">
        <f t="shared" si="3"/>
        <v>62.128898888760268</v>
      </c>
      <c r="AC33" s="126"/>
      <c r="AD33" s="126"/>
    </row>
    <row r="34" spans="1:35" ht="15.75" thickBot="1" x14ac:dyDescent="0.3">
      <c r="A34" s="140" t="s">
        <v>102</v>
      </c>
      <c r="B34" s="140" t="s">
        <v>0</v>
      </c>
      <c r="C34" s="140" t="s">
        <v>1</v>
      </c>
      <c r="D34" s="140" t="s">
        <v>2</v>
      </c>
      <c r="E34" s="143" t="s">
        <v>103</v>
      </c>
      <c r="F34" s="143" t="s">
        <v>104</v>
      </c>
      <c r="G34" s="143" t="s">
        <v>105</v>
      </c>
      <c r="H34" s="140" t="s">
        <v>106</v>
      </c>
      <c r="I34" s="140" t="s">
        <v>106</v>
      </c>
      <c r="J34" s="144" t="s">
        <v>135</v>
      </c>
      <c r="K34" s="142">
        <f>SUM(E35:E57)</f>
        <v>1.0000000000000002</v>
      </c>
      <c r="N34" s="54"/>
      <c r="O34" s="122" t="s">
        <v>29</v>
      </c>
      <c r="P34" s="145">
        <f>SUM(P31:P33)</f>
        <v>1</v>
      </c>
      <c r="Q34" s="55"/>
      <c r="R34" s="55"/>
      <c r="S34" s="54"/>
      <c r="T34" s="97"/>
      <c r="U34" s="97"/>
      <c r="V34" s="100" t="str">
        <f>'Tacoma Composting'!J28</f>
        <v>Other Materials</v>
      </c>
      <c r="W34" s="97"/>
      <c r="X34" s="100">
        <f>'Tacoma Composting'!E28</f>
        <v>2.9370759694188599E-2</v>
      </c>
      <c r="Y34" s="100"/>
      <c r="Z34" s="100">
        <f>'Tacoma Composting'!G28</f>
        <v>3.7460650736437097E-2</v>
      </c>
      <c r="AA34" s="100"/>
      <c r="AB34" s="101">
        <f t="shared" si="3"/>
        <v>764.99462519359645</v>
      </c>
      <c r="AC34" s="126"/>
      <c r="AD34" s="126"/>
    </row>
    <row r="35" spans="1:35" x14ac:dyDescent="0.25">
      <c r="A35" s="141">
        <v>2015</v>
      </c>
      <c r="B35" s="141" t="s">
        <v>93</v>
      </c>
      <c r="C35" s="141">
        <v>1</v>
      </c>
      <c r="D35" s="141" t="s">
        <v>109</v>
      </c>
      <c r="E35" s="146">
        <v>3.7136851478158199E-2</v>
      </c>
      <c r="F35" s="146">
        <v>1.19729440916276E-4</v>
      </c>
      <c r="G35" s="146">
        <v>1.79997461191947E-2</v>
      </c>
      <c r="H35" s="141">
        <v>1</v>
      </c>
      <c r="I35" s="141">
        <v>1</v>
      </c>
      <c r="J35" s="134">
        <f t="shared" ref="J35:J57" si="4">E35-E6</f>
        <v>0</v>
      </c>
      <c r="N35" s="54"/>
      <c r="O35" s="54"/>
      <c r="P35" s="54"/>
      <c r="Q35" s="55"/>
      <c r="R35" s="55"/>
      <c r="S35" s="54"/>
      <c r="T35" s="97"/>
      <c r="U35" s="98"/>
      <c r="V35" s="97"/>
      <c r="W35" s="97"/>
      <c r="X35" s="97"/>
      <c r="Y35" s="97"/>
      <c r="Z35" s="97"/>
      <c r="AA35" s="97"/>
      <c r="AB35" s="97"/>
      <c r="AC35" s="126"/>
      <c r="AD35" s="125"/>
    </row>
    <row r="36" spans="1:35" x14ac:dyDescent="0.25">
      <c r="A36" s="141">
        <v>2015</v>
      </c>
      <c r="B36" s="141" t="s">
        <v>93</v>
      </c>
      <c r="C36" s="141">
        <v>2</v>
      </c>
      <c r="D36" s="141" t="s">
        <v>110</v>
      </c>
      <c r="E36" s="146">
        <v>9.1041147414513603E-3</v>
      </c>
      <c r="F36" s="146">
        <v>6.3995867356121401E-6</v>
      </c>
      <c r="G36" s="146">
        <v>4.1614230374037702E-3</v>
      </c>
      <c r="H36" s="141">
        <v>1</v>
      </c>
      <c r="I36" s="141">
        <v>1</v>
      </c>
      <c r="J36" s="134">
        <f t="shared" si="4"/>
        <v>0</v>
      </c>
      <c r="N36" s="54"/>
      <c r="O36" s="55"/>
      <c r="P36" s="55"/>
      <c r="Q36" s="55"/>
      <c r="R36" s="55"/>
      <c r="S36" s="54"/>
      <c r="V36" s="148" t="s">
        <v>77</v>
      </c>
      <c r="W36" s="98"/>
      <c r="X36" s="149">
        <v>1</v>
      </c>
      <c r="Y36" s="126"/>
      <c r="Z36" s="98"/>
      <c r="AA36" s="150"/>
      <c r="AB36" s="151">
        <f>E2</f>
        <v>26046.129999999997</v>
      </c>
      <c r="AC36" s="97"/>
    </row>
    <row r="37" spans="1:35" ht="19.5" thickBot="1" x14ac:dyDescent="0.35">
      <c r="A37" s="141">
        <v>2015</v>
      </c>
      <c r="B37" s="141" t="s">
        <v>93</v>
      </c>
      <c r="C37" s="141">
        <v>3</v>
      </c>
      <c r="D37" s="141" t="s">
        <v>111</v>
      </c>
      <c r="E37" s="146">
        <v>0.91190697298677104</v>
      </c>
      <c r="F37" s="146">
        <v>6.1017290819262297E-4</v>
      </c>
      <c r="G37" s="146">
        <v>4.06342607154596E-2</v>
      </c>
      <c r="H37" s="141">
        <v>1</v>
      </c>
      <c r="I37" s="141">
        <v>1</v>
      </c>
      <c r="J37" s="134">
        <f t="shared" si="4"/>
        <v>0</v>
      </c>
      <c r="N37" s="54"/>
      <c r="O37" s="55"/>
      <c r="P37" s="55"/>
      <c r="Q37" s="55"/>
      <c r="R37" s="55"/>
      <c r="S37" s="54"/>
      <c r="T37" s="152"/>
      <c r="U37" s="153"/>
      <c r="V37" s="154" t="s">
        <v>76</v>
      </c>
      <c r="W37" s="154"/>
      <c r="X37" s="155"/>
      <c r="Y37" s="154"/>
      <c r="Z37" s="155"/>
      <c r="AA37" s="155"/>
      <c r="AB37" s="155">
        <f>C2</f>
        <v>180</v>
      </c>
      <c r="AC37" s="156"/>
      <c r="AD37" s="153"/>
    </row>
    <row r="38" spans="1:35" x14ac:dyDescent="0.25">
      <c r="A38" s="141">
        <v>2015</v>
      </c>
      <c r="B38" s="141" t="s">
        <v>93</v>
      </c>
      <c r="C38" s="141">
        <v>4</v>
      </c>
      <c r="D38" s="141" t="s">
        <v>42</v>
      </c>
      <c r="E38" s="146">
        <v>5.44631153658538E-3</v>
      </c>
      <c r="F38" s="146">
        <v>2.15245220162814E-5</v>
      </c>
      <c r="G38" s="146">
        <v>7.6318998086392599E-3</v>
      </c>
      <c r="H38" s="141">
        <v>1</v>
      </c>
      <c r="I38" s="141">
        <v>1</v>
      </c>
      <c r="J38" s="134">
        <f t="shared" si="4"/>
        <v>0</v>
      </c>
      <c r="N38" s="54"/>
      <c r="O38" s="55"/>
      <c r="P38" s="55"/>
      <c r="Q38" s="55"/>
      <c r="R38" s="55"/>
      <c r="S38" s="54"/>
      <c r="T38" s="97"/>
      <c r="U38" s="157" t="s">
        <v>75</v>
      </c>
      <c r="V38" s="158"/>
      <c r="W38" s="159"/>
      <c r="X38" s="159"/>
      <c r="Y38" s="159"/>
      <c r="Z38" s="159"/>
      <c r="AA38" s="159"/>
      <c r="AB38" s="159"/>
      <c r="AC38" s="159"/>
      <c r="AD38" s="159"/>
    </row>
    <row r="39" spans="1:35" x14ac:dyDescent="0.25">
      <c r="A39" s="141">
        <v>2015</v>
      </c>
      <c r="B39" s="141" t="s">
        <v>12</v>
      </c>
      <c r="C39" s="141">
        <v>5</v>
      </c>
      <c r="D39" s="141" t="s">
        <v>113</v>
      </c>
      <c r="E39" s="146">
        <v>1.8332721259383199E-5</v>
      </c>
      <c r="F39" s="146">
        <v>3.5185367297049398E-10</v>
      </c>
      <c r="G39" s="146">
        <v>3.08565201440471E-5</v>
      </c>
      <c r="H39" s="141">
        <v>2</v>
      </c>
      <c r="I39" s="141">
        <v>1</v>
      </c>
      <c r="J39" s="134">
        <f t="shared" si="4"/>
        <v>0</v>
      </c>
      <c r="N39" s="54"/>
      <c r="O39" s="55"/>
      <c r="P39" s="55"/>
      <c r="Q39" s="55"/>
      <c r="R39" s="55"/>
      <c r="S39" s="54"/>
      <c r="T39" s="97"/>
      <c r="U39" s="157" t="s">
        <v>74</v>
      </c>
      <c r="V39" s="158"/>
      <c r="W39" s="159"/>
      <c r="X39" s="159"/>
      <c r="Y39" s="159"/>
      <c r="Z39" s="159"/>
      <c r="AA39" s="159"/>
      <c r="AB39" s="159"/>
      <c r="AC39" s="159"/>
      <c r="AD39" s="159"/>
    </row>
    <row r="40" spans="1:35" ht="12.75" x14ac:dyDescent="0.2">
      <c r="A40" s="141">
        <v>2015</v>
      </c>
      <c r="B40" s="141" t="s">
        <v>12</v>
      </c>
      <c r="C40" s="141">
        <v>6</v>
      </c>
      <c r="D40" s="141" t="s">
        <v>114</v>
      </c>
      <c r="E40" s="146">
        <v>4.5761062396352202E-4</v>
      </c>
      <c r="F40" s="146">
        <v>8.3613758460333005E-8</v>
      </c>
      <c r="G40" s="146">
        <v>4.7566891924701401E-4</v>
      </c>
      <c r="H40" s="141">
        <v>2</v>
      </c>
      <c r="I40" s="141">
        <v>1</v>
      </c>
      <c r="J40" s="134">
        <f t="shared" si="4"/>
        <v>0</v>
      </c>
      <c r="N40" s="54"/>
      <c r="O40" s="55"/>
      <c r="P40" s="55"/>
      <c r="Q40" s="55"/>
      <c r="R40" s="55"/>
      <c r="S40" s="54"/>
      <c r="T40" s="160"/>
      <c r="U40" s="160"/>
      <c r="V40" s="160">
        <f>ROWS(V7:V34)-COUNTBLANK(V7:V34)</f>
        <v>23</v>
      </c>
      <c r="W40" s="160"/>
      <c r="X40" s="160"/>
      <c r="Y40" s="160"/>
      <c r="Z40" s="160"/>
      <c r="AA40" s="160"/>
      <c r="AB40" s="160"/>
      <c r="AC40" s="160"/>
      <c r="AD40" s="160"/>
    </row>
    <row r="41" spans="1:35" ht="13.5" thickBot="1" x14ac:dyDescent="0.25">
      <c r="A41" s="141">
        <v>2015</v>
      </c>
      <c r="B41" s="141" t="s">
        <v>12</v>
      </c>
      <c r="C41" s="141">
        <v>7</v>
      </c>
      <c r="D41" s="141" t="s">
        <v>115</v>
      </c>
      <c r="E41" s="146">
        <v>5.6139787267537201E-4</v>
      </c>
      <c r="F41" s="146">
        <v>3.7252094550070699E-8</v>
      </c>
      <c r="G41" s="146">
        <v>3.17498187640268E-4</v>
      </c>
      <c r="H41" s="141">
        <v>2</v>
      </c>
      <c r="I41" s="141">
        <v>1</v>
      </c>
      <c r="J41" s="134">
        <f t="shared" si="4"/>
        <v>0</v>
      </c>
      <c r="N41" s="54"/>
      <c r="O41" s="55"/>
      <c r="P41" s="55"/>
      <c r="Q41" s="55"/>
      <c r="R41" s="55"/>
      <c r="S41" s="54"/>
      <c r="T41" s="160"/>
      <c r="U41" s="160"/>
      <c r="V41" s="102" t="s">
        <v>112</v>
      </c>
      <c r="W41" s="160"/>
      <c r="X41" s="161">
        <f>SUM(X8:X11,X14:X19,X22:X34)</f>
        <v>1.0000000000000002</v>
      </c>
      <c r="Y41" s="160"/>
      <c r="Z41" s="160"/>
      <c r="AA41" s="160"/>
      <c r="AB41" s="160"/>
      <c r="AC41" s="160"/>
      <c r="AD41" s="160"/>
    </row>
    <row r="42" spans="1:35" ht="12.75" x14ac:dyDescent="0.2">
      <c r="A42" s="141">
        <v>2015</v>
      </c>
      <c r="B42" s="141" t="s">
        <v>12</v>
      </c>
      <c r="C42" s="141">
        <v>8</v>
      </c>
      <c r="D42" s="141" t="s">
        <v>116</v>
      </c>
      <c r="E42" s="146">
        <v>1.5919235392080299E-4</v>
      </c>
      <c r="F42" s="146">
        <v>2.3284492439152301E-8</v>
      </c>
      <c r="G42" s="146">
        <v>2.5101477775751999E-4</v>
      </c>
      <c r="H42" s="141">
        <v>2</v>
      </c>
      <c r="I42" s="141">
        <v>1</v>
      </c>
      <c r="J42" s="134">
        <f t="shared" si="4"/>
        <v>0</v>
      </c>
      <c r="N42" s="162"/>
      <c r="O42" s="163"/>
      <c r="P42" s="164" t="s">
        <v>136</v>
      </c>
      <c r="Q42" s="165" t="s">
        <v>137</v>
      </c>
      <c r="R42" s="166" t="s">
        <v>98</v>
      </c>
      <c r="S42" s="167"/>
      <c r="T42" s="160"/>
      <c r="U42" s="160"/>
      <c r="V42" s="102" t="s">
        <v>112</v>
      </c>
      <c r="W42" s="160"/>
      <c r="X42" s="168" t="b">
        <f>SUM(AB7,AB13,AB21)=E2</f>
        <v>1</v>
      </c>
      <c r="Y42" s="160"/>
      <c r="Z42" s="160"/>
      <c r="AA42" s="160"/>
      <c r="AB42" s="160"/>
      <c r="AC42" s="160"/>
      <c r="AD42" s="160"/>
    </row>
    <row r="43" spans="1:35" ht="13.5" thickBot="1" x14ac:dyDescent="0.25">
      <c r="A43" s="141">
        <v>2015</v>
      </c>
      <c r="B43" s="141" t="s">
        <v>12</v>
      </c>
      <c r="C43" s="141">
        <v>9</v>
      </c>
      <c r="D43" s="141" t="s">
        <v>117</v>
      </c>
      <c r="E43" s="146">
        <v>2.45740325579835E-4</v>
      </c>
      <c r="F43" s="146">
        <v>2.5341435558197999E-8</v>
      </c>
      <c r="G43" s="146">
        <v>2.6186744386496902E-4</v>
      </c>
      <c r="H43" s="141">
        <v>2</v>
      </c>
      <c r="I43" s="141">
        <v>1</v>
      </c>
      <c r="J43" s="134">
        <f t="shared" si="4"/>
        <v>0</v>
      </c>
      <c r="N43" s="162"/>
      <c r="O43" s="169" t="s">
        <v>96</v>
      </c>
      <c r="P43" s="170" t="s">
        <v>95</v>
      </c>
      <c r="Q43" s="171" t="s">
        <v>95</v>
      </c>
      <c r="R43" s="172" t="s">
        <v>28</v>
      </c>
      <c r="S43" s="167"/>
      <c r="T43" s="160"/>
      <c r="U43" s="160"/>
      <c r="V43" s="102" t="s">
        <v>112</v>
      </c>
      <c r="W43" s="160"/>
      <c r="X43" s="161" t="b">
        <f>SUM(X8:X34)=1</f>
        <v>1</v>
      </c>
      <c r="Y43" s="160"/>
      <c r="Z43" s="160"/>
      <c r="AA43" s="160"/>
      <c r="AB43" s="160"/>
      <c r="AC43" s="160"/>
      <c r="AD43" s="160"/>
    </row>
    <row r="44" spans="1:35" x14ac:dyDescent="0.25">
      <c r="A44" s="141">
        <v>2015</v>
      </c>
      <c r="B44" s="141" t="s">
        <v>12</v>
      </c>
      <c r="C44" s="141">
        <v>10</v>
      </c>
      <c r="D44" s="141" t="s">
        <v>118</v>
      </c>
      <c r="E44" s="146">
        <v>6.4459030976947603E-4</v>
      </c>
      <c r="F44" s="146">
        <v>1.0011847483608E-7</v>
      </c>
      <c r="G44" s="146">
        <v>5.2050273377601396E-4</v>
      </c>
      <c r="H44" s="141">
        <v>2</v>
      </c>
      <c r="I44" s="141">
        <v>1</v>
      </c>
      <c r="J44" s="134">
        <f t="shared" si="4"/>
        <v>0</v>
      </c>
      <c r="N44" s="162">
        <v>1</v>
      </c>
      <c r="O44" s="173" t="str">
        <f>INDEX($J$6:$J$28,MATCH($P44,$E$6:$E$28,0))</f>
        <v>Leaves, Grass, Prunings and Trimmings</v>
      </c>
      <c r="P44" s="174">
        <f>LARGE($E$6:$E$28,N44)</f>
        <v>0.91190697298677104</v>
      </c>
      <c r="Q44" s="175">
        <f>P44</f>
        <v>0.91190697298677104</v>
      </c>
      <c r="R44" s="176">
        <f>P44*$AB$36</f>
        <v>23751.647566319923</v>
      </c>
      <c r="S44" s="64"/>
      <c r="T44" s="160"/>
      <c r="U44" s="160"/>
      <c r="V44" s="102" t="s">
        <v>112</v>
      </c>
      <c r="W44" s="167"/>
      <c r="X44" s="177" t="b">
        <f>SUM(AB7:AB34)/2=AB36</f>
        <v>1</v>
      </c>
      <c r="Y44" s="160"/>
      <c r="Z44" s="160"/>
      <c r="AA44" s="160"/>
      <c r="AB44" s="160"/>
      <c r="AC44" s="160"/>
      <c r="AD44" s="160"/>
    </row>
    <row r="45" spans="1:35" ht="12.75" x14ac:dyDescent="0.2">
      <c r="A45" s="141">
        <v>2015</v>
      </c>
      <c r="B45" s="141" t="s">
        <v>119</v>
      </c>
      <c r="C45" s="141">
        <v>11</v>
      </c>
      <c r="D45" s="141" t="s">
        <v>89</v>
      </c>
      <c r="E45" s="146">
        <v>1.1278863548765501E-3</v>
      </c>
      <c r="F45" s="146">
        <v>2.7411532591022801E-7</v>
      </c>
      <c r="G45" s="146">
        <v>8.6125659637312701E-4</v>
      </c>
      <c r="H45" s="141">
        <v>3</v>
      </c>
      <c r="I45" s="141">
        <v>2</v>
      </c>
      <c r="J45" s="134">
        <f t="shared" si="4"/>
        <v>0</v>
      </c>
      <c r="N45" s="162">
        <v>2</v>
      </c>
      <c r="O45" s="178" t="str">
        <f t="shared" ref="O45:O48" si="5">INDEX($J$6:$J$28,MATCH($P45,$E$6:$E$28,0))</f>
        <v>Food Waste, Vegetative</v>
      </c>
      <c r="P45" s="179">
        <f>LARGE($E$6:$E$28,N45)</f>
        <v>3.7136851478158199E-2</v>
      </c>
      <c r="Q45" s="180">
        <f t="shared" ref="Q45:Q47" si="6">Q44+P45</f>
        <v>0.94904382446492919</v>
      </c>
      <c r="R45" s="181">
        <f t="shared" ref="R45:R48" si="7">P45*$AB$36</f>
        <v>967.27126139080053</v>
      </c>
      <c r="S45" s="167"/>
      <c r="T45" s="167"/>
      <c r="U45" s="160"/>
      <c r="V45" s="160"/>
      <c r="W45" s="160"/>
      <c r="X45" s="160"/>
      <c r="Y45" s="160"/>
      <c r="Z45" s="160"/>
      <c r="AA45" s="160"/>
      <c r="AB45" s="160"/>
      <c r="AC45" s="160"/>
      <c r="AD45" s="160"/>
    </row>
    <row r="46" spans="1:35" ht="15" customHeight="1" x14ac:dyDescent="0.2">
      <c r="A46" s="141">
        <v>2015</v>
      </c>
      <c r="B46" s="141" t="s">
        <v>119</v>
      </c>
      <c r="C46" s="141">
        <v>12</v>
      </c>
      <c r="D46" s="141" t="s">
        <v>120</v>
      </c>
      <c r="E46" s="146">
        <v>8.0814088821936801E-5</v>
      </c>
      <c r="F46" s="146">
        <v>4.5741839912153601E-9</v>
      </c>
      <c r="G46" s="146">
        <v>1.11255814386613E-4</v>
      </c>
      <c r="H46" s="141">
        <v>3</v>
      </c>
      <c r="I46" s="141">
        <v>2</v>
      </c>
      <c r="J46" s="134">
        <f t="shared" si="4"/>
        <v>0</v>
      </c>
      <c r="N46" s="162">
        <v>3</v>
      </c>
      <c r="O46" s="178" t="str">
        <f t="shared" si="5"/>
        <v>Other Materials</v>
      </c>
      <c r="P46" s="179">
        <f>LARGE($E$6:$E$28,N46)</f>
        <v>2.9370759694188599E-2</v>
      </c>
      <c r="Q46" s="180">
        <f t="shared" si="6"/>
        <v>0.97841458415911775</v>
      </c>
      <c r="R46" s="181">
        <f t="shared" si="7"/>
        <v>764.99462519359645</v>
      </c>
      <c r="S46" s="167"/>
      <c r="T46" s="160"/>
      <c r="U46" s="167"/>
      <c r="V46" s="167"/>
      <c r="W46" s="167"/>
      <c r="X46" s="167"/>
      <c r="Y46" s="167"/>
      <c r="Z46" s="167"/>
      <c r="AA46" s="167"/>
      <c r="AB46" s="167"/>
      <c r="AC46" s="167"/>
      <c r="AD46" s="167"/>
      <c r="AE46" s="182"/>
    </row>
    <row r="47" spans="1:35" ht="12.75" x14ac:dyDescent="0.2">
      <c r="A47" s="141">
        <v>2015</v>
      </c>
      <c r="B47" s="141" t="s">
        <v>119</v>
      </c>
      <c r="C47" s="141">
        <v>13</v>
      </c>
      <c r="D47" s="141" t="s">
        <v>123</v>
      </c>
      <c r="E47" s="146">
        <v>2.17038231189568E-4</v>
      </c>
      <c r="F47" s="146">
        <v>1.01347804637415E-8</v>
      </c>
      <c r="G47" s="146">
        <v>1.65604858939573E-4</v>
      </c>
      <c r="H47" s="141">
        <v>3</v>
      </c>
      <c r="I47" s="141">
        <v>2</v>
      </c>
      <c r="J47" s="134">
        <f t="shared" si="4"/>
        <v>0</v>
      </c>
      <c r="N47" s="162">
        <v>4</v>
      </c>
      <c r="O47" s="178" t="str">
        <f t="shared" si="5"/>
        <v>Other Food Waste</v>
      </c>
      <c r="P47" s="179">
        <f>LARGE($E$6:$E$28,N47)</f>
        <v>9.1041147414513603E-3</v>
      </c>
      <c r="Q47" s="180">
        <f t="shared" si="6"/>
        <v>0.98751869890056909</v>
      </c>
      <c r="R47" s="181">
        <f t="shared" si="7"/>
        <v>237.12695609075848</v>
      </c>
      <c r="S47" s="167"/>
      <c r="T47" s="160"/>
      <c r="U47" s="160"/>
      <c r="V47" s="160"/>
      <c r="W47" s="160"/>
      <c r="X47" s="160"/>
      <c r="Y47" s="160"/>
      <c r="Z47" s="160"/>
      <c r="AA47" s="160"/>
      <c r="AB47" s="160"/>
      <c r="AC47" s="160"/>
      <c r="AD47" s="160"/>
    </row>
    <row r="48" spans="1:35" ht="12.75" x14ac:dyDescent="0.2">
      <c r="A48" s="141">
        <v>2015</v>
      </c>
      <c r="B48" s="141" t="s">
        <v>119</v>
      </c>
      <c r="C48" s="141">
        <v>14</v>
      </c>
      <c r="D48" s="141" t="s">
        <v>124</v>
      </c>
      <c r="E48" s="146">
        <v>0</v>
      </c>
      <c r="F48" s="146">
        <v>0</v>
      </c>
      <c r="G48" s="146">
        <v>0</v>
      </c>
      <c r="H48" s="141">
        <v>3</v>
      </c>
      <c r="I48" s="141">
        <v>2</v>
      </c>
      <c r="J48" s="134">
        <f t="shared" si="4"/>
        <v>0</v>
      </c>
      <c r="N48" s="162">
        <v>5</v>
      </c>
      <c r="O48" s="183" t="str">
        <f t="shared" si="5"/>
        <v>Branches and Stumps</v>
      </c>
      <c r="P48" s="184">
        <f>LARGE($E$6:$E$28,N48)</f>
        <v>5.44631153658538E-3</v>
      </c>
      <c r="Q48" s="185">
        <f>Q47+P48</f>
        <v>0.99296501043715446</v>
      </c>
      <c r="R48" s="186">
        <f t="shared" si="7"/>
        <v>141.85533830240254</v>
      </c>
      <c r="S48" s="167"/>
      <c r="T48" s="160"/>
      <c r="U48" s="160"/>
      <c r="V48" s="160"/>
      <c r="W48" s="160"/>
      <c r="X48" s="160"/>
      <c r="Y48" s="160"/>
      <c r="Z48" s="160"/>
      <c r="AA48" s="160"/>
      <c r="AB48" s="160"/>
      <c r="AC48" s="160"/>
      <c r="AD48" s="160"/>
      <c r="AF48" s="167"/>
      <c r="AG48" s="167"/>
      <c r="AH48" s="167"/>
      <c r="AI48" s="167"/>
    </row>
    <row r="49" spans="1:36" ht="13.5" thickBot="1" x14ac:dyDescent="0.25">
      <c r="A49" s="141">
        <v>2015</v>
      </c>
      <c r="B49" s="141" t="s">
        <v>119</v>
      </c>
      <c r="C49" s="141">
        <v>15</v>
      </c>
      <c r="D49" s="141" t="s">
        <v>125</v>
      </c>
      <c r="E49" s="146">
        <v>9.2201818446463902E-5</v>
      </c>
      <c r="F49" s="146">
        <v>5.2164924543569199E-9</v>
      </c>
      <c r="G49" s="146">
        <v>1.18810601352746E-4</v>
      </c>
      <c r="H49" s="141">
        <v>3</v>
      </c>
      <c r="I49" s="141">
        <v>2</v>
      </c>
      <c r="J49" s="134">
        <f t="shared" si="4"/>
        <v>0</v>
      </c>
      <c r="M49" s="167"/>
      <c r="N49" s="167"/>
      <c r="O49" s="187" t="s">
        <v>29</v>
      </c>
      <c r="P49" s="188">
        <f>SUM(P44:P48)</f>
        <v>0.99296501043715446</v>
      </c>
      <c r="Q49" s="188"/>
      <c r="R49" s="189">
        <f>SUM(R44:R48)</f>
        <v>25862.89574729748</v>
      </c>
      <c r="S49" s="167"/>
      <c r="T49" s="160"/>
      <c r="U49" s="160"/>
      <c r="V49" s="160"/>
      <c r="W49" s="160"/>
      <c r="X49" s="160"/>
      <c r="Y49" s="160"/>
      <c r="Z49" s="160"/>
      <c r="AA49" s="160"/>
      <c r="AB49" s="160"/>
      <c r="AC49" s="160"/>
      <c r="AD49" s="160"/>
      <c r="AF49" s="167"/>
      <c r="AG49" s="167"/>
      <c r="AH49" s="167"/>
      <c r="AI49" s="167"/>
    </row>
    <row r="50" spans="1:36" ht="12.75" x14ac:dyDescent="0.2">
      <c r="A50" s="141">
        <v>2015</v>
      </c>
      <c r="B50" s="141" t="s">
        <v>119</v>
      </c>
      <c r="C50" s="141">
        <v>16</v>
      </c>
      <c r="D50" s="141" t="s">
        <v>126</v>
      </c>
      <c r="E50" s="146">
        <v>1.6846174634832099E-4</v>
      </c>
      <c r="F50" s="146">
        <v>7.4033725850171897E-9</v>
      </c>
      <c r="G50" s="146">
        <v>1.4154049349698899E-4</v>
      </c>
      <c r="H50" s="141">
        <v>3</v>
      </c>
      <c r="I50" s="141">
        <v>2</v>
      </c>
      <c r="J50" s="134">
        <f t="shared" si="4"/>
        <v>0</v>
      </c>
      <c r="M50" s="167"/>
      <c r="N50" s="55"/>
      <c r="O50" s="55"/>
      <c r="P50" s="55"/>
      <c r="Q50" s="55"/>
      <c r="R50" s="55"/>
      <c r="S50" s="167"/>
      <c r="T50" s="160"/>
      <c r="U50" s="160"/>
      <c r="V50" s="160"/>
      <c r="W50" s="160"/>
      <c r="X50" s="160"/>
      <c r="Y50" s="160"/>
      <c r="Z50" s="160"/>
      <c r="AA50" s="160"/>
      <c r="AB50" s="160"/>
      <c r="AC50" s="160"/>
      <c r="AD50" s="160"/>
      <c r="AF50" s="167"/>
      <c r="AG50" s="167"/>
      <c r="AH50" s="167"/>
      <c r="AI50" s="167"/>
    </row>
    <row r="51" spans="1:36" ht="12.75" x14ac:dyDescent="0.2">
      <c r="A51" s="141">
        <v>2015</v>
      </c>
      <c r="B51" s="141" t="s">
        <v>119</v>
      </c>
      <c r="C51" s="141">
        <v>17</v>
      </c>
      <c r="D51" s="141" t="s">
        <v>127</v>
      </c>
      <c r="E51" s="146">
        <v>2.0391166306297599E-5</v>
      </c>
      <c r="F51" s="146">
        <v>1.04107409370235E-10</v>
      </c>
      <c r="G51" s="146">
        <v>1.67844348263828E-5</v>
      </c>
      <c r="H51" s="141">
        <v>3</v>
      </c>
      <c r="I51" s="141">
        <v>2</v>
      </c>
      <c r="J51" s="134">
        <f t="shared" si="4"/>
        <v>0</v>
      </c>
      <c r="M51" s="167"/>
      <c r="N51" s="55"/>
      <c r="O51" s="55"/>
      <c r="P51" s="55"/>
      <c r="Q51" s="55"/>
      <c r="R51" s="55"/>
      <c r="S51" s="167"/>
      <c r="T51" s="55"/>
      <c r="U51" s="160"/>
      <c r="V51" s="160"/>
      <c r="W51" s="160"/>
      <c r="X51" s="160"/>
      <c r="Y51" s="160"/>
      <c r="Z51" s="160"/>
      <c r="AA51" s="160"/>
      <c r="AB51" s="160"/>
      <c r="AC51" s="160"/>
      <c r="AD51" s="160"/>
      <c r="AF51" s="167"/>
      <c r="AG51" s="167"/>
      <c r="AH51" s="167"/>
      <c r="AI51" s="167"/>
    </row>
    <row r="52" spans="1:36" x14ac:dyDescent="0.25">
      <c r="A52" s="141">
        <v>2015</v>
      </c>
      <c r="B52" s="141" t="s">
        <v>119</v>
      </c>
      <c r="C52" s="141">
        <v>18</v>
      </c>
      <c r="D52" s="141" t="s">
        <v>128</v>
      </c>
      <c r="E52" s="146">
        <v>4.9118878249648597E-5</v>
      </c>
      <c r="F52" s="146">
        <v>3.9519541067361698E-10</v>
      </c>
      <c r="G52" s="146">
        <v>3.2701814340615398E-5</v>
      </c>
      <c r="H52" s="141">
        <v>3</v>
      </c>
      <c r="I52" s="141">
        <v>2</v>
      </c>
      <c r="J52" s="134">
        <f t="shared" si="4"/>
        <v>0</v>
      </c>
      <c r="M52" s="167"/>
      <c r="N52" s="55"/>
      <c r="O52" s="55"/>
      <c r="P52" s="55"/>
      <c r="Q52" s="55"/>
      <c r="R52" s="55"/>
      <c r="S52" s="167"/>
      <c r="T52" s="56"/>
      <c r="U52" s="55"/>
      <c r="V52" s="55"/>
      <c r="W52" s="55"/>
      <c r="X52" s="55"/>
      <c r="Y52" s="55"/>
      <c r="Z52" s="55"/>
      <c r="AA52" s="55"/>
      <c r="AB52" s="55"/>
      <c r="AC52" s="55"/>
      <c r="AD52" s="55"/>
      <c r="AF52" s="167"/>
      <c r="AG52" s="167"/>
      <c r="AH52" s="167"/>
      <c r="AI52" s="167"/>
    </row>
    <row r="53" spans="1:36" x14ac:dyDescent="0.25">
      <c r="A53" s="141">
        <v>2015</v>
      </c>
      <c r="B53" s="141" t="s">
        <v>119</v>
      </c>
      <c r="C53" s="141">
        <v>19</v>
      </c>
      <c r="D53" s="141" t="s">
        <v>129</v>
      </c>
      <c r="E53" s="146">
        <v>3.1457276089832302E-4</v>
      </c>
      <c r="F53" s="146">
        <v>1.2121663087795701E-8</v>
      </c>
      <c r="G53" s="146">
        <v>1.81111908380295E-4</v>
      </c>
      <c r="H53" s="141">
        <v>3</v>
      </c>
      <c r="I53" s="141">
        <v>2</v>
      </c>
      <c r="J53" s="134">
        <f t="shared" si="4"/>
        <v>0</v>
      </c>
      <c r="M53" s="167"/>
      <c r="N53" s="55"/>
      <c r="O53" s="55"/>
      <c r="P53" s="55"/>
      <c r="Q53" s="55"/>
      <c r="R53" s="55"/>
      <c r="S53" s="64"/>
      <c r="T53" s="56"/>
      <c r="U53" s="56"/>
      <c r="V53" s="56"/>
      <c r="W53" s="56"/>
      <c r="X53" s="56"/>
      <c r="Y53" s="56"/>
      <c r="Z53" s="56"/>
      <c r="AA53" s="56"/>
      <c r="AB53" s="56"/>
      <c r="AC53" s="56"/>
      <c r="AD53" s="56"/>
      <c r="AF53" s="167"/>
      <c r="AG53" s="167"/>
      <c r="AH53" s="167"/>
      <c r="AI53" s="167"/>
    </row>
    <row r="54" spans="1:36" x14ac:dyDescent="0.25">
      <c r="A54" s="141">
        <v>2015</v>
      </c>
      <c r="B54" s="141" t="s">
        <v>119</v>
      </c>
      <c r="C54" s="141">
        <v>20</v>
      </c>
      <c r="D54" s="141" t="s">
        <v>130</v>
      </c>
      <c r="E54" s="146">
        <v>3.7672168273907399E-4</v>
      </c>
      <c r="F54" s="146">
        <v>8.2260978287455901E-8</v>
      </c>
      <c r="G54" s="146">
        <v>4.7180532401649799E-4</v>
      </c>
      <c r="H54" s="141">
        <v>3</v>
      </c>
      <c r="I54" s="141">
        <v>2</v>
      </c>
      <c r="J54" s="134">
        <f t="shared" si="4"/>
        <v>0</v>
      </c>
      <c r="M54" s="167"/>
      <c r="N54" s="55"/>
      <c r="O54" s="55"/>
      <c r="P54" s="55"/>
      <c r="Q54" s="55"/>
      <c r="R54" s="55"/>
      <c r="S54" s="167"/>
      <c r="T54" s="56"/>
      <c r="U54" s="56"/>
      <c r="V54" s="56"/>
      <c r="W54" s="56"/>
      <c r="X54" s="56"/>
      <c r="Y54" s="56"/>
      <c r="Z54" s="56"/>
      <c r="AA54" s="56"/>
      <c r="AB54" s="56"/>
      <c r="AC54" s="56"/>
      <c r="AD54" s="56"/>
      <c r="AF54" s="167"/>
      <c r="AG54" s="167"/>
      <c r="AH54" s="167"/>
      <c r="AI54" s="167"/>
    </row>
    <row r="55" spans="1:36" x14ac:dyDescent="0.25">
      <c r="A55" s="141">
        <v>2015</v>
      </c>
      <c r="B55" s="141" t="s">
        <v>119</v>
      </c>
      <c r="C55" s="141">
        <v>21</v>
      </c>
      <c r="D55" s="141" t="s">
        <v>131</v>
      </c>
      <c r="E55" s="146">
        <v>1.15577738818121E-4</v>
      </c>
      <c r="F55" s="146">
        <v>1.6117398055164799E-9</v>
      </c>
      <c r="G55" s="146">
        <v>6.6040958557721802E-5</v>
      </c>
      <c r="H55" s="141">
        <v>3</v>
      </c>
      <c r="I55" s="141">
        <v>2</v>
      </c>
      <c r="J55" s="134">
        <f t="shared" si="4"/>
        <v>0</v>
      </c>
      <c r="M55" s="167"/>
      <c r="N55" s="55"/>
      <c r="O55" s="55"/>
      <c r="P55" s="55"/>
      <c r="Q55" s="55"/>
      <c r="R55" s="55"/>
      <c r="S55" s="54"/>
      <c r="T55" s="56"/>
      <c r="U55" s="56"/>
      <c r="V55" s="56"/>
      <c r="W55" s="56"/>
      <c r="X55" s="56"/>
      <c r="Y55" s="56"/>
      <c r="Z55" s="56"/>
      <c r="AA55" s="56"/>
      <c r="AB55" s="56"/>
      <c r="AC55" s="56"/>
      <c r="AD55" s="56"/>
      <c r="AF55" s="167"/>
      <c r="AG55" s="167"/>
      <c r="AH55" s="167"/>
      <c r="AI55" s="167"/>
    </row>
    <row r="56" spans="1:36" x14ac:dyDescent="0.25">
      <c r="A56" s="141">
        <v>2015</v>
      </c>
      <c r="B56" s="141" t="s">
        <v>119</v>
      </c>
      <c r="C56" s="141">
        <v>22</v>
      </c>
      <c r="D56" s="141" t="s">
        <v>132</v>
      </c>
      <c r="E56" s="146">
        <v>2.3853408889827499E-3</v>
      </c>
      <c r="F56" s="146">
        <v>1.6345057234126301E-6</v>
      </c>
      <c r="G56" s="146">
        <v>2.1030961343214099E-3</v>
      </c>
      <c r="H56" s="141">
        <v>3</v>
      </c>
      <c r="I56" s="141">
        <v>10</v>
      </c>
      <c r="J56" s="134">
        <f t="shared" si="4"/>
        <v>0</v>
      </c>
      <c r="M56" s="167"/>
      <c r="N56" s="55"/>
      <c r="O56" s="55"/>
      <c r="P56" s="55"/>
      <c r="Q56" s="55"/>
      <c r="R56" s="55"/>
      <c r="S56" s="54"/>
      <c r="T56" s="56"/>
      <c r="U56" s="56"/>
      <c r="V56" s="56"/>
      <c r="W56" s="56"/>
      <c r="X56" s="56"/>
      <c r="Y56" s="56"/>
      <c r="Z56" s="56"/>
      <c r="AA56" s="56"/>
      <c r="AB56" s="56"/>
      <c r="AC56" s="56"/>
      <c r="AD56" s="56"/>
      <c r="AF56" s="167"/>
      <c r="AG56" s="167"/>
      <c r="AH56" s="167"/>
      <c r="AI56" s="167"/>
    </row>
    <row r="57" spans="1:36" x14ac:dyDescent="0.25">
      <c r="A57" s="141">
        <v>2015</v>
      </c>
      <c r="B57" s="141" t="s">
        <v>119</v>
      </c>
      <c r="C57" s="141">
        <v>23</v>
      </c>
      <c r="D57" s="141" t="s">
        <v>133</v>
      </c>
      <c r="E57" s="146">
        <v>2.9370759694188599E-2</v>
      </c>
      <c r="F57" s="146">
        <v>5.1858366186466397E-4</v>
      </c>
      <c r="G57" s="146">
        <v>3.7460650736437097E-2</v>
      </c>
      <c r="H57" s="141">
        <v>3</v>
      </c>
      <c r="I57" s="141">
        <v>10</v>
      </c>
      <c r="J57" s="134">
        <f t="shared" si="4"/>
        <v>0</v>
      </c>
      <c r="M57" s="167"/>
      <c r="N57" s="55"/>
      <c r="O57" s="55"/>
      <c r="P57" s="55"/>
      <c r="Q57" s="55"/>
      <c r="R57" s="55"/>
      <c r="S57" s="54"/>
      <c r="T57" s="56"/>
      <c r="U57" s="56"/>
      <c r="V57" s="56"/>
      <c r="W57" s="56"/>
      <c r="X57" s="56"/>
      <c r="Y57" s="56"/>
      <c r="Z57" s="56"/>
      <c r="AA57" s="56"/>
      <c r="AB57" s="56"/>
      <c r="AC57" s="56"/>
      <c r="AD57" s="56"/>
      <c r="AF57" s="167"/>
      <c r="AG57" s="167"/>
      <c r="AH57" s="167"/>
      <c r="AI57" s="167"/>
    </row>
    <row r="58" spans="1:36" x14ac:dyDescent="0.25">
      <c r="M58" s="167"/>
      <c r="N58" s="55"/>
      <c r="O58" s="55"/>
      <c r="P58" s="55"/>
      <c r="Q58" s="55"/>
      <c r="R58" s="55"/>
      <c r="S58" s="54"/>
      <c r="T58" s="56"/>
      <c r="U58" s="56"/>
      <c r="V58" s="56"/>
      <c r="W58" s="56"/>
      <c r="X58" s="56"/>
      <c r="Y58" s="56"/>
      <c r="Z58" s="56"/>
      <c r="AA58" s="56"/>
      <c r="AB58" s="56"/>
      <c r="AC58" s="56"/>
      <c r="AD58" s="56"/>
      <c r="AF58" s="167"/>
      <c r="AG58" s="167"/>
      <c r="AH58" s="167"/>
      <c r="AI58" s="167"/>
    </row>
    <row r="59" spans="1:36" x14ac:dyDescent="0.25">
      <c r="M59" s="167"/>
      <c r="N59" s="55"/>
      <c r="O59" s="55"/>
      <c r="P59" s="55"/>
      <c r="Q59" s="55"/>
      <c r="R59" s="55"/>
      <c r="S59" s="54"/>
      <c r="T59" s="56"/>
      <c r="U59" s="56"/>
      <c r="V59" s="56"/>
      <c r="W59" s="56"/>
      <c r="X59" s="56"/>
      <c r="Y59" s="56"/>
      <c r="Z59" s="56"/>
      <c r="AA59" s="56"/>
      <c r="AB59" s="56"/>
      <c r="AC59" s="56"/>
      <c r="AD59" s="56"/>
      <c r="AF59" s="167"/>
      <c r="AG59" s="167"/>
      <c r="AH59" s="167"/>
      <c r="AI59" s="167"/>
    </row>
    <row r="60" spans="1:36" x14ac:dyDescent="0.25">
      <c r="M60" s="167"/>
      <c r="N60" s="55"/>
      <c r="O60" s="55"/>
      <c r="P60" s="55"/>
      <c r="Q60" s="55"/>
      <c r="R60" s="55"/>
      <c r="S60" s="54"/>
      <c r="T60" s="56"/>
      <c r="U60" s="56"/>
      <c r="V60" s="56"/>
      <c r="W60" s="56"/>
      <c r="X60" s="56"/>
      <c r="Y60" s="56"/>
      <c r="Z60" s="56"/>
      <c r="AA60" s="56"/>
      <c r="AB60" s="56"/>
      <c r="AC60" s="56"/>
      <c r="AD60" s="56"/>
      <c r="AF60" s="167"/>
      <c r="AG60" s="167"/>
      <c r="AH60" s="167"/>
      <c r="AI60" s="167"/>
    </row>
    <row r="61" spans="1:36" x14ac:dyDescent="0.25">
      <c r="M61" s="167"/>
      <c r="N61" s="55"/>
      <c r="O61" s="55"/>
      <c r="P61" s="55"/>
      <c r="Q61" s="55"/>
      <c r="R61" s="55"/>
      <c r="S61" s="54"/>
      <c r="T61" s="56"/>
      <c r="U61" s="56"/>
      <c r="V61" s="56"/>
      <c r="W61" s="56"/>
      <c r="X61" s="56"/>
      <c r="Y61" s="56"/>
      <c r="Z61" s="56"/>
      <c r="AA61" s="56"/>
      <c r="AB61" s="56"/>
      <c r="AC61" s="56"/>
      <c r="AD61" s="56"/>
    </row>
    <row r="62" spans="1:36" s="193" customFormat="1" x14ac:dyDescent="0.25">
      <c r="A62" s="54"/>
      <c r="B62" s="54"/>
      <c r="C62" s="54"/>
      <c r="D62" s="54"/>
      <c r="E62" s="54"/>
      <c r="F62" s="54"/>
      <c r="G62" s="54"/>
      <c r="H62" s="54"/>
      <c r="I62" s="54"/>
      <c r="J62" s="54"/>
      <c r="K62" s="54"/>
      <c r="L62" s="54"/>
      <c r="M62" s="191"/>
      <c r="N62" s="55"/>
      <c r="O62" s="55"/>
      <c r="P62" s="55"/>
      <c r="Q62" s="55"/>
      <c r="R62" s="55"/>
      <c r="S62" s="54"/>
      <c r="T62" s="56"/>
      <c r="U62" s="56"/>
      <c r="V62" s="56"/>
      <c r="W62" s="56"/>
      <c r="X62" s="56"/>
      <c r="Y62" s="56"/>
      <c r="Z62" s="56"/>
      <c r="AA62" s="56"/>
      <c r="AB62" s="56"/>
      <c r="AC62" s="56"/>
      <c r="AD62" s="56"/>
      <c r="AE62" s="192"/>
      <c r="AF62" s="54"/>
      <c r="AG62" s="54"/>
      <c r="AH62" s="54"/>
      <c r="AI62" s="54"/>
      <c r="AJ62" s="167"/>
    </row>
    <row r="63" spans="1:36" s="193" customFormat="1" x14ac:dyDescent="0.25">
      <c r="A63" s="54"/>
      <c r="B63" s="54"/>
      <c r="C63" s="54"/>
      <c r="D63" s="54"/>
      <c r="E63" s="54"/>
      <c r="F63" s="54"/>
      <c r="G63" s="54"/>
      <c r="H63" s="54"/>
      <c r="I63" s="54"/>
      <c r="J63" s="54"/>
      <c r="K63" s="54"/>
      <c r="L63" s="54"/>
      <c r="M63" s="54"/>
      <c r="N63" s="55"/>
      <c r="O63" s="55"/>
      <c r="P63" s="55"/>
      <c r="Q63" s="55"/>
      <c r="R63" s="55"/>
      <c r="S63" s="54"/>
      <c r="T63" s="56"/>
      <c r="U63" s="56"/>
      <c r="V63" s="56"/>
      <c r="W63" s="56"/>
      <c r="X63" s="56"/>
      <c r="Y63" s="56"/>
      <c r="Z63" s="56"/>
      <c r="AA63" s="56"/>
      <c r="AB63" s="56"/>
      <c r="AC63" s="56"/>
      <c r="AD63" s="56"/>
      <c r="AE63" s="192"/>
      <c r="AF63" s="54"/>
      <c r="AG63" s="54"/>
      <c r="AH63" s="54"/>
      <c r="AI63" s="54"/>
      <c r="AJ63" s="167"/>
    </row>
    <row r="64" spans="1:36" s="193" customFormat="1" x14ac:dyDescent="0.25">
      <c r="A64" s="54"/>
      <c r="B64" s="54"/>
      <c r="C64" s="54"/>
      <c r="D64" s="54"/>
      <c r="E64" s="54"/>
      <c r="F64" s="54"/>
      <c r="G64" s="54"/>
      <c r="H64" s="54"/>
      <c r="I64" s="54"/>
      <c r="J64" s="54"/>
      <c r="K64" s="54"/>
      <c r="L64" s="54"/>
      <c r="M64" s="54"/>
      <c r="N64" s="55"/>
      <c r="O64" s="55"/>
      <c r="P64" s="55"/>
      <c r="Q64" s="55"/>
      <c r="R64" s="55"/>
      <c r="S64" s="54"/>
      <c r="T64" s="56"/>
      <c r="U64" s="56"/>
      <c r="V64" s="56"/>
      <c r="W64" s="56"/>
      <c r="X64" s="56"/>
      <c r="Y64" s="56"/>
      <c r="Z64" s="56"/>
      <c r="AA64" s="56"/>
      <c r="AB64" s="56"/>
      <c r="AC64" s="56"/>
      <c r="AD64" s="56"/>
      <c r="AE64" s="192"/>
      <c r="AF64" s="54"/>
      <c r="AG64" s="54"/>
      <c r="AH64" s="54"/>
      <c r="AI64" s="54"/>
      <c r="AJ64" s="167"/>
    </row>
    <row r="65" spans="1:36" s="193" customFormat="1" x14ac:dyDescent="0.25">
      <c r="A65" s="54"/>
      <c r="B65" s="54"/>
      <c r="C65" s="54"/>
      <c r="D65" s="54"/>
      <c r="E65" s="54"/>
      <c r="F65" s="54"/>
      <c r="G65" s="54"/>
      <c r="H65" s="54"/>
      <c r="I65" s="54"/>
      <c r="J65" s="54"/>
      <c r="K65" s="54"/>
      <c r="L65" s="54"/>
      <c r="M65" s="54"/>
      <c r="N65" s="55"/>
      <c r="O65" s="55"/>
      <c r="P65" s="55"/>
      <c r="Q65" s="55"/>
      <c r="R65" s="55"/>
      <c r="S65" s="54"/>
      <c r="T65" s="56"/>
      <c r="U65" s="56"/>
      <c r="V65" s="56"/>
      <c r="W65" s="56"/>
      <c r="X65" s="56"/>
      <c r="Y65" s="56"/>
      <c r="Z65" s="56"/>
      <c r="AA65" s="56"/>
      <c r="AB65" s="56"/>
      <c r="AC65" s="56"/>
      <c r="AD65" s="56"/>
      <c r="AE65" s="192"/>
      <c r="AF65" s="54"/>
      <c r="AG65" s="54"/>
      <c r="AH65" s="54"/>
      <c r="AI65" s="54"/>
      <c r="AJ65" s="167"/>
    </row>
    <row r="66" spans="1:36" s="193" customFormat="1" x14ac:dyDescent="0.25">
      <c r="A66" s="54"/>
      <c r="B66" s="54"/>
      <c r="C66" s="54"/>
      <c r="D66" s="54"/>
      <c r="E66" s="54"/>
      <c r="F66" s="54"/>
      <c r="G66" s="54"/>
      <c r="H66" s="54"/>
      <c r="I66" s="54"/>
      <c r="J66" s="54"/>
      <c r="K66" s="54"/>
      <c r="L66" s="54"/>
      <c r="M66" s="54"/>
      <c r="N66" s="55"/>
      <c r="O66" s="55"/>
      <c r="P66" s="55"/>
      <c r="Q66" s="55"/>
      <c r="R66" s="55"/>
      <c r="S66" s="54"/>
      <c r="T66" s="56"/>
      <c r="U66" s="56"/>
      <c r="V66" s="56"/>
      <c r="W66" s="56"/>
      <c r="X66" s="56"/>
      <c r="Y66" s="56"/>
      <c r="Z66" s="56"/>
      <c r="AA66" s="56"/>
      <c r="AB66" s="56"/>
      <c r="AC66" s="56"/>
      <c r="AD66" s="56"/>
      <c r="AE66" s="192"/>
      <c r="AF66" s="54"/>
      <c r="AG66" s="54"/>
      <c r="AH66" s="54"/>
      <c r="AI66" s="54"/>
      <c r="AJ66" s="167"/>
    </row>
    <row r="67" spans="1:36" s="193" customFormat="1" x14ac:dyDescent="0.25">
      <c r="A67" s="54"/>
      <c r="B67" s="54"/>
      <c r="C67" s="54"/>
      <c r="D67" s="54"/>
      <c r="E67" s="54"/>
      <c r="F67" s="54"/>
      <c r="G67" s="54"/>
      <c r="H67" s="54"/>
      <c r="I67" s="54"/>
      <c r="J67" s="54"/>
      <c r="K67" s="54"/>
      <c r="L67" s="54"/>
      <c r="M67" s="54"/>
      <c r="N67" s="55"/>
      <c r="O67" s="55"/>
      <c r="P67" s="55"/>
      <c r="Q67" s="55"/>
      <c r="R67" s="55"/>
      <c r="S67" s="54"/>
      <c r="T67" s="56"/>
      <c r="U67" s="56"/>
      <c r="V67" s="56"/>
      <c r="W67" s="56"/>
      <c r="X67" s="56"/>
      <c r="Y67" s="56"/>
      <c r="Z67" s="56"/>
      <c r="AA67" s="56"/>
      <c r="AB67" s="56"/>
      <c r="AC67" s="56"/>
      <c r="AD67" s="56"/>
      <c r="AE67" s="192"/>
      <c r="AF67" s="54"/>
      <c r="AG67" s="54"/>
      <c r="AH67" s="54"/>
      <c r="AI67" s="54"/>
      <c r="AJ67" s="167"/>
    </row>
    <row r="68" spans="1:36" s="193" customFormat="1" x14ac:dyDescent="0.25">
      <c r="A68" s="54"/>
      <c r="B68" s="54"/>
      <c r="C68" s="54"/>
      <c r="D68" s="54"/>
      <c r="E68" s="54"/>
      <c r="F68" s="54"/>
      <c r="G68" s="54"/>
      <c r="H68" s="54"/>
      <c r="I68" s="54"/>
      <c r="J68" s="54"/>
      <c r="K68" s="54"/>
      <c r="L68" s="54"/>
      <c r="M68" s="54"/>
      <c r="N68" s="55"/>
      <c r="O68" s="55"/>
      <c r="P68" s="55"/>
      <c r="Q68" s="55"/>
      <c r="R68" s="55"/>
      <c r="S68" s="54"/>
      <c r="T68" s="56"/>
      <c r="U68" s="56"/>
      <c r="V68" s="56"/>
      <c r="W68" s="56"/>
      <c r="X68" s="56"/>
      <c r="Y68" s="56"/>
      <c r="Z68" s="56"/>
      <c r="AA68" s="56"/>
      <c r="AB68" s="56"/>
      <c r="AC68" s="56"/>
      <c r="AD68" s="56"/>
      <c r="AE68" s="194"/>
      <c r="AF68" s="54"/>
      <c r="AG68" s="54"/>
      <c r="AH68" s="54"/>
      <c r="AI68" s="54"/>
      <c r="AJ68" s="167"/>
    </row>
    <row r="69" spans="1:36" s="193" customFormat="1" x14ac:dyDescent="0.25">
      <c r="A69" s="54"/>
      <c r="B69" s="54"/>
      <c r="C69" s="54"/>
      <c r="D69" s="54"/>
      <c r="E69" s="54"/>
      <c r="F69" s="54"/>
      <c r="G69" s="54"/>
      <c r="H69" s="54"/>
      <c r="I69" s="54"/>
      <c r="J69" s="54"/>
      <c r="K69" s="54"/>
      <c r="L69" s="54"/>
      <c r="M69" s="54"/>
      <c r="N69" s="55"/>
      <c r="O69" s="55"/>
      <c r="P69" s="55"/>
      <c r="Q69" s="55"/>
      <c r="R69" s="55"/>
      <c r="S69" s="54"/>
      <c r="T69" s="56"/>
      <c r="U69" s="56"/>
      <c r="V69" s="56"/>
      <c r="W69" s="56"/>
      <c r="X69" s="56"/>
      <c r="Y69" s="56"/>
      <c r="Z69" s="56"/>
      <c r="AA69" s="56"/>
      <c r="AB69" s="56"/>
      <c r="AC69" s="56"/>
      <c r="AD69" s="56"/>
      <c r="AE69" s="192"/>
      <c r="AF69" s="54"/>
      <c r="AG69" s="54"/>
      <c r="AH69" s="54"/>
      <c r="AI69" s="54"/>
      <c r="AJ69" s="167"/>
    </row>
    <row r="70" spans="1:36" s="193" customFormat="1" x14ac:dyDescent="0.25">
      <c r="A70" s="54"/>
      <c r="B70" s="54"/>
      <c r="C70" s="54"/>
      <c r="D70" s="54"/>
      <c r="E70" s="54"/>
      <c r="F70" s="54"/>
      <c r="G70" s="54"/>
      <c r="H70" s="54"/>
      <c r="I70" s="54"/>
      <c r="J70" s="54"/>
      <c r="K70" s="54"/>
      <c r="L70" s="54"/>
      <c r="M70" s="54"/>
      <c r="N70" s="55"/>
      <c r="O70" s="55"/>
      <c r="P70" s="55"/>
      <c r="Q70" s="55"/>
      <c r="R70" s="55"/>
      <c r="S70" s="54"/>
      <c r="T70" s="56"/>
      <c r="U70" s="56"/>
      <c r="V70" s="56"/>
      <c r="W70" s="56"/>
      <c r="X70" s="56"/>
      <c r="Y70" s="56"/>
      <c r="Z70" s="56"/>
      <c r="AA70" s="56"/>
      <c r="AB70" s="56"/>
      <c r="AC70" s="56"/>
      <c r="AD70" s="56"/>
      <c r="AE70" s="192"/>
      <c r="AF70" s="54"/>
      <c r="AG70" s="54"/>
      <c r="AH70" s="54"/>
      <c r="AI70" s="54"/>
      <c r="AJ70" s="167"/>
    </row>
    <row r="71" spans="1:36" s="193" customFormat="1" x14ac:dyDescent="0.25">
      <c r="A71" s="54"/>
      <c r="B71" s="54"/>
      <c r="C71" s="54"/>
      <c r="D71" s="54"/>
      <c r="E71" s="54"/>
      <c r="F71" s="54"/>
      <c r="G71" s="54"/>
      <c r="H71" s="54"/>
      <c r="I71" s="54"/>
      <c r="J71" s="54"/>
      <c r="K71" s="54"/>
      <c r="L71" s="54"/>
      <c r="M71" s="54"/>
      <c r="N71" s="55"/>
      <c r="O71" s="55"/>
      <c r="P71" s="55"/>
      <c r="Q71" s="55"/>
      <c r="R71" s="55"/>
      <c r="S71" s="54"/>
      <c r="T71" s="56"/>
      <c r="U71" s="56"/>
      <c r="V71" s="56"/>
      <c r="W71" s="56"/>
      <c r="X71" s="56"/>
      <c r="Y71" s="56"/>
      <c r="Z71" s="56"/>
      <c r="AA71" s="56"/>
      <c r="AB71" s="56"/>
      <c r="AC71" s="56"/>
      <c r="AD71" s="56"/>
      <c r="AE71" s="192"/>
      <c r="AF71" s="54"/>
      <c r="AG71" s="54"/>
      <c r="AH71" s="54"/>
      <c r="AI71" s="54"/>
      <c r="AJ71" s="167"/>
    </row>
    <row r="72" spans="1:36" s="193" customFormat="1" x14ac:dyDescent="0.25">
      <c r="A72" s="54"/>
      <c r="B72" s="54"/>
      <c r="C72" s="54"/>
      <c r="D72" s="54"/>
      <c r="E72" s="54"/>
      <c r="F72" s="54"/>
      <c r="G72" s="54"/>
      <c r="H72" s="54"/>
      <c r="I72" s="54"/>
      <c r="J72" s="54"/>
      <c r="K72" s="54"/>
      <c r="L72" s="54"/>
      <c r="M72" s="54"/>
      <c r="N72" s="55"/>
      <c r="O72" s="55"/>
      <c r="P72" s="55"/>
      <c r="Q72" s="55"/>
      <c r="R72" s="55"/>
      <c r="S72" s="54"/>
      <c r="T72" s="56"/>
      <c r="U72" s="56"/>
      <c r="V72" s="56"/>
      <c r="W72" s="56"/>
      <c r="X72" s="56"/>
      <c r="Y72" s="56"/>
      <c r="Z72" s="56"/>
      <c r="AA72" s="56"/>
      <c r="AB72" s="56"/>
      <c r="AC72" s="56"/>
      <c r="AD72" s="56"/>
      <c r="AE72" s="192"/>
      <c r="AF72" s="54"/>
      <c r="AG72" s="54"/>
      <c r="AH72" s="54"/>
      <c r="AI72" s="54"/>
      <c r="AJ72" s="167"/>
    </row>
    <row r="73" spans="1:36" s="193" customFormat="1" x14ac:dyDescent="0.25">
      <c r="A73" s="54"/>
      <c r="B73" s="54"/>
      <c r="C73" s="54"/>
      <c r="D73" s="54"/>
      <c r="E73" s="54"/>
      <c r="F73" s="54"/>
      <c r="G73" s="54"/>
      <c r="H73" s="54"/>
      <c r="I73" s="54"/>
      <c r="J73" s="54"/>
      <c r="K73" s="54"/>
      <c r="L73" s="54"/>
      <c r="M73" s="54"/>
      <c r="N73" s="55"/>
      <c r="O73" s="55"/>
      <c r="P73" s="55"/>
      <c r="Q73" s="55"/>
      <c r="R73" s="55"/>
      <c r="S73" s="54"/>
      <c r="T73" s="56"/>
      <c r="U73" s="56"/>
      <c r="V73" s="56"/>
      <c r="W73" s="56"/>
      <c r="X73" s="56"/>
      <c r="Y73" s="56"/>
      <c r="Z73" s="56"/>
      <c r="AA73" s="56"/>
      <c r="AB73" s="56"/>
      <c r="AC73" s="56"/>
      <c r="AD73" s="56"/>
      <c r="AE73" s="192"/>
      <c r="AF73" s="54"/>
      <c r="AG73" s="54"/>
      <c r="AH73" s="54"/>
      <c r="AI73" s="54"/>
      <c r="AJ73" s="167"/>
    </row>
    <row r="74" spans="1:36" s="193" customFormat="1" x14ac:dyDescent="0.25">
      <c r="A74" s="54"/>
      <c r="B74" s="54"/>
      <c r="C74" s="54"/>
      <c r="D74" s="54"/>
      <c r="E74" s="54"/>
      <c r="F74" s="54"/>
      <c r="G74" s="54"/>
      <c r="H74" s="54"/>
      <c r="I74" s="54"/>
      <c r="J74" s="54"/>
      <c r="K74" s="54"/>
      <c r="L74" s="54"/>
      <c r="M74" s="54"/>
      <c r="N74" s="55"/>
      <c r="O74" s="55"/>
      <c r="P74" s="55"/>
      <c r="Q74" s="55"/>
      <c r="R74" s="55"/>
      <c r="S74" s="54"/>
      <c r="T74" s="56"/>
      <c r="U74" s="56"/>
      <c r="V74" s="56"/>
      <c r="W74" s="56"/>
      <c r="X74" s="56"/>
      <c r="Y74" s="56"/>
      <c r="Z74" s="56"/>
      <c r="AA74" s="56"/>
      <c r="AB74" s="56"/>
      <c r="AC74" s="56"/>
      <c r="AD74" s="56"/>
      <c r="AE74" s="192"/>
      <c r="AF74" s="54"/>
      <c r="AG74" s="54"/>
      <c r="AH74" s="54"/>
      <c r="AI74" s="54"/>
      <c r="AJ74" s="167"/>
    </row>
    <row r="75" spans="1:36" x14ac:dyDescent="0.25">
      <c r="N75" s="55"/>
      <c r="O75" s="55"/>
      <c r="P75" s="55"/>
      <c r="Q75" s="55"/>
      <c r="R75" s="55"/>
      <c r="S75" s="54"/>
      <c r="T75" s="56"/>
      <c r="U75" s="56"/>
      <c r="V75" s="56"/>
      <c r="W75" s="56"/>
      <c r="X75" s="56"/>
      <c r="Y75" s="56"/>
      <c r="Z75" s="56"/>
      <c r="AA75" s="56"/>
      <c r="AB75" s="56"/>
      <c r="AC75" s="56"/>
      <c r="AD75" s="56"/>
    </row>
    <row r="76" spans="1:36" x14ac:dyDescent="0.25">
      <c r="N76" s="55"/>
      <c r="O76" s="55"/>
      <c r="P76" s="55"/>
      <c r="Q76" s="55"/>
      <c r="R76" s="55"/>
      <c r="S76" s="54"/>
      <c r="T76" s="56"/>
      <c r="U76" s="56"/>
      <c r="V76" s="56"/>
      <c r="W76" s="56"/>
      <c r="X76" s="56"/>
      <c r="Y76" s="56"/>
      <c r="Z76" s="56"/>
      <c r="AA76" s="56"/>
      <c r="AB76" s="56"/>
      <c r="AC76" s="56"/>
      <c r="AD76" s="56"/>
    </row>
    <row r="77" spans="1:36" x14ac:dyDescent="0.25">
      <c r="N77" s="55"/>
      <c r="O77" s="55"/>
      <c r="P77" s="55"/>
      <c r="Q77" s="55"/>
      <c r="R77" s="55"/>
      <c r="S77" s="54"/>
      <c r="T77" s="56"/>
      <c r="U77" s="56"/>
      <c r="V77" s="56"/>
      <c r="W77" s="56"/>
      <c r="X77" s="56"/>
      <c r="Y77" s="56"/>
      <c r="Z77" s="56"/>
      <c r="AA77" s="56"/>
      <c r="AB77" s="56"/>
      <c r="AC77" s="56"/>
      <c r="AD77" s="56"/>
    </row>
    <row r="78" spans="1:36" x14ac:dyDescent="0.25">
      <c r="N78" s="55"/>
      <c r="O78" s="55"/>
      <c r="P78" s="55"/>
      <c r="Q78" s="55"/>
      <c r="R78" s="55"/>
      <c r="S78" s="54"/>
      <c r="T78" s="56"/>
      <c r="U78" s="56"/>
      <c r="V78" s="56"/>
      <c r="W78" s="56"/>
      <c r="X78" s="56"/>
      <c r="Y78" s="56"/>
      <c r="Z78" s="56"/>
      <c r="AA78" s="56"/>
      <c r="AB78" s="56"/>
      <c r="AC78" s="56"/>
      <c r="AD78" s="56"/>
    </row>
    <row r="79" spans="1:36" x14ac:dyDescent="0.25">
      <c r="N79" s="55"/>
      <c r="O79" s="55"/>
      <c r="P79" s="55"/>
      <c r="Q79" s="55"/>
      <c r="R79" s="55"/>
      <c r="S79" s="54"/>
      <c r="T79" s="56"/>
      <c r="U79" s="56"/>
      <c r="V79" s="56"/>
      <c r="W79" s="56"/>
      <c r="X79" s="56"/>
      <c r="Y79" s="56"/>
      <c r="Z79" s="56"/>
      <c r="AA79" s="56"/>
      <c r="AB79" s="56"/>
      <c r="AC79" s="56"/>
      <c r="AD79" s="56"/>
    </row>
    <row r="80" spans="1:36" x14ac:dyDescent="0.25">
      <c r="N80" s="55"/>
      <c r="O80" s="55"/>
      <c r="P80" s="55"/>
      <c r="Q80" s="55"/>
      <c r="R80" s="55"/>
      <c r="S80" s="54"/>
      <c r="T80" s="56"/>
      <c r="U80" s="56"/>
      <c r="V80" s="56"/>
      <c r="W80" s="56"/>
      <c r="X80" s="56"/>
      <c r="Y80" s="56"/>
      <c r="Z80" s="56"/>
      <c r="AA80" s="56"/>
      <c r="AB80" s="56"/>
      <c r="AC80" s="56"/>
      <c r="AD80" s="56"/>
    </row>
    <row r="81" spans="14:30" x14ac:dyDescent="0.25">
      <c r="N81" s="55"/>
      <c r="O81" s="55"/>
      <c r="P81" s="55"/>
      <c r="Q81" s="55"/>
      <c r="R81" s="55"/>
      <c r="S81" s="54"/>
      <c r="T81" s="56"/>
      <c r="U81" s="56"/>
      <c r="V81" s="56"/>
      <c r="W81" s="56"/>
      <c r="X81" s="56"/>
      <c r="Y81" s="56"/>
      <c r="Z81" s="56"/>
      <c r="AA81" s="56"/>
      <c r="AB81" s="56"/>
      <c r="AC81" s="56"/>
      <c r="AD81" s="56"/>
    </row>
    <row r="82" spans="14:30" x14ac:dyDescent="0.25">
      <c r="N82" s="55"/>
      <c r="O82" s="55"/>
      <c r="P82" s="55"/>
      <c r="Q82" s="55"/>
      <c r="R82" s="55"/>
      <c r="S82" s="54"/>
      <c r="T82" s="56"/>
      <c r="U82" s="56"/>
      <c r="V82" s="56"/>
      <c r="W82" s="56"/>
      <c r="X82" s="56"/>
      <c r="Y82" s="56"/>
      <c r="Z82" s="56"/>
      <c r="AA82" s="56"/>
      <c r="AB82" s="56"/>
      <c r="AC82" s="56"/>
      <c r="AD82" s="56"/>
    </row>
    <row r="83" spans="14:30" x14ac:dyDescent="0.25">
      <c r="N83" s="55"/>
      <c r="O83" s="55"/>
      <c r="P83" s="55"/>
      <c r="Q83" s="55"/>
      <c r="R83" s="55"/>
      <c r="S83" s="54"/>
      <c r="T83" s="56"/>
      <c r="U83" s="56"/>
      <c r="V83" s="56"/>
      <c r="W83" s="56"/>
      <c r="X83" s="56"/>
      <c r="Y83" s="56"/>
      <c r="Z83" s="56"/>
      <c r="AA83" s="56"/>
      <c r="AB83" s="56"/>
      <c r="AC83" s="56"/>
      <c r="AD83" s="56"/>
    </row>
    <row r="84" spans="14:30" x14ac:dyDescent="0.25">
      <c r="N84" s="55"/>
      <c r="O84" s="55"/>
      <c r="P84" s="55"/>
      <c r="Q84" s="55"/>
      <c r="R84" s="55"/>
      <c r="S84" s="54"/>
      <c r="T84" s="56"/>
      <c r="U84" s="56"/>
      <c r="V84" s="56"/>
      <c r="W84" s="56"/>
      <c r="X84" s="56"/>
      <c r="Y84" s="56"/>
      <c r="Z84" s="56"/>
      <c r="AA84" s="56"/>
      <c r="AB84" s="56"/>
      <c r="AC84" s="56"/>
      <c r="AD84" s="56"/>
    </row>
    <row r="85" spans="14:30" x14ac:dyDescent="0.25">
      <c r="N85" s="55"/>
      <c r="O85" s="55"/>
      <c r="P85" s="55"/>
      <c r="Q85" s="55"/>
      <c r="R85" s="55"/>
      <c r="S85" s="54"/>
      <c r="T85" s="56"/>
      <c r="U85" s="56"/>
      <c r="V85" s="56"/>
      <c r="W85" s="56"/>
      <c r="X85" s="56"/>
      <c r="Y85" s="56"/>
      <c r="Z85" s="56"/>
      <c r="AA85" s="56"/>
      <c r="AB85" s="56"/>
      <c r="AC85" s="56"/>
      <c r="AD85" s="56"/>
    </row>
    <row r="86" spans="14:30" x14ac:dyDescent="0.25">
      <c r="N86" s="55"/>
      <c r="O86" s="55"/>
      <c r="P86" s="55"/>
      <c r="Q86" s="55"/>
      <c r="R86" s="55"/>
      <c r="S86" s="54"/>
      <c r="T86" s="56"/>
      <c r="U86" s="56"/>
      <c r="V86" s="56"/>
      <c r="W86" s="56"/>
      <c r="X86" s="56"/>
      <c r="Y86" s="56"/>
      <c r="Z86" s="56"/>
      <c r="AA86" s="56"/>
      <c r="AB86" s="56"/>
      <c r="AC86" s="56"/>
      <c r="AD86" s="56"/>
    </row>
    <row r="87" spans="14:30" x14ac:dyDescent="0.25">
      <c r="N87" s="55"/>
      <c r="O87" s="55"/>
      <c r="P87" s="55"/>
      <c r="Q87" s="55"/>
      <c r="R87" s="55"/>
      <c r="S87" s="54"/>
      <c r="T87" s="56"/>
      <c r="U87" s="56"/>
      <c r="V87" s="56"/>
      <c r="W87" s="56"/>
      <c r="X87" s="56"/>
      <c r="Y87" s="56"/>
      <c r="Z87" s="56"/>
      <c r="AA87" s="56"/>
      <c r="AB87" s="56"/>
      <c r="AC87" s="56"/>
      <c r="AD87" s="56"/>
    </row>
    <row r="88" spans="14:30" x14ac:dyDescent="0.25">
      <c r="N88" s="55"/>
      <c r="O88" s="55"/>
      <c r="P88" s="55"/>
      <c r="Q88" s="55"/>
      <c r="R88" s="55"/>
      <c r="S88" s="54"/>
      <c r="T88" s="56"/>
      <c r="U88" s="56"/>
      <c r="V88" s="56"/>
      <c r="W88" s="56"/>
      <c r="X88" s="56"/>
      <c r="Y88" s="56"/>
      <c r="Z88" s="56"/>
      <c r="AA88" s="56"/>
      <c r="AB88" s="56"/>
      <c r="AC88" s="56"/>
      <c r="AD88" s="56"/>
    </row>
    <row r="89" spans="14:30" x14ac:dyDescent="0.25">
      <c r="N89" s="55"/>
      <c r="O89" s="55"/>
      <c r="P89" s="55"/>
      <c r="Q89" s="55"/>
      <c r="R89" s="55"/>
      <c r="S89" s="54"/>
      <c r="T89" s="56"/>
      <c r="U89" s="56"/>
      <c r="V89" s="56"/>
      <c r="W89" s="56"/>
      <c r="X89" s="56"/>
      <c r="Y89" s="56"/>
      <c r="Z89" s="56"/>
      <c r="AA89" s="56"/>
      <c r="AB89" s="56"/>
      <c r="AC89" s="56"/>
      <c r="AD89" s="56"/>
    </row>
    <row r="90" spans="14:30" x14ac:dyDescent="0.25">
      <c r="N90" s="55"/>
      <c r="O90" s="55"/>
      <c r="P90" s="55"/>
      <c r="Q90" s="55"/>
      <c r="R90" s="55"/>
      <c r="S90" s="54"/>
      <c r="T90" s="56"/>
      <c r="U90" s="56"/>
      <c r="V90" s="56"/>
      <c r="W90" s="56"/>
      <c r="X90" s="56"/>
      <c r="Y90" s="56"/>
      <c r="Z90" s="56"/>
      <c r="AA90" s="56"/>
      <c r="AB90" s="56"/>
      <c r="AC90" s="56"/>
      <c r="AD90" s="56"/>
    </row>
    <row r="91" spans="14:30" x14ac:dyDescent="0.25">
      <c r="N91" s="55"/>
      <c r="O91" s="55"/>
      <c r="P91" s="55"/>
      <c r="Q91" s="55"/>
      <c r="R91" s="55"/>
      <c r="S91" s="54"/>
      <c r="T91" s="56"/>
      <c r="U91" s="56"/>
      <c r="V91" s="56"/>
      <c r="W91" s="56"/>
      <c r="X91" s="56"/>
      <c r="Y91" s="56"/>
      <c r="Z91" s="56"/>
      <c r="AA91" s="56"/>
      <c r="AB91" s="56"/>
      <c r="AC91" s="56"/>
      <c r="AD91" s="56"/>
    </row>
    <row r="92" spans="14:30" x14ac:dyDescent="0.25">
      <c r="N92" s="55"/>
      <c r="O92" s="55"/>
      <c r="P92" s="55"/>
      <c r="Q92" s="55"/>
      <c r="R92" s="55"/>
      <c r="S92" s="54"/>
      <c r="T92" s="56"/>
      <c r="U92" s="56"/>
      <c r="V92" s="56"/>
      <c r="W92" s="56"/>
      <c r="X92" s="56"/>
      <c r="Y92" s="56"/>
      <c r="Z92" s="56"/>
      <c r="AA92" s="56"/>
      <c r="AB92" s="56"/>
      <c r="AC92" s="56"/>
      <c r="AD92" s="56"/>
    </row>
    <row r="93" spans="14:30" x14ac:dyDescent="0.25">
      <c r="N93" s="55"/>
      <c r="O93" s="55"/>
      <c r="P93" s="55"/>
      <c r="Q93" s="55"/>
      <c r="R93" s="55"/>
      <c r="S93" s="54"/>
      <c r="T93" s="56"/>
      <c r="U93" s="56"/>
      <c r="V93" s="56"/>
      <c r="W93" s="56"/>
      <c r="X93" s="56"/>
      <c r="Y93" s="56"/>
      <c r="Z93" s="56"/>
      <c r="AA93" s="56"/>
      <c r="AB93" s="56"/>
      <c r="AC93" s="56"/>
      <c r="AD93" s="56"/>
    </row>
    <row r="94" spans="14:30" x14ac:dyDescent="0.25">
      <c r="N94" s="55"/>
      <c r="O94" s="55"/>
      <c r="P94" s="55"/>
      <c r="Q94" s="55"/>
      <c r="R94" s="55"/>
      <c r="S94" s="54"/>
      <c r="T94" s="56"/>
      <c r="U94" s="56"/>
      <c r="V94" s="56"/>
      <c r="W94" s="56"/>
      <c r="X94" s="56"/>
      <c r="Y94" s="56"/>
      <c r="Z94" s="56"/>
      <c r="AA94" s="56"/>
      <c r="AB94" s="56"/>
      <c r="AC94" s="56"/>
      <c r="AD94" s="56"/>
    </row>
    <row r="95" spans="14:30" x14ac:dyDescent="0.25">
      <c r="N95" s="55"/>
      <c r="O95" s="55"/>
      <c r="P95" s="55"/>
      <c r="Q95" s="55"/>
      <c r="R95" s="55"/>
      <c r="S95" s="54"/>
      <c r="T95" s="56"/>
      <c r="U95" s="56"/>
      <c r="V95" s="56"/>
      <c r="W95" s="56"/>
      <c r="X95" s="56"/>
      <c r="Y95" s="56"/>
      <c r="Z95" s="56"/>
      <c r="AA95" s="56"/>
      <c r="AB95" s="56"/>
      <c r="AC95" s="56"/>
      <c r="AD95" s="56"/>
    </row>
    <row r="96" spans="14:30" x14ac:dyDescent="0.25">
      <c r="N96" s="55"/>
      <c r="O96" s="55"/>
      <c r="P96" s="55"/>
      <c r="Q96" s="55"/>
      <c r="R96" s="55"/>
      <c r="S96" s="54"/>
      <c r="T96" s="56"/>
      <c r="U96" s="56"/>
      <c r="V96" s="56"/>
      <c r="W96" s="56"/>
      <c r="X96" s="56"/>
      <c r="Y96" s="56"/>
      <c r="Z96" s="56"/>
      <c r="AA96" s="56"/>
      <c r="AB96" s="56"/>
      <c r="AC96" s="56"/>
      <c r="AD96" s="56"/>
    </row>
    <row r="97" spans="14:30" x14ac:dyDescent="0.25">
      <c r="N97" s="55"/>
      <c r="O97" s="55"/>
      <c r="P97" s="55"/>
      <c r="Q97" s="55"/>
      <c r="R97" s="55"/>
      <c r="S97" s="54"/>
      <c r="T97" s="56"/>
      <c r="U97" s="56"/>
      <c r="V97" s="56"/>
      <c r="W97" s="56"/>
      <c r="X97" s="56"/>
      <c r="Y97" s="56"/>
      <c r="Z97" s="56"/>
      <c r="AA97" s="56"/>
      <c r="AB97" s="56"/>
      <c r="AC97" s="56"/>
      <c r="AD97" s="56"/>
    </row>
    <row r="98" spans="14:30" x14ac:dyDescent="0.25">
      <c r="N98" s="55"/>
      <c r="O98" s="55"/>
      <c r="P98" s="55"/>
      <c r="Q98" s="55"/>
      <c r="R98" s="55"/>
      <c r="S98" s="54"/>
      <c r="T98" s="56"/>
      <c r="U98" s="56"/>
      <c r="V98" s="56"/>
      <c r="W98" s="56"/>
      <c r="X98" s="56"/>
      <c r="Y98" s="56"/>
      <c r="Z98" s="56"/>
      <c r="AA98" s="56"/>
      <c r="AB98" s="56"/>
      <c r="AC98" s="56"/>
      <c r="AD98" s="56"/>
    </row>
    <row r="99" spans="14:30" x14ac:dyDescent="0.25">
      <c r="N99" s="55"/>
      <c r="O99" s="55"/>
      <c r="P99" s="55"/>
      <c r="Q99" s="55"/>
      <c r="R99" s="55"/>
      <c r="S99" s="54"/>
      <c r="T99" s="56"/>
      <c r="U99" s="56"/>
      <c r="V99" s="56"/>
      <c r="W99" s="56"/>
      <c r="X99" s="56"/>
      <c r="Y99" s="56"/>
      <c r="Z99" s="56"/>
      <c r="AA99" s="56"/>
      <c r="AB99" s="56"/>
      <c r="AC99" s="56"/>
      <c r="AD99" s="56"/>
    </row>
    <row r="100" spans="14:30" x14ac:dyDescent="0.25">
      <c r="N100" s="55"/>
      <c r="O100" s="55"/>
      <c r="P100" s="55"/>
      <c r="Q100" s="55"/>
      <c r="R100" s="55"/>
      <c r="S100" s="54"/>
      <c r="T100" s="56"/>
      <c r="U100" s="56"/>
      <c r="V100" s="56"/>
      <c r="W100" s="56"/>
      <c r="X100" s="56"/>
      <c r="Y100" s="56"/>
      <c r="Z100" s="56"/>
      <c r="AA100" s="56"/>
      <c r="AB100" s="56"/>
      <c r="AC100" s="56"/>
      <c r="AD100" s="56"/>
    </row>
    <row r="101" spans="14:30" x14ac:dyDescent="0.25">
      <c r="N101" s="55"/>
      <c r="O101" s="55"/>
      <c r="P101" s="55"/>
      <c r="Q101" s="55"/>
      <c r="R101" s="55"/>
      <c r="S101" s="54"/>
      <c r="T101" s="56"/>
      <c r="U101" s="56"/>
      <c r="V101" s="56"/>
      <c r="W101" s="56"/>
      <c r="X101" s="56"/>
      <c r="Y101" s="56"/>
      <c r="Z101" s="56"/>
      <c r="AA101" s="56"/>
      <c r="AB101" s="56"/>
      <c r="AC101" s="56"/>
      <c r="AD101" s="56"/>
    </row>
    <row r="102" spans="14:30" x14ac:dyDescent="0.25">
      <c r="N102" s="55"/>
      <c r="O102" s="55"/>
      <c r="P102" s="55"/>
      <c r="Q102" s="55"/>
      <c r="R102" s="55"/>
      <c r="S102" s="54"/>
      <c r="T102" s="56"/>
      <c r="U102" s="56"/>
      <c r="V102" s="56"/>
      <c r="W102" s="56"/>
      <c r="X102" s="56"/>
      <c r="Y102" s="56"/>
      <c r="Z102" s="56"/>
      <c r="AA102" s="56"/>
      <c r="AB102" s="56"/>
      <c r="AC102" s="56"/>
      <c r="AD102" s="56"/>
    </row>
    <row r="103" spans="14:30" x14ac:dyDescent="0.25">
      <c r="N103" s="55"/>
      <c r="O103" s="55"/>
      <c r="P103" s="55"/>
      <c r="Q103" s="55"/>
      <c r="R103" s="55"/>
      <c r="S103" s="54"/>
      <c r="T103" s="56"/>
      <c r="U103" s="56"/>
      <c r="V103" s="56"/>
      <c r="W103" s="56"/>
      <c r="X103" s="56"/>
      <c r="Y103" s="56"/>
      <c r="Z103" s="56"/>
      <c r="AA103" s="56"/>
      <c r="AB103" s="56"/>
      <c r="AC103" s="56"/>
      <c r="AD103" s="56"/>
    </row>
    <row r="104" spans="14:30" x14ac:dyDescent="0.25">
      <c r="N104" s="55"/>
      <c r="O104" s="55"/>
      <c r="P104" s="55"/>
      <c r="Q104" s="55"/>
      <c r="R104" s="55"/>
      <c r="S104" s="54"/>
      <c r="T104" s="56"/>
      <c r="U104" s="56"/>
      <c r="V104" s="56"/>
      <c r="W104" s="56"/>
      <c r="X104" s="56"/>
      <c r="Y104" s="56"/>
      <c r="Z104" s="56"/>
      <c r="AA104" s="56"/>
      <c r="AB104" s="56"/>
      <c r="AC104" s="56"/>
      <c r="AD104" s="56"/>
    </row>
    <row r="105" spans="14:30" x14ac:dyDescent="0.25">
      <c r="N105" s="55"/>
      <c r="O105" s="55"/>
      <c r="P105" s="55"/>
      <c r="Q105" s="55"/>
      <c r="R105" s="55"/>
      <c r="S105" s="54"/>
      <c r="T105" s="56"/>
      <c r="U105" s="56"/>
      <c r="V105" s="56"/>
      <c r="W105" s="56"/>
      <c r="X105" s="56"/>
      <c r="Y105" s="56"/>
      <c r="Z105" s="56"/>
      <c r="AA105" s="56"/>
      <c r="AB105" s="56"/>
      <c r="AC105" s="56"/>
      <c r="AD105" s="56"/>
    </row>
    <row r="106" spans="14:30" x14ac:dyDescent="0.25">
      <c r="N106" s="55"/>
      <c r="O106" s="55"/>
      <c r="P106" s="55"/>
      <c r="Q106" s="55"/>
      <c r="R106" s="55"/>
      <c r="S106" s="54"/>
      <c r="T106" s="56"/>
      <c r="U106" s="56"/>
      <c r="V106" s="56"/>
      <c r="W106" s="56"/>
      <c r="X106" s="56"/>
      <c r="Y106" s="56"/>
      <c r="Z106" s="56"/>
      <c r="AA106" s="56"/>
      <c r="AB106" s="56"/>
      <c r="AC106" s="56"/>
      <c r="AD106" s="56"/>
    </row>
    <row r="107" spans="14:30" x14ac:dyDescent="0.25">
      <c r="N107" s="55"/>
      <c r="O107" s="55"/>
      <c r="P107" s="55"/>
      <c r="Q107" s="55"/>
      <c r="R107" s="55"/>
      <c r="S107" s="54"/>
      <c r="T107" s="56"/>
      <c r="U107" s="56"/>
      <c r="V107" s="56"/>
      <c r="W107" s="56"/>
      <c r="X107" s="56"/>
      <c r="Y107" s="56"/>
      <c r="Z107" s="56"/>
      <c r="AA107" s="56"/>
      <c r="AB107" s="56"/>
      <c r="AC107" s="56"/>
      <c r="AD107" s="56"/>
    </row>
    <row r="108" spans="14:30" x14ac:dyDescent="0.25">
      <c r="N108" s="55"/>
      <c r="O108" s="55"/>
      <c r="P108" s="55"/>
      <c r="Q108" s="55"/>
      <c r="R108" s="55"/>
      <c r="S108" s="54"/>
      <c r="T108" s="56"/>
      <c r="U108" s="56"/>
      <c r="V108" s="56"/>
      <c r="W108" s="56"/>
      <c r="X108" s="56"/>
      <c r="Y108" s="56"/>
      <c r="Z108" s="56"/>
      <c r="AA108" s="56"/>
      <c r="AB108" s="56"/>
      <c r="AC108" s="56"/>
      <c r="AD108" s="56"/>
    </row>
    <row r="109" spans="14:30" x14ac:dyDescent="0.25">
      <c r="N109" s="55"/>
      <c r="O109" s="55"/>
      <c r="P109" s="55"/>
      <c r="Q109" s="55"/>
      <c r="R109" s="55"/>
      <c r="S109" s="54"/>
      <c r="T109" s="56"/>
      <c r="U109" s="56"/>
      <c r="V109" s="56"/>
      <c r="W109" s="56"/>
      <c r="X109" s="56"/>
      <c r="Y109" s="56"/>
      <c r="Z109" s="56"/>
      <c r="AA109" s="56"/>
      <c r="AB109" s="56"/>
      <c r="AC109" s="56"/>
      <c r="AD109" s="56"/>
    </row>
    <row r="110" spans="14:30" x14ac:dyDescent="0.25">
      <c r="N110" s="55"/>
      <c r="O110" s="55"/>
      <c r="P110" s="55"/>
      <c r="Q110" s="55"/>
      <c r="R110" s="55"/>
      <c r="S110" s="54"/>
      <c r="T110" s="56"/>
      <c r="U110" s="56"/>
      <c r="V110" s="56"/>
      <c r="W110" s="56"/>
      <c r="X110" s="56"/>
      <c r="Y110" s="56"/>
      <c r="Z110" s="56"/>
      <c r="AA110" s="56"/>
      <c r="AB110" s="56"/>
      <c r="AC110" s="56"/>
      <c r="AD110" s="56"/>
    </row>
    <row r="111" spans="14:30" x14ac:dyDescent="0.25">
      <c r="N111" s="55"/>
      <c r="O111" s="55"/>
      <c r="P111" s="55"/>
      <c r="Q111" s="55"/>
      <c r="R111" s="55"/>
      <c r="S111" s="54"/>
      <c r="T111" s="56"/>
      <c r="U111" s="56"/>
      <c r="V111" s="56"/>
      <c r="W111" s="56"/>
      <c r="X111" s="56"/>
      <c r="Y111" s="56"/>
      <c r="Z111" s="56"/>
      <c r="AA111" s="56"/>
      <c r="AB111" s="56"/>
      <c r="AC111" s="56"/>
      <c r="AD111" s="56"/>
    </row>
    <row r="112" spans="14:30" x14ac:dyDescent="0.25">
      <c r="N112" s="55"/>
      <c r="O112" s="55"/>
      <c r="P112" s="55"/>
      <c r="Q112" s="55"/>
      <c r="R112" s="55"/>
      <c r="S112" s="54"/>
      <c r="T112" s="56"/>
      <c r="U112" s="56"/>
      <c r="V112" s="56"/>
      <c r="W112" s="56"/>
      <c r="X112" s="56"/>
      <c r="Y112" s="56"/>
      <c r="Z112" s="56"/>
      <c r="AA112" s="56"/>
      <c r="AB112" s="56"/>
      <c r="AC112" s="56"/>
      <c r="AD112" s="56"/>
    </row>
    <row r="113" spans="14:30" x14ac:dyDescent="0.25">
      <c r="N113" s="55"/>
      <c r="O113" s="55"/>
      <c r="P113" s="55"/>
      <c r="Q113" s="55"/>
      <c r="R113" s="55"/>
      <c r="S113" s="54"/>
      <c r="T113" s="56"/>
      <c r="U113" s="56"/>
      <c r="V113" s="56"/>
      <c r="W113" s="56"/>
      <c r="X113" s="56"/>
      <c r="Y113" s="56"/>
      <c r="Z113" s="56"/>
      <c r="AA113" s="56"/>
      <c r="AB113" s="56"/>
      <c r="AC113" s="56"/>
      <c r="AD113" s="56"/>
    </row>
    <row r="114" spans="14:30" x14ac:dyDescent="0.25">
      <c r="N114" s="55"/>
      <c r="O114" s="55"/>
      <c r="P114" s="55"/>
      <c r="Q114" s="55"/>
      <c r="R114" s="55"/>
      <c r="S114" s="54"/>
      <c r="T114" s="56"/>
      <c r="U114" s="56"/>
      <c r="V114" s="56"/>
      <c r="W114" s="56"/>
      <c r="X114" s="56"/>
      <c r="Y114" s="56"/>
      <c r="Z114" s="56"/>
      <c r="AA114" s="56"/>
      <c r="AB114" s="56"/>
      <c r="AC114" s="56"/>
      <c r="AD114" s="56"/>
    </row>
    <row r="115" spans="14:30" x14ac:dyDescent="0.25">
      <c r="N115" s="55"/>
      <c r="O115" s="55"/>
      <c r="P115" s="55"/>
      <c r="Q115" s="55"/>
      <c r="R115" s="55"/>
      <c r="S115" s="54"/>
      <c r="T115" s="56"/>
      <c r="U115" s="56"/>
      <c r="V115" s="56"/>
      <c r="W115" s="56"/>
      <c r="X115" s="56"/>
      <c r="Y115" s="56"/>
      <c r="Z115" s="56"/>
      <c r="AA115" s="56"/>
      <c r="AB115" s="56"/>
      <c r="AC115" s="56"/>
      <c r="AD115" s="56"/>
    </row>
    <row r="116" spans="14:30" x14ac:dyDescent="0.25">
      <c r="N116" s="55"/>
      <c r="O116" s="55"/>
      <c r="P116" s="55"/>
      <c r="Q116" s="55"/>
      <c r="R116" s="55"/>
      <c r="S116" s="54"/>
      <c r="T116" s="56"/>
      <c r="U116" s="56"/>
      <c r="V116" s="56"/>
      <c r="W116" s="56"/>
      <c r="X116" s="56"/>
      <c r="Y116" s="56"/>
      <c r="Z116" s="56"/>
      <c r="AA116" s="56"/>
      <c r="AB116" s="56"/>
      <c r="AC116" s="56"/>
      <c r="AD116" s="56"/>
    </row>
    <row r="117" spans="14:30" x14ac:dyDescent="0.25">
      <c r="N117" s="55"/>
      <c r="O117" s="55"/>
      <c r="P117" s="55"/>
      <c r="Q117" s="55"/>
      <c r="R117" s="55"/>
      <c r="S117" s="54"/>
      <c r="T117" s="56"/>
      <c r="U117" s="56"/>
      <c r="V117" s="56"/>
      <c r="W117" s="56"/>
      <c r="X117" s="56"/>
      <c r="Y117" s="56"/>
      <c r="Z117" s="56"/>
      <c r="AA117" s="56"/>
      <c r="AB117" s="56"/>
      <c r="AC117" s="56"/>
      <c r="AD117" s="56"/>
    </row>
    <row r="118" spans="14:30" x14ac:dyDescent="0.25">
      <c r="N118" s="55"/>
      <c r="O118" s="55"/>
      <c r="P118" s="55"/>
      <c r="Q118" s="55"/>
      <c r="R118" s="55"/>
      <c r="S118" s="54"/>
      <c r="T118" s="56"/>
      <c r="U118" s="56"/>
      <c r="V118" s="56"/>
      <c r="W118" s="56"/>
      <c r="X118" s="56"/>
      <c r="Y118" s="56"/>
      <c r="Z118" s="56"/>
      <c r="AA118" s="56"/>
      <c r="AB118" s="56"/>
      <c r="AC118" s="56"/>
      <c r="AD118" s="56"/>
    </row>
    <row r="119" spans="14:30" x14ac:dyDescent="0.25">
      <c r="N119" s="55"/>
      <c r="O119" s="55"/>
      <c r="P119" s="55"/>
      <c r="Q119" s="55"/>
      <c r="R119" s="55"/>
      <c r="S119" s="54"/>
      <c r="T119" s="56"/>
      <c r="U119" s="56"/>
      <c r="V119" s="56"/>
      <c r="W119" s="56"/>
      <c r="X119" s="56"/>
      <c r="Y119" s="56"/>
      <c r="Z119" s="56"/>
      <c r="AA119" s="56"/>
      <c r="AB119" s="56"/>
      <c r="AC119" s="56"/>
      <c r="AD119" s="56"/>
    </row>
    <row r="120" spans="14:30" x14ac:dyDescent="0.25">
      <c r="N120" s="55"/>
      <c r="O120" s="55"/>
      <c r="P120" s="55"/>
      <c r="Q120" s="55"/>
      <c r="R120" s="55"/>
      <c r="S120" s="54"/>
      <c r="T120" s="56"/>
      <c r="U120" s="56"/>
      <c r="V120" s="56"/>
      <c r="W120" s="56"/>
      <c r="X120" s="56"/>
      <c r="Y120" s="56"/>
      <c r="Z120" s="56"/>
      <c r="AA120" s="56"/>
      <c r="AB120" s="56"/>
      <c r="AC120" s="56"/>
      <c r="AD120" s="56"/>
    </row>
    <row r="121" spans="14:30" x14ac:dyDescent="0.25">
      <c r="N121" s="55"/>
      <c r="O121" s="55"/>
      <c r="P121" s="55"/>
      <c r="Q121" s="55"/>
      <c r="R121" s="55"/>
      <c r="S121" s="54"/>
      <c r="T121" s="56"/>
      <c r="U121" s="56"/>
      <c r="V121" s="56"/>
      <c r="W121" s="56"/>
      <c r="X121" s="56"/>
      <c r="Y121" s="56"/>
      <c r="Z121" s="56"/>
      <c r="AA121" s="56"/>
      <c r="AB121" s="56"/>
      <c r="AC121" s="56"/>
      <c r="AD121" s="56"/>
    </row>
    <row r="122" spans="14:30" x14ac:dyDescent="0.25">
      <c r="N122" s="55"/>
      <c r="O122" s="55"/>
      <c r="P122" s="55"/>
      <c r="Q122" s="55"/>
      <c r="R122" s="55"/>
      <c r="S122" s="54"/>
      <c r="T122" s="56"/>
      <c r="U122" s="56"/>
      <c r="V122" s="56"/>
      <c r="W122" s="56"/>
      <c r="X122" s="56"/>
      <c r="Y122" s="56"/>
      <c r="Z122" s="56"/>
      <c r="AA122" s="56"/>
      <c r="AB122" s="56"/>
      <c r="AC122" s="56"/>
      <c r="AD122" s="56"/>
    </row>
    <row r="123" spans="14:30" x14ac:dyDescent="0.25">
      <c r="N123" s="55"/>
      <c r="O123" s="55"/>
      <c r="P123" s="55"/>
      <c r="Q123" s="55"/>
      <c r="R123" s="55"/>
      <c r="S123" s="54"/>
      <c r="T123" s="56"/>
      <c r="U123" s="56"/>
      <c r="V123" s="56"/>
      <c r="W123" s="56"/>
      <c r="X123" s="56"/>
      <c r="Y123" s="56"/>
      <c r="Z123" s="56"/>
      <c r="AA123" s="56"/>
      <c r="AB123" s="56"/>
      <c r="AC123" s="56"/>
      <c r="AD123" s="56"/>
    </row>
    <row r="124" spans="14:30" x14ac:dyDescent="0.25">
      <c r="N124" s="55"/>
      <c r="O124" s="55"/>
      <c r="P124" s="55"/>
      <c r="Q124" s="55"/>
      <c r="R124" s="55"/>
      <c r="S124" s="54"/>
      <c r="T124" s="56"/>
      <c r="U124" s="56"/>
      <c r="V124" s="56"/>
      <c r="W124" s="56"/>
      <c r="X124" s="56"/>
      <c r="Y124" s="56"/>
      <c r="Z124" s="56"/>
      <c r="AA124" s="56"/>
      <c r="AB124" s="56"/>
      <c r="AC124" s="56"/>
      <c r="AD124" s="56"/>
    </row>
    <row r="125" spans="14:30" x14ac:dyDescent="0.25">
      <c r="N125" s="55"/>
      <c r="O125" s="55"/>
      <c r="P125" s="55"/>
      <c r="Q125" s="55"/>
      <c r="R125" s="55"/>
      <c r="S125" s="54"/>
      <c r="T125" s="56"/>
      <c r="U125" s="56"/>
      <c r="V125" s="56"/>
      <c r="W125" s="56"/>
      <c r="X125" s="56"/>
      <c r="Y125" s="56"/>
      <c r="Z125" s="56"/>
      <c r="AA125" s="56"/>
      <c r="AB125" s="56"/>
      <c r="AC125" s="56"/>
      <c r="AD125" s="56"/>
    </row>
    <row r="126" spans="14:30" x14ac:dyDescent="0.25">
      <c r="N126" s="55"/>
      <c r="O126" s="55"/>
      <c r="P126" s="55"/>
      <c r="Q126" s="55"/>
      <c r="R126" s="55"/>
      <c r="S126" s="54"/>
      <c r="T126" s="56"/>
      <c r="U126" s="56"/>
      <c r="V126" s="56"/>
      <c r="W126" s="56"/>
      <c r="X126" s="56"/>
      <c r="Y126" s="56"/>
      <c r="Z126" s="56"/>
      <c r="AA126" s="56"/>
      <c r="AB126" s="56"/>
      <c r="AC126" s="56"/>
      <c r="AD126" s="56"/>
    </row>
    <row r="127" spans="14:30" x14ac:dyDescent="0.25">
      <c r="N127" s="55"/>
      <c r="O127" s="55"/>
      <c r="P127" s="55"/>
      <c r="Q127" s="55"/>
      <c r="R127" s="55"/>
      <c r="S127" s="54"/>
      <c r="T127" s="56"/>
      <c r="U127" s="56"/>
      <c r="V127" s="56"/>
      <c r="W127" s="56"/>
      <c r="X127" s="56"/>
      <c r="Y127" s="56"/>
      <c r="Z127" s="56"/>
      <c r="AA127" s="56"/>
      <c r="AB127" s="56"/>
      <c r="AC127" s="56"/>
      <c r="AD127" s="56"/>
    </row>
    <row r="128" spans="14:30" x14ac:dyDescent="0.25">
      <c r="N128" s="55"/>
      <c r="O128" s="55"/>
      <c r="P128" s="55"/>
      <c r="Q128" s="55"/>
      <c r="R128" s="55"/>
      <c r="S128" s="54"/>
      <c r="T128" s="56"/>
      <c r="U128" s="56"/>
      <c r="V128" s="56"/>
      <c r="W128" s="56"/>
      <c r="X128" s="56"/>
      <c r="Y128" s="56"/>
      <c r="Z128" s="56"/>
      <c r="AA128" s="56"/>
      <c r="AB128" s="56"/>
      <c r="AC128" s="56"/>
      <c r="AD128" s="56"/>
    </row>
    <row r="129" spans="14:30" x14ac:dyDescent="0.25">
      <c r="N129" s="55"/>
      <c r="O129" s="55"/>
      <c r="P129" s="55"/>
      <c r="Q129" s="55"/>
      <c r="R129" s="55"/>
      <c r="S129" s="54"/>
      <c r="T129" s="56"/>
      <c r="U129" s="56"/>
      <c r="V129" s="56"/>
      <c r="W129" s="56"/>
      <c r="X129" s="56"/>
      <c r="Y129" s="56"/>
      <c r="Z129" s="56"/>
      <c r="AA129" s="56"/>
      <c r="AB129" s="56"/>
      <c r="AC129" s="56"/>
      <c r="AD129" s="56"/>
    </row>
    <row r="130" spans="14:30" x14ac:dyDescent="0.25">
      <c r="N130" s="55"/>
      <c r="O130" s="55"/>
      <c r="P130" s="55"/>
      <c r="Q130" s="55"/>
      <c r="R130" s="55"/>
      <c r="S130" s="54"/>
      <c r="T130" s="56"/>
      <c r="U130" s="56"/>
      <c r="V130" s="56"/>
      <c r="W130" s="56"/>
      <c r="X130" s="56"/>
      <c r="Y130" s="56"/>
      <c r="Z130" s="56"/>
      <c r="AA130" s="56"/>
      <c r="AB130" s="56"/>
      <c r="AC130" s="56"/>
      <c r="AD130" s="56"/>
    </row>
    <row r="131" spans="14:30" x14ac:dyDescent="0.25">
      <c r="N131" s="55"/>
      <c r="O131" s="55"/>
      <c r="P131" s="55"/>
      <c r="Q131" s="55"/>
      <c r="R131" s="55"/>
      <c r="S131" s="54"/>
      <c r="T131" s="56"/>
      <c r="U131" s="56"/>
      <c r="V131" s="56"/>
      <c r="W131" s="56"/>
      <c r="X131" s="56"/>
      <c r="Y131" s="56"/>
      <c r="Z131" s="56"/>
      <c r="AA131" s="56"/>
      <c r="AB131" s="56"/>
      <c r="AC131" s="56"/>
      <c r="AD131" s="56"/>
    </row>
    <row r="132" spans="14:30" x14ac:dyDescent="0.25">
      <c r="N132" s="55"/>
      <c r="O132" s="55"/>
      <c r="P132" s="55"/>
      <c r="Q132" s="55"/>
      <c r="R132" s="55"/>
      <c r="S132" s="54"/>
      <c r="T132" s="56"/>
      <c r="U132" s="56"/>
      <c r="V132" s="56"/>
      <c r="W132" s="56"/>
      <c r="X132" s="56"/>
      <c r="Y132" s="56"/>
      <c r="Z132" s="56"/>
      <c r="AA132" s="56"/>
      <c r="AB132" s="56"/>
      <c r="AC132" s="56"/>
      <c r="AD132" s="56"/>
    </row>
    <row r="133" spans="14:30" x14ac:dyDescent="0.25">
      <c r="N133" s="55"/>
      <c r="O133" s="55"/>
      <c r="P133" s="55"/>
      <c r="Q133" s="55"/>
      <c r="R133" s="55"/>
      <c r="S133" s="54"/>
      <c r="T133" s="56"/>
      <c r="U133" s="56"/>
      <c r="V133" s="56"/>
      <c r="W133" s="56"/>
      <c r="X133" s="56"/>
      <c r="Y133" s="56"/>
      <c r="Z133" s="56"/>
      <c r="AA133" s="56"/>
      <c r="AB133" s="56"/>
      <c r="AC133" s="56"/>
      <c r="AD133" s="56"/>
    </row>
    <row r="134" spans="14:30" x14ac:dyDescent="0.25">
      <c r="N134" s="55"/>
      <c r="O134" s="55"/>
      <c r="P134" s="55"/>
      <c r="Q134" s="55"/>
      <c r="R134" s="55"/>
      <c r="S134" s="54"/>
      <c r="T134" s="56"/>
      <c r="U134" s="56"/>
      <c r="V134" s="56"/>
      <c r="W134" s="56"/>
      <c r="X134" s="56"/>
      <c r="Y134" s="56"/>
      <c r="Z134" s="56"/>
      <c r="AA134" s="56"/>
      <c r="AB134" s="56"/>
      <c r="AC134" s="56"/>
      <c r="AD134" s="56"/>
    </row>
    <row r="135" spans="14:30" x14ac:dyDescent="0.25">
      <c r="N135" s="55"/>
      <c r="O135" s="55"/>
      <c r="P135" s="55"/>
      <c r="Q135" s="55"/>
      <c r="R135" s="55"/>
      <c r="S135" s="54"/>
      <c r="T135" s="56"/>
      <c r="U135" s="56"/>
      <c r="V135" s="56"/>
      <c r="W135" s="56"/>
      <c r="X135" s="56"/>
      <c r="Y135" s="56"/>
      <c r="Z135" s="56"/>
      <c r="AA135" s="56"/>
      <c r="AB135" s="56"/>
      <c r="AC135" s="56"/>
      <c r="AD135" s="56"/>
    </row>
    <row r="136" spans="14:30" x14ac:dyDescent="0.25">
      <c r="N136" s="55"/>
      <c r="O136" s="55"/>
      <c r="P136" s="55"/>
      <c r="Q136" s="55"/>
      <c r="R136" s="55"/>
      <c r="S136" s="54"/>
      <c r="T136" s="56"/>
      <c r="U136" s="56"/>
      <c r="V136" s="56"/>
      <c r="W136" s="56"/>
      <c r="X136" s="56"/>
      <c r="Y136" s="56"/>
      <c r="Z136" s="56"/>
      <c r="AA136" s="56"/>
      <c r="AB136" s="56"/>
      <c r="AC136" s="56"/>
      <c r="AD136" s="56"/>
    </row>
    <row r="137" spans="14:30" x14ac:dyDescent="0.25">
      <c r="N137" s="55"/>
      <c r="O137" s="55"/>
      <c r="P137" s="55"/>
      <c r="Q137" s="55"/>
      <c r="R137" s="55"/>
      <c r="S137" s="54"/>
      <c r="T137" s="56"/>
      <c r="U137" s="56"/>
      <c r="V137" s="56"/>
      <c r="W137" s="56"/>
      <c r="X137" s="56"/>
      <c r="Y137" s="56"/>
      <c r="Z137" s="56"/>
      <c r="AA137" s="56"/>
      <c r="AB137" s="56"/>
      <c r="AC137" s="56"/>
      <c r="AD137" s="56"/>
    </row>
    <row r="138" spans="14:30" x14ac:dyDescent="0.25">
      <c r="N138" s="55"/>
      <c r="O138" s="55"/>
      <c r="P138" s="55"/>
      <c r="Q138" s="55"/>
      <c r="R138" s="55"/>
      <c r="S138" s="54"/>
      <c r="T138" s="56"/>
      <c r="U138" s="56"/>
      <c r="V138" s="56"/>
      <c r="W138" s="56"/>
      <c r="X138" s="56"/>
      <c r="Y138" s="56"/>
      <c r="Z138" s="56"/>
      <c r="AA138" s="56"/>
      <c r="AB138" s="56"/>
      <c r="AC138" s="56"/>
      <c r="AD138" s="56"/>
    </row>
    <row r="139" spans="14:30" x14ac:dyDescent="0.25">
      <c r="N139" s="55"/>
      <c r="O139" s="55"/>
      <c r="P139" s="55"/>
      <c r="Q139" s="55"/>
      <c r="R139" s="55"/>
      <c r="S139" s="54"/>
      <c r="T139" s="56"/>
      <c r="U139" s="56"/>
      <c r="V139" s="56"/>
      <c r="W139" s="56"/>
      <c r="X139" s="56"/>
      <c r="Y139" s="56"/>
      <c r="Z139" s="56"/>
      <c r="AA139" s="56"/>
      <c r="AB139" s="56"/>
      <c r="AC139" s="56"/>
      <c r="AD139" s="56"/>
    </row>
    <row r="140" spans="14:30" x14ac:dyDescent="0.25">
      <c r="N140" s="55"/>
      <c r="O140" s="55"/>
      <c r="P140" s="55"/>
      <c r="Q140" s="55"/>
      <c r="R140" s="55"/>
      <c r="S140" s="54"/>
      <c r="T140" s="56"/>
      <c r="U140" s="56"/>
      <c r="V140" s="56"/>
      <c r="W140" s="56"/>
      <c r="X140" s="56"/>
      <c r="Y140" s="56"/>
      <c r="Z140" s="56"/>
      <c r="AA140" s="56"/>
      <c r="AB140" s="56"/>
      <c r="AC140" s="56"/>
      <c r="AD140" s="56"/>
    </row>
    <row r="141" spans="14:30" x14ac:dyDescent="0.25">
      <c r="N141" s="55"/>
      <c r="O141" s="55"/>
      <c r="P141" s="55"/>
      <c r="Q141" s="55"/>
      <c r="R141" s="55"/>
      <c r="S141" s="54"/>
      <c r="T141" s="56"/>
      <c r="U141" s="56"/>
      <c r="V141" s="56"/>
      <c r="W141" s="56"/>
      <c r="X141" s="56"/>
      <c r="Y141" s="56"/>
      <c r="Z141" s="56"/>
      <c r="AA141" s="56"/>
      <c r="AB141" s="56"/>
      <c r="AC141" s="56"/>
      <c r="AD141" s="56"/>
    </row>
    <row r="142" spans="14:30" x14ac:dyDescent="0.25">
      <c r="N142" s="55"/>
      <c r="O142" s="55"/>
      <c r="P142" s="55"/>
      <c r="Q142" s="55"/>
      <c r="R142" s="55"/>
      <c r="S142" s="54"/>
      <c r="T142" s="56"/>
      <c r="U142" s="56"/>
      <c r="V142" s="56"/>
      <c r="W142" s="56"/>
      <c r="X142" s="56"/>
      <c r="Y142" s="56"/>
      <c r="Z142" s="56"/>
      <c r="AA142" s="56"/>
      <c r="AB142" s="56"/>
      <c r="AC142" s="56"/>
      <c r="AD142" s="56"/>
    </row>
    <row r="143" spans="14:30" x14ac:dyDescent="0.25">
      <c r="N143" s="55"/>
      <c r="O143" s="55"/>
      <c r="P143" s="55"/>
      <c r="Q143" s="55"/>
      <c r="R143" s="55"/>
      <c r="S143" s="54"/>
      <c r="T143" s="56"/>
      <c r="U143" s="56"/>
      <c r="V143" s="56"/>
      <c r="W143" s="56"/>
      <c r="X143" s="56"/>
      <c r="Y143" s="56"/>
      <c r="Z143" s="56"/>
      <c r="AA143" s="56"/>
      <c r="AB143" s="56"/>
      <c r="AC143" s="56"/>
      <c r="AD143" s="56"/>
    </row>
    <row r="144" spans="14:30" x14ac:dyDescent="0.25">
      <c r="N144" s="55"/>
      <c r="O144" s="55"/>
      <c r="P144" s="55"/>
      <c r="Q144" s="55"/>
      <c r="R144" s="55"/>
      <c r="S144" s="54"/>
      <c r="T144" s="56"/>
      <c r="U144" s="56"/>
      <c r="V144" s="56"/>
      <c r="W144" s="56"/>
      <c r="X144" s="56"/>
      <c r="Y144" s="56"/>
      <c r="Z144" s="56"/>
      <c r="AA144" s="56"/>
      <c r="AB144" s="56"/>
      <c r="AC144" s="56"/>
      <c r="AD144" s="56"/>
    </row>
    <row r="145" spans="14:30" x14ac:dyDescent="0.25">
      <c r="N145" s="55"/>
      <c r="O145" s="55"/>
      <c r="P145" s="55"/>
      <c r="Q145" s="55"/>
      <c r="R145" s="55"/>
      <c r="S145" s="54"/>
      <c r="T145" s="56"/>
      <c r="U145" s="56"/>
      <c r="V145" s="56"/>
      <c r="W145" s="56"/>
      <c r="X145" s="56"/>
      <c r="Y145" s="56"/>
      <c r="Z145" s="56"/>
      <c r="AA145" s="56"/>
      <c r="AB145" s="56"/>
      <c r="AC145" s="56"/>
      <c r="AD145" s="56"/>
    </row>
    <row r="146" spans="14:30" x14ac:dyDescent="0.25">
      <c r="N146" s="55"/>
      <c r="O146" s="55"/>
      <c r="P146" s="55"/>
      <c r="Q146" s="55"/>
      <c r="R146" s="55"/>
      <c r="S146" s="54"/>
      <c r="T146" s="56"/>
      <c r="U146" s="56"/>
      <c r="V146" s="56"/>
      <c r="W146" s="56"/>
      <c r="X146" s="56"/>
      <c r="Y146" s="56"/>
      <c r="Z146" s="56"/>
      <c r="AA146" s="56"/>
      <c r="AB146" s="56"/>
      <c r="AC146" s="56"/>
      <c r="AD146" s="56"/>
    </row>
    <row r="147" spans="14:30" x14ac:dyDescent="0.25">
      <c r="N147" s="55"/>
      <c r="O147" s="55"/>
      <c r="P147" s="55"/>
      <c r="Q147" s="55"/>
      <c r="R147" s="55"/>
      <c r="S147" s="54"/>
      <c r="T147" s="56"/>
      <c r="U147" s="56"/>
      <c r="V147" s="56"/>
      <c r="W147" s="56"/>
      <c r="X147" s="56"/>
      <c r="Y147" s="56"/>
      <c r="Z147" s="56"/>
      <c r="AA147" s="56"/>
      <c r="AB147" s="56"/>
      <c r="AC147" s="56"/>
      <c r="AD147" s="56"/>
    </row>
    <row r="148" spans="14:30" x14ac:dyDescent="0.25">
      <c r="N148" s="55"/>
      <c r="O148" s="55"/>
      <c r="P148" s="55"/>
      <c r="Q148" s="55"/>
      <c r="R148" s="55"/>
      <c r="S148" s="54"/>
      <c r="T148" s="56"/>
      <c r="U148" s="56"/>
      <c r="V148" s="56"/>
      <c r="W148" s="56"/>
      <c r="X148" s="56"/>
      <c r="Y148" s="56"/>
      <c r="Z148" s="56"/>
      <c r="AA148" s="56"/>
      <c r="AB148" s="56"/>
      <c r="AC148" s="56"/>
      <c r="AD148" s="56"/>
    </row>
    <row r="149" spans="14:30" x14ac:dyDescent="0.25">
      <c r="N149" s="55"/>
      <c r="O149" s="55"/>
      <c r="P149" s="55"/>
      <c r="Q149" s="55"/>
      <c r="R149" s="55"/>
      <c r="S149" s="54"/>
      <c r="T149" s="56"/>
      <c r="U149" s="56"/>
      <c r="V149" s="56"/>
      <c r="W149" s="56"/>
      <c r="X149" s="56"/>
      <c r="Y149" s="56"/>
      <c r="Z149" s="56"/>
      <c r="AA149" s="56"/>
      <c r="AB149" s="56"/>
      <c r="AC149" s="56"/>
      <c r="AD149" s="56"/>
    </row>
    <row r="150" spans="14:30" x14ac:dyDescent="0.25">
      <c r="N150" s="55"/>
      <c r="O150" s="55"/>
      <c r="P150" s="55"/>
      <c r="Q150" s="55"/>
      <c r="R150" s="55"/>
      <c r="S150" s="54"/>
      <c r="T150" s="56"/>
      <c r="U150" s="56"/>
      <c r="V150" s="56"/>
      <c r="W150" s="56"/>
      <c r="X150" s="56"/>
      <c r="Y150" s="56"/>
      <c r="Z150" s="56"/>
      <c r="AA150" s="56"/>
      <c r="AB150" s="56"/>
      <c r="AC150" s="56"/>
      <c r="AD150" s="56"/>
    </row>
    <row r="151" spans="14:30" x14ac:dyDescent="0.25">
      <c r="N151" s="55"/>
      <c r="O151" s="55"/>
      <c r="P151" s="55"/>
      <c r="Q151" s="55"/>
      <c r="R151" s="55"/>
      <c r="S151" s="54"/>
      <c r="T151" s="56"/>
      <c r="U151" s="56"/>
      <c r="V151" s="56"/>
      <c r="W151" s="56"/>
      <c r="X151" s="56"/>
      <c r="Y151" s="56"/>
      <c r="Z151" s="56"/>
      <c r="AA151" s="56"/>
      <c r="AB151" s="56"/>
      <c r="AC151" s="56"/>
      <c r="AD151" s="56"/>
    </row>
    <row r="152" spans="14:30" x14ac:dyDescent="0.25">
      <c r="N152" s="55"/>
      <c r="O152" s="55"/>
      <c r="P152" s="55"/>
      <c r="Q152" s="55"/>
      <c r="R152" s="55"/>
      <c r="S152" s="54"/>
      <c r="T152" s="56"/>
      <c r="U152" s="56"/>
      <c r="V152" s="56"/>
      <c r="W152" s="56"/>
      <c r="X152" s="56"/>
      <c r="Y152" s="56"/>
      <c r="Z152" s="56"/>
      <c r="AA152" s="56"/>
      <c r="AB152" s="56"/>
      <c r="AC152" s="56"/>
      <c r="AD152" s="56"/>
    </row>
    <row r="153" spans="14:30" x14ac:dyDescent="0.25">
      <c r="N153" s="55"/>
      <c r="O153" s="55"/>
      <c r="P153" s="55"/>
      <c r="Q153" s="55"/>
      <c r="R153" s="55"/>
      <c r="S153" s="54"/>
      <c r="T153" s="56"/>
      <c r="U153" s="56"/>
      <c r="V153" s="56"/>
      <c r="W153" s="56"/>
      <c r="X153" s="56"/>
      <c r="Y153" s="56"/>
      <c r="Z153" s="56"/>
      <c r="AA153" s="56"/>
      <c r="AB153" s="56"/>
      <c r="AC153" s="56"/>
      <c r="AD153" s="56"/>
    </row>
    <row r="154" spans="14:30" x14ac:dyDescent="0.25">
      <c r="N154" s="55"/>
      <c r="O154" s="55"/>
      <c r="P154" s="55"/>
      <c r="Q154" s="55"/>
      <c r="R154" s="55"/>
      <c r="S154" s="54"/>
      <c r="T154" s="56"/>
      <c r="U154" s="56"/>
      <c r="V154" s="56"/>
      <c r="W154" s="56"/>
      <c r="X154" s="56"/>
      <c r="Y154" s="56"/>
      <c r="Z154" s="56"/>
      <c r="AA154" s="56"/>
      <c r="AB154" s="56"/>
      <c r="AC154" s="56"/>
      <c r="AD154" s="56"/>
    </row>
    <row r="155" spans="14:30" x14ac:dyDescent="0.25">
      <c r="N155" s="55"/>
      <c r="O155" s="55"/>
      <c r="P155" s="55"/>
      <c r="Q155" s="55"/>
      <c r="R155" s="55"/>
      <c r="S155" s="54"/>
      <c r="T155" s="56"/>
      <c r="U155" s="56"/>
      <c r="V155" s="56"/>
      <c r="W155" s="56"/>
      <c r="X155" s="56"/>
      <c r="Y155" s="56"/>
      <c r="Z155" s="56"/>
      <c r="AA155" s="56"/>
      <c r="AB155" s="56"/>
      <c r="AC155" s="56"/>
      <c r="AD155" s="56"/>
    </row>
    <row r="156" spans="14:30" x14ac:dyDescent="0.25">
      <c r="N156" s="55"/>
      <c r="O156" s="55"/>
      <c r="P156" s="55"/>
      <c r="Q156" s="55"/>
      <c r="R156" s="55"/>
      <c r="S156" s="54"/>
      <c r="T156" s="56"/>
      <c r="U156" s="56"/>
      <c r="V156" s="56"/>
      <c r="W156" s="56"/>
      <c r="X156" s="56"/>
      <c r="Y156" s="56"/>
      <c r="Z156" s="56"/>
      <c r="AA156" s="56"/>
      <c r="AB156" s="56"/>
      <c r="AC156" s="56"/>
      <c r="AD156" s="56"/>
    </row>
    <row r="157" spans="14:30" x14ac:dyDescent="0.25">
      <c r="N157" s="55"/>
      <c r="O157" s="55"/>
      <c r="P157" s="55"/>
      <c r="Q157" s="55"/>
      <c r="R157" s="55"/>
      <c r="S157" s="54"/>
      <c r="T157" s="56"/>
      <c r="U157" s="56"/>
      <c r="V157" s="56"/>
      <c r="W157" s="56"/>
      <c r="X157" s="56"/>
      <c r="Y157" s="56"/>
      <c r="Z157" s="56"/>
      <c r="AA157" s="56"/>
      <c r="AB157" s="56"/>
      <c r="AC157" s="56"/>
      <c r="AD157" s="56"/>
    </row>
    <row r="158" spans="14:30" x14ac:dyDescent="0.25">
      <c r="S158" s="54"/>
      <c r="T158" s="56"/>
      <c r="U158" s="56"/>
      <c r="V158" s="56"/>
      <c r="W158" s="56"/>
      <c r="X158" s="56"/>
      <c r="Y158" s="56"/>
      <c r="Z158" s="56"/>
      <c r="AA158" s="56"/>
      <c r="AB158" s="56"/>
      <c r="AC158" s="56"/>
      <c r="AD158" s="56"/>
    </row>
    <row r="159" spans="14:30" x14ac:dyDescent="0.25">
      <c r="S159" s="54"/>
      <c r="U159" s="56"/>
      <c r="V159" s="56"/>
      <c r="W159" s="56"/>
      <c r="X159" s="56"/>
      <c r="Y159" s="56"/>
      <c r="Z159" s="56"/>
      <c r="AA159" s="56"/>
      <c r="AB159" s="56"/>
      <c r="AC159" s="56"/>
      <c r="AD159" s="56"/>
    </row>
    <row r="160" spans="14:30" x14ac:dyDescent="0.25">
      <c r="S160" s="54"/>
    </row>
    <row r="161" spans="19:19" x14ac:dyDescent="0.25">
      <c r="S161" s="54"/>
    </row>
    <row r="162" spans="19:19" x14ac:dyDescent="0.25">
      <c r="S162" s="54"/>
    </row>
    <row r="163" spans="19:19" x14ac:dyDescent="0.25"/>
    <row r="164" spans="19:19" x14ac:dyDescent="0.25"/>
    <row r="165" spans="19:19" x14ac:dyDescent="0.25"/>
    <row r="166" spans="19:19" x14ac:dyDescent="0.25"/>
    <row r="167" spans="19:19" x14ac:dyDescent="0.25"/>
    <row r="168" spans="19:19" x14ac:dyDescent="0.25"/>
    <row r="169" spans="19:19" x14ac:dyDescent="0.25"/>
    <row r="170" spans="19:19" x14ac:dyDescent="0.25"/>
    <row r="171" spans="19:19" x14ac:dyDescent="0.25"/>
    <row r="172" spans="19:19" x14ac:dyDescent="0.25"/>
    <row r="173" spans="19:19" x14ac:dyDescent="0.25"/>
    <row r="174" spans="19:19" x14ac:dyDescent="0.25"/>
    <row r="175" spans="19:19" x14ac:dyDescent="0.25"/>
    <row r="176" spans="19:19" x14ac:dyDescent="0.25"/>
    <row r="177" x14ac:dyDescent="0.25"/>
    <row r="178" x14ac:dyDescent="0.25"/>
    <row r="179" x14ac:dyDescent="0.25"/>
    <row r="180" x14ac:dyDescent="0.25"/>
    <row r="181" x14ac:dyDescent="0.25"/>
    <row r="182" x14ac:dyDescent="0.25"/>
    <row r="183" hidden="1" x14ac:dyDescent="0.25"/>
    <row r="184" hidden="1" x14ac:dyDescent="0.25"/>
    <row r="185" hidden="1" x14ac:dyDescent="0.25"/>
    <row r="186" hidden="1" x14ac:dyDescent="0.25"/>
    <row r="187" hidden="1" x14ac:dyDescent="0.25"/>
  </sheetData>
  <conditionalFormatting sqref="X41">
    <cfRule type="cellIs" dxfId="6" priority="6" stopIfTrue="1" operator="notBetween">
      <formula>1-0.00000000000001</formula>
      <formula>1+0.00000000001</formula>
    </cfRule>
  </conditionalFormatting>
  <conditionalFormatting sqref="P24">
    <cfRule type="cellIs" dxfId="5" priority="5" operator="notEqual">
      <formula>1</formula>
    </cfRule>
  </conditionalFormatting>
  <conditionalFormatting sqref="K33">
    <cfRule type="cellIs" dxfId="4" priority="4" operator="notEqual">
      <formula>1</formula>
    </cfRule>
  </conditionalFormatting>
  <conditionalFormatting sqref="J35:J57 AI9:AI13 AI16:AI20">
    <cfRule type="cellIs" dxfId="3" priority="3" operator="notBetween">
      <formula>0.000000001</formula>
      <formula>-0.000000001</formula>
    </cfRule>
  </conditionalFormatting>
  <conditionalFormatting sqref="K34">
    <cfRule type="cellIs" dxfId="2" priority="2" operator="notEqual">
      <formula>1</formula>
    </cfRule>
  </conditionalFormatting>
  <conditionalFormatting sqref="P34">
    <cfRule type="cellIs" dxfId="1" priority="1" stopIfTrue="1" operator="notBetween">
      <formula>0.999999999</formula>
      <formula>1.000000001</formula>
    </cfRule>
  </conditionalFormatting>
  <conditionalFormatting sqref="X42">
    <cfRule type="cellIs" dxfId="0" priority="7" operator="notEqual">
      <formula>#REF!</formula>
    </cfRule>
  </conditionalFormatting>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Sheet3</vt:lpstr>
      <vt:lpstr>Pierce Composting</vt:lpstr>
      <vt:lpstr>Tacoma Composting</vt:lpstr>
    </vt:vector>
  </TitlesOfParts>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Dieter Eckels</dc:creator>
  <cp:lastModifiedBy>Brian Harmon</cp:lastModifiedBy>
  <dcterms:created xsi:type="dcterms:W3CDTF">2017-05-19T17:31:39Z</dcterms:created>
  <dcterms:modified xsi:type="dcterms:W3CDTF">2017-06-24T00:57:06Z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1af304e0-1916-4e64-9809-49fe890b5de5</vt:lpwstr>
  </property>
</Properties>
</file>