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armon\Dropbox (Cascadia)\KC 2015 GHG Inventory\Kitsap County Inventory\KT15-50-0_Waste\"/>
    </mc:Choice>
  </mc:AlternateContent>
  <bookViews>
    <workbookView xWindow="0" yWindow="0" windowWidth="25200" windowHeight="11985" activeTab="2"/>
  </bookViews>
  <sheets>
    <sheet name="WARM emissions" sheetId="7" r:id="rId1"/>
    <sheet name="WARM categorized waste" sheetId="4" r:id="rId2"/>
    <sheet name="WasteEFs" sheetId="6" r:id="rId3"/>
  </sheets>
  <externalReferences>
    <externalReference r:id="rId4"/>
    <externalReference r:id="rId5"/>
  </externalReferences>
  <definedNames>
    <definedName name="HHVdistillate" localSheetId="2">WasteEFs!#REF!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7" l="1"/>
  <c r="J59" i="7"/>
  <c r="I59" i="7"/>
  <c r="H59" i="7"/>
  <c r="D6" i="7" l="1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" i="7"/>
  <c r="F59" i="4"/>
  <c r="E59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" i="4"/>
  <c r="D59" i="4"/>
  <c r="D46" i="4"/>
  <c r="D51" i="4"/>
  <c r="D47" i="4"/>
  <c r="D45" i="4"/>
  <c r="D48" i="4"/>
  <c r="D42" i="4"/>
  <c r="D17" i="4"/>
  <c r="D15" i="4"/>
  <c r="D14" i="4"/>
  <c r="D11" i="4"/>
  <c r="D16" i="4"/>
  <c r="D10" i="4"/>
  <c r="D12" i="4"/>
  <c r="D38" i="4"/>
  <c r="D18" i="4"/>
  <c r="D20" i="4"/>
  <c r="D24" i="4"/>
  <c r="D41" i="4"/>
  <c r="D7" i="4"/>
  <c r="D6" i="4"/>
  <c r="D59" i="7" l="1"/>
  <c r="J27" i="7"/>
  <c r="J57" i="7"/>
  <c r="J14" i="7"/>
  <c r="J22" i="7"/>
  <c r="J28" i="7"/>
  <c r="J32" i="7"/>
  <c r="J40" i="7"/>
  <c r="J58" i="7"/>
  <c r="J13" i="7"/>
  <c r="J31" i="7"/>
  <c r="J8" i="7"/>
  <c r="J16" i="7"/>
  <c r="J23" i="7"/>
  <c r="J29" i="7"/>
  <c r="J33" i="7"/>
  <c r="J43" i="7"/>
  <c r="J19" i="7"/>
  <c r="J39" i="7"/>
  <c r="J11" i="7"/>
  <c r="J17" i="7"/>
  <c r="J25" i="7"/>
  <c r="J30" i="7"/>
  <c r="J36" i="7"/>
  <c r="J53" i="7"/>
  <c r="E74" i="6" l="1"/>
  <c r="G74" i="6" s="1"/>
  <c r="E73" i="6"/>
  <c r="G73" i="6" s="1"/>
  <c r="G72" i="6"/>
  <c r="G75" i="6" s="1"/>
  <c r="Y62" i="6"/>
  <c r="S62" i="6"/>
  <c r="N62" i="6"/>
  <c r="M62" i="6"/>
  <c r="Y61" i="6"/>
  <c r="S61" i="6"/>
  <c r="N61" i="6"/>
  <c r="M61" i="6"/>
  <c r="Y60" i="6"/>
  <c r="S60" i="6"/>
  <c r="N60" i="6"/>
  <c r="M60" i="6"/>
  <c r="Y59" i="6"/>
  <c r="S59" i="6"/>
  <c r="N59" i="6"/>
  <c r="M59" i="6"/>
  <c r="Y58" i="6"/>
  <c r="S58" i="6"/>
  <c r="N58" i="6"/>
  <c r="M58" i="6"/>
  <c r="Y57" i="6"/>
  <c r="S57" i="6"/>
  <c r="N57" i="6"/>
  <c r="M57" i="6"/>
  <c r="Y56" i="6"/>
  <c r="S56" i="6"/>
  <c r="N56" i="6"/>
  <c r="M56" i="6"/>
  <c r="Y55" i="6"/>
  <c r="S55" i="6"/>
  <c r="Q55" i="6"/>
  <c r="U55" i="6" s="1"/>
  <c r="N55" i="6"/>
  <c r="M55" i="6"/>
  <c r="Y54" i="6"/>
  <c r="AA54" i="6"/>
  <c r="S54" i="6"/>
  <c r="N54" i="6"/>
  <c r="M54" i="6"/>
  <c r="Y53" i="6"/>
  <c r="S53" i="6"/>
  <c r="Q53" i="6"/>
  <c r="U53" i="6" s="1"/>
  <c r="N53" i="6"/>
  <c r="M53" i="6"/>
  <c r="Y52" i="6"/>
  <c r="AA52" i="6"/>
  <c r="S52" i="6"/>
  <c r="N52" i="6"/>
  <c r="M52" i="6"/>
  <c r="Y51" i="6"/>
  <c r="I53" i="7" s="1"/>
  <c r="S51" i="6"/>
  <c r="Q51" i="6"/>
  <c r="U51" i="6" s="1"/>
  <c r="N51" i="6"/>
  <c r="M51" i="6"/>
  <c r="Y50" i="6"/>
  <c r="AA50" i="6"/>
  <c r="S50" i="6"/>
  <c r="N50" i="6"/>
  <c r="M50" i="6"/>
  <c r="Y49" i="6"/>
  <c r="S49" i="6"/>
  <c r="Q49" i="6"/>
  <c r="U49" i="6" s="1"/>
  <c r="N49" i="6"/>
  <c r="M49" i="6"/>
  <c r="Y48" i="6"/>
  <c r="AA48" i="6"/>
  <c r="S48" i="6"/>
  <c r="N48" i="6"/>
  <c r="M48" i="6"/>
  <c r="Y47" i="6"/>
  <c r="S47" i="6"/>
  <c r="Q47" i="6"/>
  <c r="U47" i="6" s="1"/>
  <c r="N47" i="6"/>
  <c r="M47" i="6"/>
  <c r="Y46" i="6"/>
  <c r="AA46" i="6"/>
  <c r="S46" i="6"/>
  <c r="N46" i="6"/>
  <c r="M46" i="6"/>
  <c r="Y45" i="6"/>
  <c r="S45" i="6"/>
  <c r="Q45" i="6"/>
  <c r="U45" i="6" s="1"/>
  <c r="N45" i="6"/>
  <c r="M45" i="6"/>
  <c r="Y44" i="6"/>
  <c r="AA44" i="6"/>
  <c r="S44" i="6"/>
  <c r="N44" i="6"/>
  <c r="M44" i="6"/>
  <c r="Y43" i="6"/>
  <c r="S43" i="6"/>
  <c r="Q43" i="6"/>
  <c r="U43" i="6" s="1"/>
  <c r="N43" i="6"/>
  <c r="M43" i="6"/>
  <c r="Y42" i="6"/>
  <c r="S42" i="6"/>
  <c r="N42" i="6"/>
  <c r="M42" i="6"/>
  <c r="Y41" i="6"/>
  <c r="S41" i="6"/>
  <c r="Q41" i="6"/>
  <c r="U41" i="6" s="1"/>
  <c r="N41" i="6"/>
  <c r="M41" i="6"/>
  <c r="Y40" i="6"/>
  <c r="AA40" i="6" s="1"/>
  <c r="S40" i="6"/>
  <c r="N40" i="6"/>
  <c r="M40" i="6"/>
  <c r="Y39" i="6"/>
  <c r="S39" i="6"/>
  <c r="Q39" i="6"/>
  <c r="U39" i="6" s="1"/>
  <c r="N39" i="6"/>
  <c r="M39" i="6"/>
  <c r="Y38" i="6"/>
  <c r="S38" i="6"/>
  <c r="N38" i="6"/>
  <c r="M38" i="6"/>
  <c r="Y37" i="6"/>
  <c r="S37" i="6"/>
  <c r="Q37" i="6"/>
  <c r="U37" i="6" s="1"/>
  <c r="N37" i="6"/>
  <c r="M37" i="6"/>
  <c r="Y36" i="6"/>
  <c r="S36" i="6"/>
  <c r="N36" i="6"/>
  <c r="M36" i="6"/>
  <c r="C36" i="6"/>
  <c r="Y35" i="6"/>
  <c r="S35" i="6"/>
  <c r="Q35" i="6"/>
  <c r="U35" i="6" s="1"/>
  <c r="N35" i="6"/>
  <c r="M35" i="6"/>
  <c r="C35" i="6"/>
  <c r="Y34" i="6"/>
  <c r="S34" i="6"/>
  <c r="N34" i="6"/>
  <c r="M34" i="6"/>
  <c r="C34" i="6"/>
  <c r="Y33" i="6"/>
  <c r="S33" i="6"/>
  <c r="N33" i="6"/>
  <c r="M33" i="6"/>
  <c r="C33" i="6"/>
  <c r="Y32" i="6"/>
  <c r="S32" i="6"/>
  <c r="Q32" i="6"/>
  <c r="U32" i="6" s="1"/>
  <c r="N32" i="6"/>
  <c r="M32" i="6"/>
  <c r="C32" i="6"/>
  <c r="Y31" i="6"/>
  <c r="S31" i="6"/>
  <c r="N31" i="6"/>
  <c r="M31" i="6"/>
  <c r="C31" i="6"/>
  <c r="Y30" i="6"/>
  <c r="S30" i="6"/>
  <c r="N30" i="6"/>
  <c r="M30" i="6"/>
  <c r="C30" i="6"/>
  <c r="Y29" i="6"/>
  <c r="S29" i="6"/>
  <c r="N29" i="6"/>
  <c r="M29" i="6"/>
  <c r="C29" i="6"/>
  <c r="Y28" i="6"/>
  <c r="S28" i="6"/>
  <c r="N28" i="6"/>
  <c r="M28" i="6"/>
  <c r="C28" i="6"/>
  <c r="Y27" i="6"/>
  <c r="S27" i="6"/>
  <c r="Q27" i="6"/>
  <c r="U27" i="6" s="1"/>
  <c r="N27" i="6"/>
  <c r="M27" i="6"/>
  <c r="C27" i="6"/>
  <c r="Y26" i="6"/>
  <c r="S26" i="6"/>
  <c r="N26" i="6"/>
  <c r="M26" i="6"/>
  <c r="C26" i="6"/>
  <c r="Y25" i="6"/>
  <c r="S25" i="6"/>
  <c r="N25" i="6"/>
  <c r="M25" i="6"/>
  <c r="C25" i="6"/>
  <c r="Y24" i="6"/>
  <c r="S24" i="6"/>
  <c r="Q24" i="6"/>
  <c r="U24" i="6" s="1"/>
  <c r="N24" i="6"/>
  <c r="M24" i="6"/>
  <c r="C24" i="6"/>
  <c r="Y23" i="6"/>
  <c r="S23" i="6"/>
  <c r="N23" i="6"/>
  <c r="M23" i="6"/>
  <c r="C23" i="6"/>
  <c r="Y22" i="6"/>
  <c r="S22" i="6"/>
  <c r="N22" i="6"/>
  <c r="M22" i="6"/>
  <c r="C22" i="6"/>
  <c r="Y21" i="6"/>
  <c r="S21" i="6"/>
  <c r="N21" i="6"/>
  <c r="M21" i="6"/>
  <c r="C21" i="6"/>
  <c r="Y20" i="6"/>
  <c r="S20" i="6"/>
  <c r="N20" i="6"/>
  <c r="M20" i="6"/>
  <c r="C20" i="6"/>
  <c r="Y19" i="6"/>
  <c r="S19" i="6"/>
  <c r="Q19" i="6"/>
  <c r="U19" i="6" s="1"/>
  <c r="N19" i="6"/>
  <c r="M19" i="6"/>
  <c r="C19" i="6"/>
  <c r="Y18" i="6"/>
  <c r="C18" i="6"/>
  <c r="Y17" i="6"/>
  <c r="I19" i="7" s="1"/>
  <c r="C17" i="6"/>
  <c r="Y16" i="6"/>
  <c r="C16" i="6"/>
  <c r="Y15" i="6"/>
  <c r="C15" i="6"/>
  <c r="Y14" i="6"/>
  <c r="C14" i="6"/>
  <c r="Y13" i="6"/>
  <c r="C13" i="6"/>
  <c r="Y12" i="6"/>
  <c r="C12" i="6"/>
  <c r="Y11" i="6"/>
  <c r="C11" i="6"/>
  <c r="Y10" i="6"/>
  <c r="AA10" i="6" s="1"/>
  <c r="C10" i="6"/>
  <c r="Y9" i="6"/>
  <c r="C9" i="6"/>
  <c r="I30" i="7" l="1"/>
  <c r="I32" i="7"/>
  <c r="AA14" i="6"/>
  <c r="H11" i="7"/>
  <c r="I25" i="7"/>
  <c r="I29" i="7"/>
  <c r="I36" i="7"/>
  <c r="AA58" i="6"/>
  <c r="H17" i="7"/>
  <c r="I13" i="7"/>
  <c r="I22" i="7"/>
  <c r="I28" i="7"/>
  <c r="I31" i="7"/>
  <c r="AA33" i="6"/>
  <c r="I39" i="7"/>
  <c r="I43" i="7"/>
  <c r="AA57" i="6"/>
  <c r="I17" i="7"/>
  <c r="AA28" i="6"/>
  <c r="H29" i="7"/>
  <c r="K29" i="7" s="1"/>
  <c r="AA20" i="6"/>
  <c r="H22" i="7"/>
  <c r="I23" i="7"/>
  <c r="AA38" i="6"/>
  <c r="H39" i="7"/>
  <c r="I40" i="7"/>
  <c r="AA42" i="6"/>
  <c r="H43" i="7"/>
  <c r="K43" i="7" s="1"/>
  <c r="I57" i="7"/>
  <c r="I11" i="7"/>
  <c r="I8" i="7"/>
  <c r="AA17" i="6"/>
  <c r="H19" i="7"/>
  <c r="K19" i="7" s="1"/>
  <c r="AA25" i="6"/>
  <c r="I27" i="7"/>
  <c r="I33" i="7"/>
  <c r="AA36" i="6"/>
  <c r="AA56" i="6"/>
  <c r="H58" i="7"/>
  <c r="I14" i="7"/>
  <c r="I16" i="7"/>
  <c r="I58" i="7"/>
  <c r="AA59" i="6"/>
  <c r="H13" i="7"/>
  <c r="K34" i="6"/>
  <c r="O34" i="6" s="1"/>
  <c r="K30" i="6"/>
  <c r="O30" i="6" s="1"/>
  <c r="K26" i="6"/>
  <c r="O26" i="6" s="1"/>
  <c r="K22" i="6"/>
  <c r="O22" i="6" s="1"/>
  <c r="K62" i="6"/>
  <c r="O62" i="6" s="1"/>
  <c r="K60" i="6"/>
  <c r="O60" i="6" s="1"/>
  <c r="K58" i="6"/>
  <c r="O58" i="6" s="1"/>
  <c r="K33" i="6"/>
  <c r="O33" i="6" s="1"/>
  <c r="K29" i="6"/>
  <c r="O29" i="6" s="1"/>
  <c r="K25" i="6"/>
  <c r="O25" i="6" s="1"/>
  <c r="K21" i="6"/>
  <c r="O21" i="6" s="1"/>
  <c r="K61" i="6"/>
  <c r="O61" i="6" s="1"/>
  <c r="K59" i="6"/>
  <c r="O59" i="6" s="1"/>
  <c r="K57" i="6"/>
  <c r="O57" i="6" s="1"/>
  <c r="K56" i="6"/>
  <c r="O56" i="6" s="1"/>
  <c r="K54" i="6"/>
  <c r="O54" i="6" s="1"/>
  <c r="K52" i="6"/>
  <c r="O52" i="6" s="1"/>
  <c r="K50" i="6"/>
  <c r="O50" i="6" s="1"/>
  <c r="K48" i="6"/>
  <c r="O48" i="6" s="1"/>
  <c r="K46" i="6"/>
  <c r="O46" i="6" s="1"/>
  <c r="K44" i="6"/>
  <c r="O44" i="6" s="1"/>
  <c r="K42" i="6"/>
  <c r="O42" i="6" s="1"/>
  <c r="K40" i="6"/>
  <c r="O40" i="6" s="1"/>
  <c r="K38" i="6"/>
  <c r="O38" i="6" s="1"/>
  <c r="K36" i="6"/>
  <c r="O36" i="6" s="1"/>
  <c r="K28" i="6"/>
  <c r="O28" i="6" s="1"/>
  <c r="K20" i="6"/>
  <c r="O20" i="6" s="1"/>
  <c r="K55" i="6"/>
  <c r="O55" i="6" s="1"/>
  <c r="K53" i="6"/>
  <c r="O53" i="6" s="1"/>
  <c r="K49" i="6"/>
  <c r="O49" i="6" s="1"/>
  <c r="K45" i="6"/>
  <c r="O45" i="6" s="1"/>
  <c r="K43" i="6"/>
  <c r="O43" i="6" s="1"/>
  <c r="K24" i="6"/>
  <c r="O24" i="6" s="1"/>
  <c r="K31" i="6"/>
  <c r="O31" i="6" s="1"/>
  <c r="K35" i="6"/>
  <c r="O35" i="6" s="1"/>
  <c r="K27" i="6"/>
  <c r="O27" i="6" s="1"/>
  <c r="K19" i="6"/>
  <c r="O19" i="6" s="1"/>
  <c r="K51" i="6"/>
  <c r="O51" i="6" s="1"/>
  <c r="K47" i="6"/>
  <c r="O47" i="6" s="1"/>
  <c r="K41" i="6"/>
  <c r="O41" i="6" s="1"/>
  <c r="K39" i="6"/>
  <c r="O39" i="6" s="1"/>
  <c r="K37" i="6"/>
  <c r="O37" i="6" s="1"/>
  <c r="K32" i="6"/>
  <c r="O32" i="6" s="1"/>
  <c r="K23" i="6"/>
  <c r="O23" i="6" s="1"/>
  <c r="Q34" i="6"/>
  <c r="U34" i="6" s="1"/>
  <c r="Q30" i="6"/>
  <c r="U30" i="6" s="1"/>
  <c r="Q26" i="6"/>
  <c r="U26" i="6" s="1"/>
  <c r="Q22" i="6"/>
  <c r="U22" i="6" s="1"/>
  <c r="AA16" i="6"/>
  <c r="Q61" i="6"/>
  <c r="U61" i="6" s="1"/>
  <c r="Q59" i="6"/>
  <c r="U59" i="6" s="1"/>
  <c r="Q57" i="6"/>
  <c r="U57" i="6" s="1"/>
  <c r="Q33" i="6"/>
  <c r="U33" i="6" s="1"/>
  <c r="Q29" i="6"/>
  <c r="U29" i="6" s="1"/>
  <c r="Q25" i="6"/>
  <c r="U25" i="6" s="1"/>
  <c r="Q21" i="6"/>
  <c r="U21" i="6" s="1"/>
  <c r="AA18" i="6"/>
  <c r="AA15" i="6"/>
  <c r="AA12" i="6"/>
  <c r="AA9" i="6"/>
  <c r="Q62" i="6"/>
  <c r="U62" i="6" s="1"/>
  <c r="Q60" i="6"/>
  <c r="U60" i="6" s="1"/>
  <c r="Q58" i="6"/>
  <c r="U58" i="6" s="1"/>
  <c r="AA13" i="6"/>
  <c r="AA61" i="6"/>
  <c r="Q20" i="6"/>
  <c r="U20" i="6" s="1"/>
  <c r="Q23" i="6"/>
  <c r="U23" i="6" s="1"/>
  <c r="AA24" i="6"/>
  <c r="Q28" i="6"/>
  <c r="U28" i="6" s="1"/>
  <c r="Q31" i="6"/>
  <c r="U31" i="6" s="1"/>
  <c r="Q36" i="6"/>
  <c r="U36" i="6" s="1"/>
  <c r="AA37" i="6"/>
  <c r="Q38" i="6"/>
  <c r="U38" i="6" s="1"/>
  <c r="Q40" i="6"/>
  <c r="U40" i="6" s="1"/>
  <c r="AA41" i="6"/>
  <c r="Q42" i="6"/>
  <c r="U42" i="6" s="1"/>
  <c r="Q44" i="6"/>
  <c r="U44" i="6" s="1"/>
  <c r="Q46" i="6"/>
  <c r="U46" i="6" s="1"/>
  <c r="Q48" i="6"/>
  <c r="U48" i="6" s="1"/>
  <c r="Q50" i="6"/>
  <c r="U50" i="6" s="1"/>
  <c r="Q52" i="6"/>
  <c r="U52" i="6" s="1"/>
  <c r="Q54" i="6"/>
  <c r="U54" i="6" s="1"/>
  <c r="Q56" i="6"/>
  <c r="U56" i="6" s="1"/>
  <c r="K11" i="7" l="1"/>
  <c r="K22" i="7"/>
  <c r="K39" i="7"/>
  <c r="K13" i="7"/>
  <c r="K17" i="7"/>
  <c r="K58" i="7"/>
  <c r="AA55" i="6"/>
  <c r="H57" i="7"/>
  <c r="K57" i="7" s="1"/>
  <c r="AA51" i="6"/>
  <c r="H53" i="7"/>
  <c r="K53" i="7" s="1"/>
  <c r="AA47" i="6"/>
  <c r="AA43" i="6"/>
  <c r="AA39" i="6"/>
  <c r="H40" i="7"/>
  <c r="K40" i="7" s="1"/>
  <c r="AA32" i="6"/>
  <c r="H33" i="7"/>
  <c r="K33" i="7" s="1"/>
  <c r="AA62" i="6"/>
  <c r="H16" i="7"/>
  <c r="K16" i="7" s="1"/>
  <c r="AA11" i="6"/>
  <c r="H8" i="7"/>
  <c r="K8" i="7" s="1"/>
  <c r="AA19" i="6"/>
  <c r="AA27" i="6"/>
  <c r="H28" i="7"/>
  <c r="K28" i="7" s="1"/>
  <c r="AA35" i="6"/>
  <c r="H36" i="7"/>
  <c r="K36" i="7" s="1"/>
  <c r="AA26" i="6"/>
  <c r="H27" i="7"/>
  <c r="K27" i="7" s="1"/>
  <c r="AA30" i="6"/>
  <c r="H31" i="7"/>
  <c r="K31" i="7" s="1"/>
  <c r="AA34" i="6"/>
  <c r="AA22" i="6"/>
  <c r="AA53" i="6"/>
  <c r="AA49" i="6"/>
  <c r="AA45" i="6"/>
  <c r="AA29" i="6"/>
  <c r="H30" i="7"/>
  <c r="K30" i="7" s="1"/>
  <c r="AA21" i="6"/>
  <c r="H23" i="7"/>
  <c r="K23" i="7" s="1"/>
  <c r="AA60" i="6"/>
  <c r="H14" i="7"/>
  <c r="K14" i="7" s="1"/>
  <c r="AA23" i="6"/>
  <c r="H25" i="7"/>
  <c r="K25" i="7" s="1"/>
  <c r="AA31" i="6"/>
  <c r="H32" i="7"/>
  <c r="K32" i="7" s="1"/>
  <c r="I26" i="7" l="1"/>
  <c r="H26" i="7"/>
  <c r="J26" i="7"/>
  <c r="I50" i="7"/>
  <c r="J50" i="7"/>
  <c r="H50" i="7"/>
  <c r="I15" i="7"/>
  <c r="J15" i="7"/>
  <c r="H15" i="7"/>
  <c r="I44" i="7"/>
  <c r="H44" i="7"/>
  <c r="J44" i="7"/>
  <c r="I45" i="7"/>
  <c r="H45" i="7"/>
  <c r="J45" i="7"/>
  <c r="I54" i="7"/>
  <c r="H54" i="7"/>
  <c r="J54" i="7"/>
  <c r="I24" i="7"/>
  <c r="H24" i="7"/>
  <c r="J24" i="7"/>
  <c r="I38" i="7"/>
  <c r="H38" i="7"/>
  <c r="J38" i="7"/>
  <c r="I42" i="7"/>
  <c r="J42" i="7"/>
  <c r="H42" i="7"/>
  <c r="I49" i="7"/>
  <c r="H49" i="7"/>
  <c r="J49" i="7"/>
  <c r="I18" i="7"/>
  <c r="J18" i="7"/>
  <c r="H18" i="7"/>
  <c r="H5" i="7"/>
  <c r="I5" i="7"/>
  <c r="J5" i="7"/>
  <c r="I34" i="7"/>
  <c r="J34" i="7"/>
  <c r="H34" i="7"/>
  <c r="I52" i="7"/>
  <c r="H52" i="7"/>
  <c r="J52" i="7"/>
  <c r="H51" i="7"/>
  <c r="I51" i="7"/>
  <c r="J51" i="7"/>
  <c r="I48" i="7"/>
  <c r="H48" i="7"/>
  <c r="J48" i="7"/>
  <c r="I12" i="7"/>
  <c r="H12" i="7"/>
  <c r="J12" i="7"/>
  <c r="I7" i="7"/>
  <c r="J7" i="7"/>
  <c r="H7" i="7"/>
  <c r="I55" i="7"/>
  <c r="J55" i="7"/>
  <c r="H55" i="7"/>
  <c r="H37" i="7"/>
  <c r="I37" i="7"/>
  <c r="J37" i="7"/>
  <c r="H21" i="7"/>
  <c r="I21" i="7"/>
  <c r="J21" i="7"/>
  <c r="J41" i="7"/>
  <c r="H41" i="7"/>
  <c r="I41" i="7"/>
  <c r="H9" i="7"/>
  <c r="I9" i="7"/>
  <c r="J9" i="7"/>
  <c r="I35" i="7"/>
  <c r="J35" i="7"/>
  <c r="H35" i="7"/>
  <c r="J47" i="7"/>
  <c r="I47" i="7"/>
  <c r="H47" i="7"/>
  <c r="I20" i="7"/>
  <c r="H20" i="7"/>
  <c r="J20" i="7"/>
  <c r="I56" i="7"/>
  <c r="H56" i="7"/>
  <c r="J56" i="7"/>
  <c r="I10" i="7"/>
  <c r="J10" i="7"/>
  <c r="H10" i="7"/>
  <c r="I6" i="7"/>
  <c r="H6" i="7"/>
  <c r="J6" i="7"/>
  <c r="I46" i="7"/>
  <c r="H46" i="7"/>
  <c r="J46" i="7"/>
  <c r="E59" i="7"/>
  <c r="K7" i="7" l="1"/>
  <c r="K6" i="7"/>
  <c r="K37" i="7"/>
  <c r="K12" i="7"/>
  <c r="K45" i="7"/>
  <c r="K26" i="7"/>
  <c r="K9" i="7"/>
  <c r="K51" i="7"/>
  <c r="K24" i="7"/>
  <c r="K46" i="7"/>
  <c r="K20" i="7"/>
  <c r="K41" i="7"/>
  <c r="K21" i="7"/>
  <c r="K55" i="7"/>
  <c r="K52" i="7"/>
  <c r="K42" i="7"/>
  <c r="K38" i="7"/>
  <c r="K44" i="7"/>
  <c r="K10" i="7"/>
  <c r="K56" i="7"/>
  <c r="K35" i="7"/>
  <c r="K50" i="7"/>
  <c r="K47" i="7"/>
  <c r="K48" i="7"/>
  <c r="K34" i="7"/>
  <c r="K18" i="7"/>
  <c r="K49" i="7"/>
  <c r="K54" i="7"/>
  <c r="K15" i="7"/>
  <c r="K5" i="7"/>
</calcChain>
</file>

<file path=xl/comments1.xml><?xml version="1.0" encoding="utf-8"?>
<comments xmlns="http://schemas.openxmlformats.org/spreadsheetml/2006/main">
  <authors>
    <author>Andrea Martin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Andrea Martin:</t>
        </r>
        <r>
          <rPr>
            <sz val="9"/>
            <color indexed="81"/>
            <rFont val="Tahoma"/>
            <family val="2"/>
          </rPr>
          <t xml:space="preserve">
Can we note the source for these data?</t>
        </r>
      </text>
    </comment>
  </commentList>
</comments>
</file>

<file path=xl/comments2.xml><?xml version="1.0" encoding="utf-8"?>
<comments xmlns="http://schemas.openxmlformats.org/spreadsheetml/2006/main">
  <authors>
    <author>Andrea Martin</author>
    <author>Shannon Donegan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Andrea Martin:</t>
        </r>
        <r>
          <rPr>
            <sz val="9"/>
            <color indexed="81"/>
            <rFont val="Tahoma"/>
            <family val="2"/>
          </rPr>
          <t xml:space="preserve">
Will need to update these based on updated fuel usage for 2015.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Andrea Martin:</t>
        </r>
        <r>
          <rPr>
            <sz val="9"/>
            <color indexed="81"/>
            <rFont val="Tahoma"/>
            <family val="2"/>
          </rPr>
          <t xml:space="preserve">
Total from WARM net sequestration and transportation (assuming 100% recovery).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>Andrea Martin:</t>
        </r>
        <r>
          <rPr>
            <sz val="9"/>
            <color indexed="81"/>
            <rFont val="Tahoma"/>
            <family val="2"/>
          </rPr>
          <t xml:space="preserve">
From WARM (column BZ on "Landfilling Efs" tab).</t>
        </r>
      </text>
    </comment>
    <comment ref="W8" authorId="0" shapeId="0">
      <text>
        <r>
          <rPr>
            <b/>
            <sz val="9"/>
            <color indexed="81"/>
            <rFont val="Tahoma"/>
            <family val="2"/>
          </rPr>
          <t>Andrea Martin:</t>
        </r>
        <r>
          <rPr>
            <sz val="9"/>
            <color indexed="81"/>
            <rFont val="Tahoma"/>
            <family val="2"/>
          </rPr>
          <t xml:space="preserve">
default from WARM v14</t>
        </r>
      </text>
    </comment>
    <comment ref="X8" authorId="0" shapeId="0">
      <text>
        <r>
          <rPr>
            <b/>
            <sz val="9"/>
            <color indexed="81"/>
            <rFont val="Tahoma"/>
            <family val="2"/>
          </rPr>
          <t>Andrea Martin:</t>
        </r>
        <r>
          <rPr>
            <sz val="9"/>
            <color indexed="81"/>
            <rFont val="Tahoma"/>
            <family val="2"/>
          </rPr>
          <t xml:space="preserve">
Total from WARM net sequestration and transportation (assuming 100% recovery).</t>
        </r>
      </text>
    </comment>
    <comment ref="Z8" authorId="0" shapeId="0">
      <text>
        <r>
          <rPr>
            <b/>
            <sz val="9"/>
            <color indexed="81"/>
            <rFont val="Tahoma"/>
            <family val="2"/>
          </rPr>
          <t>Andrea Martin:</t>
        </r>
        <r>
          <rPr>
            <sz val="9"/>
            <color indexed="81"/>
            <rFont val="Tahoma"/>
            <family val="2"/>
          </rPr>
          <t xml:space="preserve">
From WARM (column BZ on "Landfilling Efs" tab).</t>
        </r>
      </text>
    </comment>
    <comment ref="E73" authorId="1" shapeId="0">
      <text>
        <r>
          <rPr>
            <b/>
            <sz val="8"/>
            <color indexed="81"/>
            <rFont val="Tahoma"/>
            <family val="2"/>
          </rPr>
          <t>Shannon Donegan:</t>
        </r>
        <r>
          <rPr>
            <sz val="8"/>
            <color indexed="81"/>
            <rFont val="Tahoma"/>
            <family val="2"/>
          </rPr>
          <t xml:space="preserve">
According to the EPA regulations for the National Renewable Fuel Standard for 2010 and Beyond (2010), biodiesel results in roughly 57% less lifecycle emissions than fossil fuel based biodiesel
(from email from Matt.Kuharic@kingcounty.gov)</t>
        </r>
      </text>
    </comment>
  </commentList>
</comments>
</file>

<file path=xl/sharedStrings.xml><?xml version="1.0" encoding="utf-8"?>
<sst xmlns="http://schemas.openxmlformats.org/spreadsheetml/2006/main" count="275" uniqueCount="103">
  <si>
    <t>Glass</t>
  </si>
  <si>
    <t>Newspaper</t>
  </si>
  <si>
    <t>Dimensional Lumber</t>
  </si>
  <si>
    <t>Concrete</t>
  </si>
  <si>
    <t>Asphalt Shingles</t>
  </si>
  <si>
    <t>Carpet</t>
  </si>
  <si>
    <t>Tires</t>
  </si>
  <si>
    <t>Landfilling of Post-Consumer Material</t>
  </si>
  <si>
    <t>(GHG Emissions in MTCO2E/Ton)</t>
  </si>
  <si>
    <t>Net</t>
  </si>
  <si>
    <t>Landfill</t>
  </si>
  <si>
    <t>Net Landfill CH4</t>
  </si>
  <si>
    <t>Transportation</t>
  </si>
  <si>
    <t>Carbon</t>
  </si>
  <si>
    <t>after capture</t>
  </si>
  <si>
    <t>Old Categories (to match)</t>
  </si>
  <si>
    <t>New Categories</t>
  </si>
  <si>
    <t>Old</t>
  </si>
  <si>
    <t>Transportation to Landfill</t>
  </si>
  <si>
    <t>Net Landfill CH4 after Capture</t>
  </si>
  <si>
    <t>Landfill Carbon Sequestration</t>
  </si>
  <si>
    <t>TOTAL</t>
  </si>
  <si>
    <t>Aluminum Cans</t>
  </si>
  <si>
    <t>Steel Cans</t>
  </si>
  <si>
    <t>Copper Wire</t>
  </si>
  <si>
    <t>HDPE</t>
  </si>
  <si>
    <t>LDPE</t>
  </si>
  <si>
    <t>PET</t>
  </si>
  <si>
    <t>Corrugated Cardboard</t>
  </si>
  <si>
    <t>Corrugated Containers</t>
  </si>
  <si>
    <t>Magazines/Third-class Mail</t>
  </si>
  <si>
    <t>Office Paper</t>
  </si>
  <si>
    <t>Phonebooks</t>
  </si>
  <si>
    <t>Landfill gas capture</t>
  </si>
  <si>
    <t>Textbooks</t>
  </si>
  <si>
    <t>Medium-density Fiberboard</t>
  </si>
  <si>
    <t>Food Scraps</t>
  </si>
  <si>
    <t>Food Waste</t>
  </si>
  <si>
    <t>Food Waste (Non-Meat)</t>
  </si>
  <si>
    <t>Food Waste (Meat only)</t>
  </si>
  <si>
    <t>Beef</t>
  </si>
  <si>
    <t>Poultry</t>
  </si>
  <si>
    <t>Grains</t>
  </si>
  <si>
    <t>Bread</t>
  </si>
  <si>
    <t>Fruits and Vegetables</t>
  </si>
  <si>
    <t>Dairy Products</t>
  </si>
  <si>
    <t>Yard Trimmings</t>
  </si>
  <si>
    <t>Grass</t>
  </si>
  <si>
    <t>Leaves</t>
  </si>
  <si>
    <t>Branches</t>
  </si>
  <si>
    <t>Mixed Paper (general)</t>
  </si>
  <si>
    <t>Mixed Paper (primarily residential)</t>
  </si>
  <si>
    <t>Personal Computers</t>
  </si>
  <si>
    <t>Mixed Paper (primarily from offices)</t>
  </si>
  <si>
    <t>Clay Bricks</t>
  </si>
  <si>
    <t>Mixed Metals</t>
  </si>
  <si>
    <t>Mixed Plastics</t>
  </si>
  <si>
    <t>Fly Ash</t>
  </si>
  <si>
    <t>Mixed Recyclables</t>
  </si>
  <si>
    <t>Mixed Organics</t>
  </si>
  <si>
    <t>Asphalt Concrete</t>
  </si>
  <si>
    <t>Mixed MSW</t>
  </si>
  <si>
    <t>Drywall</t>
  </si>
  <si>
    <t>Fiberglass Insulation</t>
  </si>
  <si>
    <t>Vinyl Flooring</t>
  </si>
  <si>
    <t>Wood Flooring</t>
  </si>
  <si>
    <t>Aluminum Ingot</t>
  </si>
  <si>
    <t>PLA</t>
  </si>
  <si>
    <t>LLDPE</t>
  </si>
  <si>
    <t>PP</t>
  </si>
  <si>
    <t>PS</t>
  </si>
  <si>
    <t>PVC</t>
  </si>
  <si>
    <t>Notes</t>
  </si>
  <si>
    <t>[1]</t>
  </si>
  <si>
    <t>[2]</t>
  </si>
  <si>
    <t>King County 2008 fuel use:</t>
  </si>
  <si>
    <t>Emission factors:</t>
  </si>
  <si>
    <t>Emissions</t>
  </si>
  <si>
    <t>Diesel</t>
  </si>
  <si>
    <t>L</t>
  </si>
  <si>
    <r>
      <t>gCO</t>
    </r>
    <r>
      <rPr>
        <vertAlign val="subscript"/>
        <sz val="9"/>
        <rFont val="Arial"/>
        <family val="2"/>
      </rPr>
      <t>2</t>
    </r>
    <r>
      <rPr>
        <sz val="11"/>
        <color theme="1"/>
        <rFont val="Calibri"/>
        <family val="2"/>
        <scheme val="minor"/>
      </rPr>
      <t>/L</t>
    </r>
  </si>
  <si>
    <t>MTCO2e</t>
  </si>
  <si>
    <t>100% Biodiesel</t>
  </si>
  <si>
    <t>Unleaded gasoline</t>
  </si>
  <si>
    <t>2008 King County total tons</t>
  </si>
  <si>
    <t>2008 King County MTCO2e/ton</t>
  </si>
  <si>
    <t>Tons Disposed</t>
  </si>
  <si>
    <t>Waste Categories</t>
  </si>
  <si>
    <t>Food Waste (non-meat)</t>
  </si>
  <si>
    <t>Food Waste (meat only)</t>
  </si>
  <si>
    <t>Total</t>
  </si>
  <si>
    <t>Seattle + King County</t>
  </si>
  <si>
    <t>Kitsap</t>
  </si>
  <si>
    <t>Kitsap County</t>
  </si>
  <si>
    <t xml:space="preserve">Tons disposed in Kitsap </t>
  </si>
  <si>
    <t>Ecology</t>
  </si>
  <si>
    <t>Ecology Percent</t>
  </si>
  <si>
    <t>Kitsap tonnage</t>
  </si>
  <si>
    <t>Kitsap Quantity</t>
  </si>
  <si>
    <t>Kitsap Emissions (MTCO2E)</t>
  </si>
  <si>
    <t>Kitsap County Emission Factors (from WARM v14)</t>
  </si>
  <si>
    <t>Assigned same value as Seattle</t>
  </si>
  <si>
    <t>Kitsap County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</si>
</sst>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General_)"/>
    <numFmt numFmtId="166" formatCode="0.00_)"/>
    <numFmt numFmtId="167" formatCode="_(* #,##0.00000_);_(* \(#,##0.00000\);_(* &quot;-&quot;??_);_(@_)"/>
    <numFmt numFmtId="168" formatCode="_(* #,##0.000_);_(* \(#,##0.000\);_(* &quot;-&quot;??_);_(@_)"/>
    <numFmt numFmtId="169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Helvetica"/>
      <family val="2"/>
    </font>
    <font>
      <b/>
      <sz val="10"/>
      <name val="Helvetica"/>
      <family val="2"/>
    </font>
    <font>
      <sz val="11"/>
      <color theme="0" tint="-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helv"/>
    </font>
    <font>
      <sz val="7"/>
      <name val="Helvetica"/>
      <family val="2"/>
    </font>
    <font>
      <vertAlign val="subscript"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theme="1"/>
      <name val="Calibri"/>
      <family val="2"/>
      <scheme val="minor"/>
    </font>
    <font>
      <sz val="7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/>
    <xf numFmtId="165" fontId="9" fillId="0" borderId="0"/>
  </cellStyleXfs>
  <cellXfs count="91">
    <xf numFmtId="0" fontId="0" fillId="0" borderId="0" xfId="0"/>
    <xf numFmtId="165" fontId="6" fillId="0" borderId="0" xfId="3" applyNumberFormat="1" applyFont="1" applyAlignment="1" applyProtection="1">
      <alignment horizontal="centerContinuous"/>
    </xf>
    <xf numFmtId="0" fontId="3" fillId="0" borderId="0" xfId="0" applyFont="1"/>
    <xf numFmtId="165" fontId="5" fillId="0" borderId="2" xfId="3" applyFont="1" applyBorder="1" applyAlignment="1">
      <alignment horizontal="centerContinuous"/>
    </xf>
    <xf numFmtId="165" fontId="5" fillId="0" borderId="3" xfId="3" applyFont="1" applyBorder="1" applyAlignment="1">
      <alignment horizontal="centerContinuous"/>
    </xf>
    <xf numFmtId="165" fontId="5" fillId="0" borderId="4" xfId="3" applyFont="1" applyBorder="1" applyAlignment="1">
      <alignment horizontal="centerContinuous"/>
    </xf>
    <xf numFmtId="165" fontId="5" fillId="0" borderId="0" xfId="3" applyFont="1" applyBorder="1" applyAlignment="1">
      <alignment horizontal="centerContinuous"/>
    </xf>
    <xf numFmtId="165" fontId="5" fillId="0" borderId="5" xfId="3" applyFont="1" applyBorder="1" applyAlignment="1">
      <alignment horizontal="centerContinuous"/>
    </xf>
    <xf numFmtId="165" fontId="5" fillId="0" borderId="1" xfId="3" applyFont="1" applyBorder="1" applyAlignment="1">
      <alignment horizontal="centerContinuous"/>
    </xf>
    <xf numFmtId="165" fontId="5" fillId="0" borderId="6" xfId="3" applyFont="1" applyBorder="1" applyAlignment="1">
      <alignment horizontal="centerContinuous"/>
    </xf>
    <xf numFmtId="166" fontId="5" fillId="0" borderId="7" xfId="3" applyNumberFormat="1" applyFont="1" applyBorder="1" applyAlignment="1" applyProtection="1">
      <alignment horizontal="center"/>
    </xf>
    <xf numFmtId="165" fontId="5" fillId="0" borderId="7" xfId="3" applyNumberFormat="1" applyFont="1" applyBorder="1" applyAlignment="1" applyProtection="1">
      <alignment horizontal="center"/>
    </xf>
    <xf numFmtId="0" fontId="0" fillId="0" borderId="0" xfId="0" applyAlignment="1"/>
    <xf numFmtId="165" fontId="5" fillId="0" borderId="7" xfId="3" applyFont="1" applyFill="1" applyBorder="1" applyAlignment="1">
      <alignment horizontal="center"/>
    </xf>
    <xf numFmtId="166" fontId="5" fillId="0" borderId="0" xfId="3" applyNumberFormat="1" applyFont="1" applyBorder="1" applyAlignment="1" applyProtection="1">
      <alignment horizontal="center"/>
    </xf>
    <xf numFmtId="165" fontId="5" fillId="0" borderId="7" xfId="3" applyFont="1" applyBorder="1" applyAlignment="1">
      <alignment horizontal="center"/>
    </xf>
    <xf numFmtId="166" fontId="5" fillId="0" borderId="8" xfId="3" applyNumberFormat="1" applyFont="1" applyBorder="1" applyAlignment="1" applyProtection="1">
      <alignment horizontal="center"/>
    </xf>
    <xf numFmtId="165" fontId="5" fillId="0" borderId="8" xfId="3" applyNumberFormat="1" applyFont="1" applyBorder="1" applyAlignment="1" applyProtection="1">
      <alignment horizontal="center"/>
    </xf>
    <xf numFmtId="165" fontId="5" fillId="0" borderId="8" xfId="3" applyNumberFormat="1" applyFont="1" applyFill="1" applyBorder="1" applyAlignment="1" applyProtection="1">
      <alignment horizontal="center" wrapText="1"/>
    </xf>
    <xf numFmtId="39" fontId="5" fillId="0" borderId="8" xfId="3" applyNumberFormat="1" applyFont="1" applyBorder="1" applyAlignment="1" applyProtection="1">
      <alignment horizontal="center"/>
    </xf>
    <xf numFmtId="39" fontId="5" fillId="0" borderId="8" xfId="3" applyNumberFormat="1" applyFont="1" applyFill="1" applyBorder="1" applyAlignment="1" applyProtection="1">
      <alignment horizontal="center"/>
    </xf>
    <xf numFmtId="39" fontId="5" fillId="0" borderId="0" xfId="3" applyNumberFormat="1" applyFont="1" applyBorder="1" applyAlignment="1" applyProtection="1">
      <alignment horizontal="center"/>
    </xf>
    <xf numFmtId="0" fontId="7" fillId="0" borderId="0" xfId="0" applyFont="1"/>
    <xf numFmtId="39" fontId="5" fillId="0" borderId="10" xfId="3" applyNumberFormat="1" applyFont="1" applyBorder="1" applyAlignment="1" applyProtection="1">
      <alignment horizontal="center" wrapText="1"/>
    </xf>
    <xf numFmtId="39" fontId="5" fillId="0" borderId="10" xfId="3" applyNumberFormat="1" applyFont="1" applyFill="1" applyBorder="1" applyAlignment="1" applyProtection="1">
      <alignment horizontal="center" wrapText="1"/>
    </xf>
    <xf numFmtId="0" fontId="0" fillId="0" borderId="7" xfId="0" applyBorder="1"/>
    <xf numFmtId="165" fontId="0" fillId="0" borderId="0" xfId="0" applyNumberFormat="1"/>
    <xf numFmtId="39" fontId="5" fillId="0" borderId="11" xfId="3" applyNumberFormat="1" applyFont="1" applyFill="1" applyBorder="1" applyAlignment="1" applyProtection="1">
      <alignment horizontal="right"/>
    </xf>
    <xf numFmtId="166" fontId="5" fillId="0" borderId="11" xfId="3" applyNumberFormat="1" applyFont="1" applyFill="1" applyBorder="1" applyAlignment="1" applyProtection="1">
      <alignment horizontal="right"/>
    </xf>
    <xf numFmtId="39" fontId="5" fillId="0" borderId="0" xfId="3" applyNumberFormat="1" applyFont="1" applyFill="1" applyBorder="1" applyAlignment="1" applyProtection="1">
      <alignment horizontal="right"/>
    </xf>
    <xf numFmtId="39" fontId="0" fillId="0" borderId="0" xfId="0" applyNumberFormat="1"/>
    <xf numFmtId="166" fontId="5" fillId="0" borderId="0" xfId="3" applyNumberFormat="1" applyFont="1" applyFill="1" applyBorder="1" applyAlignment="1" applyProtection="1">
      <alignment horizontal="right"/>
    </xf>
    <xf numFmtId="0" fontId="0" fillId="0" borderId="8" xfId="0" applyBorder="1"/>
    <xf numFmtId="39" fontId="5" fillId="0" borderId="11" xfId="3" applyNumberFormat="1" applyFont="1" applyBorder="1" applyAlignment="1" applyProtection="1">
      <alignment horizontal="right"/>
    </xf>
    <xf numFmtId="167" fontId="0" fillId="0" borderId="0" xfId="0" applyNumberFormat="1" applyBorder="1"/>
    <xf numFmtId="166" fontId="5" fillId="0" borderId="11" xfId="3" applyNumberFormat="1" applyFont="1" applyBorder="1" applyAlignment="1" applyProtection="1">
      <alignment horizontal="right"/>
    </xf>
    <xf numFmtId="168" fontId="0" fillId="0" borderId="0" xfId="0" applyNumberFormat="1"/>
    <xf numFmtId="167" fontId="0" fillId="0" borderId="0" xfId="0" applyNumberFormat="1"/>
    <xf numFmtId="39" fontId="5" fillId="0" borderId="0" xfId="3" applyNumberFormat="1" applyFont="1" applyBorder="1" applyAlignment="1" applyProtection="1">
      <alignment horizontal="right"/>
    </xf>
    <xf numFmtId="0" fontId="8" fillId="0" borderId="0" xfId="0" applyFont="1"/>
    <xf numFmtId="2" fontId="5" fillId="0" borderId="11" xfId="3" applyNumberFormat="1" applyFont="1" applyFill="1" applyBorder="1" applyAlignment="1" applyProtection="1">
      <alignment horizontal="right"/>
    </xf>
    <xf numFmtId="2" fontId="5" fillId="0" borderId="11" xfId="3" applyNumberFormat="1" applyFont="1" applyBorder="1" applyAlignment="1" applyProtection="1">
      <alignment horizontal="right"/>
    </xf>
    <xf numFmtId="39" fontId="5" fillId="0" borderId="13" xfId="3" applyNumberFormat="1" applyFont="1" applyBorder="1" applyAlignment="1" applyProtection="1">
      <alignment horizontal="right"/>
    </xf>
    <xf numFmtId="0" fontId="0" fillId="0" borderId="14" xfId="0" applyBorder="1"/>
    <xf numFmtId="2" fontId="5" fillId="0" borderId="13" xfId="3" applyNumberFormat="1" applyFont="1" applyBorder="1" applyAlignment="1" applyProtection="1">
      <alignment horizontal="right"/>
    </xf>
    <xf numFmtId="0" fontId="0" fillId="0" borderId="0" xfId="0" applyBorder="1"/>
    <xf numFmtId="2" fontId="5" fillId="0" borderId="0" xfId="3" applyNumberFormat="1" applyFont="1" applyBorder="1" applyAlignment="1" applyProtection="1">
      <alignment horizontal="right"/>
    </xf>
    <xf numFmtId="166" fontId="5" fillId="0" borderId="0" xfId="3" applyNumberFormat="1" applyFont="1" applyBorder="1" applyAlignment="1" applyProtection="1">
      <alignment horizontal="right"/>
    </xf>
    <xf numFmtId="0" fontId="0" fillId="0" borderId="10" xfId="0" applyBorder="1"/>
    <xf numFmtId="165" fontId="10" fillId="0" borderId="15" xfId="4" applyNumberFormat="1" applyFont="1" applyFill="1" applyBorder="1" applyAlignment="1" applyProtection="1">
      <alignment horizontal="left"/>
    </xf>
    <xf numFmtId="165" fontId="10" fillId="0" borderId="16" xfId="4" applyNumberFormat="1" applyFont="1" applyFill="1" applyBorder="1" applyAlignment="1" applyProtection="1">
      <alignment horizontal="left"/>
    </xf>
    <xf numFmtId="165" fontId="10" fillId="0" borderId="17" xfId="4" applyNumberFormat="1" applyFont="1" applyFill="1" applyBorder="1" applyAlignment="1" applyProtection="1">
      <alignment horizontal="left"/>
    </xf>
    <xf numFmtId="3" fontId="0" fillId="0" borderId="0" xfId="0" applyNumberFormat="1"/>
    <xf numFmtId="0" fontId="0" fillId="0" borderId="12" xfId="0" applyFill="1" applyBorder="1" applyAlignment="1">
      <alignment vertical="top"/>
    </xf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3" fontId="0" fillId="0" borderId="2" xfId="0" applyNumberFormat="1" applyBorder="1"/>
    <xf numFmtId="164" fontId="0" fillId="0" borderId="0" xfId="2" applyNumberFormat="1" applyFont="1"/>
    <xf numFmtId="164" fontId="0" fillId="0" borderId="0" xfId="0" applyNumberFormat="1"/>
    <xf numFmtId="164" fontId="2" fillId="0" borderId="0" xfId="2" applyNumberFormat="1" applyFont="1"/>
    <xf numFmtId="3" fontId="0" fillId="0" borderId="18" xfId="0" applyNumberFormat="1" applyBorder="1"/>
    <xf numFmtId="169" fontId="0" fillId="0" borderId="0" xfId="1" applyNumberFormat="1" applyFo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9" fontId="5" fillId="0" borderId="0" xfId="3" applyNumberFormat="1" applyFont="1" applyFill="1" applyBorder="1" applyAlignment="1" applyProtection="1">
      <alignment horizontal="center" wrapText="1"/>
    </xf>
    <xf numFmtId="3" fontId="0" fillId="0" borderId="0" xfId="0" applyNumberFormat="1" applyFill="1" applyBorder="1"/>
    <xf numFmtId="0" fontId="18" fillId="0" borderId="0" xfId="0" applyFont="1" applyBorder="1"/>
    <xf numFmtId="39" fontId="5" fillId="0" borderId="0" xfId="3" applyNumberFormat="1" applyFont="1" applyBorder="1" applyAlignment="1" applyProtection="1">
      <alignment horizontal="center" wrapText="1"/>
    </xf>
    <xf numFmtId="3" fontId="4" fillId="0" borderId="0" xfId="0" applyNumberFormat="1" applyFont="1" applyBorder="1"/>
    <xf numFmtId="3" fontId="0" fillId="0" borderId="0" xfId="0" applyNumberFormat="1" applyBorder="1"/>
    <xf numFmtId="2" fontId="0" fillId="0" borderId="0" xfId="0" applyNumberFormat="1"/>
    <xf numFmtId="169" fontId="18" fillId="0" borderId="0" xfId="1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169" fontId="0" fillId="0" borderId="0" xfId="1" applyNumberFormat="1" applyFont="1" applyBorder="1"/>
    <xf numFmtId="169" fontId="0" fillId="0" borderId="18" xfId="1" applyNumberFormat="1" applyFont="1" applyFill="1" applyBorder="1"/>
    <xf numFmtId="169" fontId="0" fillId="0" borderId="18" xfId="1" applyNumberFormat="1" applyFont="1" applyBorder="1"/>
    <xf numFmtId="169" fontId="0" fillId="0" borderId="0" xfId="1" applyNumberFormat="1" applyFont="1" applyFill="1" applyBorder="1"/>
    <xf numFmtId="165" fontId="10" fillId="0" borderId="0" xfId="4" applyNumberFormat="1" applyFont="1" applyFill="1" applyBorder="1" applyAlignment="1" applyProtection="1">
      <alignment horizontal="left"/>
    </xf>
    <xf numFmtId="165" fontId="17" fillId="0" borderId="0" xfId="4" applyNumberFormat="1" applyFont="1" applyBorder="1" applyAlignment="1" applyProtection="1">
      <alignment horizontal="left"/>
    </xf>
    <xf numFmtId="165" fontId="10" fillId="0" borderId="0" xfId="4" applyNumberFormat="1" applyFont="1" applyBorder="1" applyAlignment="1" applyProtection="1">
      <alignment horizontal="left"/>
    </xf>
    <xf numFmtId="39" fontId="5" fillId="0" borderId="18" xfId="3" applyNumberFormat="1" applyFont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2" applyFont="1" applyFill="1"/>
    <xf numFmtId="3" fontId="0" fillId="0" borderId="18" xfId="0" applyNumberFormat="1" applyFill="1" applyBorder="1"/>
  </cellXfs>
  <cellStyles count="5">
    <cellStyle name="Comma" xfId="1" builtinId="3"/>
    <cellStyle name="Normal" xfId="0" builtinId="0"/>
    <cellStyle name="Normal_FRANK_SS" xfId="4"/>
    <cellStyle name="Normal_NEW_TSK5" xfId="3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/Documents/SEI_Projects/KC%20Consumption-based/Task%202%20-%20Geographic%20Inventory/Waste/Sept_24_files/S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dropbox\Projects\_KING%20COUNTY\KC%20GHG%20Inventory_FINAL_JUNE_2012\KC%20GHG%20Inventory_FINAL_JUNE_2012\Geographic%20Plus%20Inventory\KC_2008_GHGInventory\KC08-50-0_Waste\OveralInventory_fromPete\KC08-00-0_Inventory\KC08-00-1_MasterSpreadsheet_1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's Guide"/>
      <sheetName val="Analysis Inputs"/>
      <sheetName val="Summary Report (MTCE)"/>
      <sheetName val="Analysis Results (MTCE)"/>
      <sheetName val="Summary Report (MTCO2E)"/>
      <sheetName val="Analysis Results (MTCO2E)"/>
      <sheetName val="Summary Data"/>
      <sheetName val="Summary Report Phased (MTCE)"/>
      <sheetName val="Analysis Results Phased (MTCE)"/>
      <sheetName val="Summary Data Phased"/>
      <sheetName val="Summary Data by Gas"/>
      <sheetName val="Summary Data by Gas Phased"/>
      <sheetName val="Summary Report (energy)"/>
      <sheetName val="Analysis Results (energy)"/>
      <sheetName val="Summary Data NRG"/>
      <sheetName val="Revisions"/>
      <sheetName val="Check Calculations"/>
      <sheetName val="EFs for web"/>
      <sheetName val="Emission Factors"/>
      <sheetName val="GHG_MSTR proxy"/>
      <sheetName val="EFs for web (energy)"/>
      <sheetName val="Control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O5" t="str">
            <v>Landfilling of Post-Consumer Material</v>
          </cell>
        </row>
        <row r="11">
          <cell r="A11" t="str">
            <v>Aluminum Cans</v>
          </cell>
        </row>
        <row r="12">
          <cell r="A12" t="str">
            <v>Steel Cans</v>
          </cell>
        </row>
        <row r="13">
          <cell r="A13" t="str">
            <v>Copper Wire</v>
          </cell>
        </row>
        <row r="14">
          <cell r="A14" t="str">
            <v>Glass</v>
          </cell>
        </row>
        <row r="15">
          <cell r="A15" t="str">
            <v>HDPE</v>
          </cell>
        </row>
        <row r="16">
          <cell r="A16" t="str">
            <v>LDPE</v>
          </cell>
        </row>
        <row r="17">
          <cell r="A17" t="str">
            <v>PET</v>
          </cell>
        </row>
        <row r="18">
          <cell r="A18" t="str">
            <v>Corrugated Cardboard</v>
          </cell>
        </row>
        <row r="19">
          <cell r="A19" t="str">
            <v>Magazines/third-class mail</v>
          </cell>
        </row>
        <row r="20">
          <cell r="A20" t="str">
            <v>Newspaper</v>
          </cell>
        </row>
        <row r="21">
          <cell r="A21" t="str">
            <v>Office Paper</v>
          </cell>
        </row>
        <row r="22">
          <cell r="A22" t="str">
            <v>Phonebooks</v>
          </cell>
        </row>
        <row r="23">
          <cell r="A23" t="str">
            <v>Textbooks</v>
          </cell>
        </row>
        <row r="24">
          <cell r="A24" t="str">
            <v>Dimensional Lumber</v>
          </cell>
        </row>
        <row r="25">
          <cell r="A25" t="str">
            <v>Medium Density Fiberboard</v>
          </cell>
        </row>
        <row r="26">
          <cell r="A26" t="str">
            <v>Food Scraps</v>
          </cell>
        </row>
        <row r="27">
          <cell r="A27" t="str">
            <v>Yard Trimmings</v>
          </cell>
        </row>
        <row r="28">
          <cell r="A28" t="str">
            <v xml:space="preserve">Grass </v>
          </cell>
        </row>
        <row r="29">
          <cell r="A29" t="str">
            <v>Leaves</v>
          </cell>
        </row>
        <row r="30">
          <cell r="A30" t="str">
            <v>Branches</v>
          </cell>
        </row>
        <row r="32">
          <cell r="A32" t="str">
            <v xml:space="preserve">   Broad Definition</v>
          </cell>
        </row>
        <row r="33">
          <cell r="A33" t="str">
            <v xml:space="preserve">   Residential Definition</v>
          </cell>
        </row>
        <row r="34">
          <cell r="A34" t="str">
            <v xml:space="preserve">   Office Paper Definition</v>
          </cell>
        </row>
        <row r="35">
          <cell r="A35" t="str">
            <v>Mixed Metals</v>
          </cell>
        </row>
        <row r="36">
          <cell r="A36" t="str">
            <v>Mixed Plastics</v>
          </cell>
        </row>
        <row r="37">
          <cell r="A37" t="str">
            <v>Mixed Recyclables</v>
          </cell>
        </row>
        <row r="38">
          <cell r="A38" t="str">
            <v>Mixed Organics</v>
          </cell>
        </row>
        <row r="39">
          <cell r="A39" t="str">
            <v>Mixed MSW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matter"/>
      <sheetName val="revs"/>
      <sheetName val="Report Tables"/>
      <sheetName val="Sector Tables"/>
      <sheetName val="Trans- Road"/>
      <sheetName val="Trans- Marine"/>
      <sheetName val="Trans-Rail"/>
      <sheetName val="Trans- Air"/>
      <sheetName val="Res-Heat &amp; Hot Water"/>
      <sheetName val="Res- Garden &amp; Rec"/>
      <sheetName val="Commercial- Heat &amp; Hot Water"/>
      <sheetName val="Commercial- equip"/>
      <sheetName val="Ind- Operations"/>
      <sheetName val="Ind- Process"/>
      <sheetName val="Ind- Fug. Gases"/>
      <sheetName val="Ind- Small Equip"/>
      <sheetName val="Waste- Landfills"/>
      <sheetName val="Waste- Wastewater"/>
      <sheetName val="Waste- Management"/>
      <sheetName val="Agr"/>
      <sheetName val="!!!Urban Forest"/>
      <sheetName val="Electricity"/>
      <sheetName val="Population"/>
      <sheetName val="Emission Factors"/>
      <sheetName val="ref"/>
      <sheetName val="units"/>
      <sheetName val="KC08-00-1_MasterSpreadsheet_102"/>
    </sheetNames>
    <definedNames>
      <definedName name="efgasoline05" refersTo="='Emission Factors'!$C$18"/>
    </definedNames>
    <sheetDataSet>
      <sheetData sheetId="0"/>
      <sheetData sheetId="1"/>
      <sheetData sheetId="2">
        <row r="18">
          <cell r="C18" t="str">
            <v>Residential</v>
          </cell>
        </row>
      </sheetData>
      <sheetData sheetId="3"/>
      <sheetData sheetId="4">
        <row r="18">
          <cell r="C18" t="str">
            <v>mi</v>
          </cell>
        </row>
      </sheetData>
      <sheetData sheetId="5"/>
      <sheetData sheetId="6"/>
      <sheetData sheetId="7">
        <row r="18">
          <cell r="C18" t="str">
            <v>aircraft operations</v>
          </cell>
        </row>
      </sheetData>
      <sheetData sheetId="8">
        <row r="18">
          <cell r="C18" t="str">
            <v>houses</v>
          </cell>
        </row>
      </sheetData>
      <sheetData sheetId="9"/>
      <sheetData sheetId="10">
        <row r="18">
          <cell r="C18">
            <v>164651.89447294947</v>
          </cell>
        </row>
      </sheetData>
      <sheetData sheetId="11"/>
      <sheetData sheetId="12">
        <row r="18">
          <cell r="C18">
            <v>161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">
          <cell r="C18" t="str">
            <v>tCO2/MWh</v>
          </cell>
        </row>
      </sheetData>
      <sheetData sheetId="22"/>
      <sheetData sheetId="23">
        <row r="18">
          <cell r="C18">
            <v>2316.7587808637468</v>
          </cell>
        </row>
      </sheetData>
      <sheetData sheetId="24">
        <row r="4">
          <cell r="C4">
            <v>3.6640912818506139</v>
          </cell>
        </row>
        <row r="18">
          <cell r="C18">
            <v>14.006740000000001</v>
          </cell>
        </row>
      </sheetData>
      <sheetData sheetId="25">
        <row r="18">
          <cell r="C18" t="str">
            <v>lbTOg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174"/>
  <sheetViews>
    <sheetView topLeftCell="A46" zoomScaleNormal="100" workbookViewId="0">
      <selection activeCell="H66" sqref="H66"/>
    </sheetView>
  </sheetViews>
  <sheetFormatPr defaultRowHeight="15" x14ac:dyDescent="0.25"/>
  <cols>
    <col min="1" max="1" width="0.85546875" customWidth="1"/>
    <col min="2" max="2" width="1.7109375" customWidth="1"/>
    <col min="3" max="3" width="25.28515625" customWidth="1"/>
    <col min="4" max="4" width="11" bestFit="1" customWidth="1"/>
    <col min="5" max="5" width="10.7109375" bestFit="1" customWidth="1"/>
    <col min="6" max="6" width="7.42578125" bestFit="1" customWidth="1"/>
    <col min="7" max="7" width="1.42578125" customWidth="1"/>
    <col min="8" max="13" width="10.7109375" customWidth="1"/>
    <col min="14" max="14" width="16.7109375" bestFit="1" customWidth="1"/>
    <col min="15" max="15" width="19.42578125" bestFit="1" customWidth="1"/>
    <col min="16" max="16" width="21.140625" bestFit="1" customWidth="1"/>
  </cols>
  <sheetData>
    <row r="1" spans="1:17" ht="18.75" x14ac:dyDescent="0.3">
      <c r="A1" s="86">
        <v>2015</v>
      </c>
      <c r="B1" s="86"/>
      <c r="C1" s="86"/>
    </row>
    <row r="2" spans="1:17" ht="15.75" x14ac:dyDescent="0.25">
      <c r="B2" s="39" t="s">
        <v>93</v>
      </c>
    </row>
    <row r="3" spans="1:17" x14ac:dyDescent="0.25">
      <c r="D3" s="87" t="s">
        <v>86</v>
      </c>
      <c r="E3" s="87"/>
      <c r="F3" s="55"/>
      <c r="H3" s="87" t="s">
        <v>99</v>
      </c>
      <c r="I3" s="87"/>
      <c r="J3" s="87"/>
      <c r="K3" s="87"/>
    </row>
    <row r="4" spans="1:17" ht="51.75" x14ac:dyDescent="0.25">
      <c r="A4" s="45"/>
      <c r="B4" s="45"/>
      <c r="C4" s="56" t="s">
        <v>87</v>
      </c>
      <c r="D4" s="56" t="s">
        <v>92</v>
      </c>
      <c r="E4" s="57"/>
      <c r="F4" s="58"/>
      <c r="H4" s="23" t="s">
        <v>18</v>
      </c>
      <c r="I4" s="24" t="s">
        <v>19</v>
      </c>
      <c r="J4" s="23" t="s">
        <v>20</v>
      </c>
      <c r="K4" s="84" t="s">
        <v>21</v>
      </c>
    </row>
    <row r="5" spans="1:17" x14ac:dyDescent="0.25">
      <c r="A5" s="45"/>
      <c r="B5" s="81"/>
      <c r="C5" s="56" t="s">
        <v>22</v>
      </c>
      <c r="D5" s="63">
        <f>'WARM categorized waste'!F5</f>
        <v>1000.9849342575783</v>
      </c>
      <c r="E5" s="63"/>
      <c r="F5" s="52"/>
      <c r="H5" s="59">
        <f>$D5*INDEX(WasteEFs!$W$9:$AA$62,MATCH($C5,WasteEFs!$B$9:$B$62,0),MATCH(H$4,WasteEFs!$W$8:$AA$8,0))</f>
        <v>20.274468510968987</v>
      </c>
      <c r="I5" s="59">
        <f>$D5*INDEX(WasteEFs!$W$9:$AA$62,MATCH($C5,WasteEFs!$B$9:$B$62,0),MATCH(I$4,WasteEFs!$W$8:$AA$8,0))</f>
        <v>0</v>
      </c>
      <c r="J5" s="59">
        <f>$D5*INDEX(WasteEFs!$W$9:$AA$62,MATCH($C5,WasteEFs!$B$9:$B$62,0),MATCH(J$4,WasteEFs!$W$8:$AA$8,0))</f>
        <v>0</v>
      </c>
      <c r="K5" s="63">
        <f>SUM(H5:J5)</f>
        <v>20.274468510968987</v>
      </c>
      <c r="L5" s="60"/>
    </row>
    <row r="6" spans="1:17" x14ac:dyDescent="0.25">
      <c r="A6" s="45"/>
      <c r="B6" s="81"/>
      <c r="C6" s="56" t="s">
        <v>66</v>
      </c>
      <c r="D6" s="63">
        <f>'WARM categorized waste'!F6</f>
        <v>460.35484449899138</v>
      </c>
      <c r="E6" s="63"/>
      <c r="F6" s="52"/>
      <c r="H6" s="59">
        <f>$D6*INDEX(WasteEFs!$W$9:$AA$62,MATCH($C6,WasteEFs!$B$9:$B$62,0),MATCH(H$4,WasteEFs!$W$8:$AA$8,0))</f>
        <v>9.3242660096471504</v>
      </c>
      <c r="I6" s="59">
        <f>$D6*INDEX(WasteEFs!$W$9:$AA$62,MATCH($C6,WasteEFs!$B$9:$B$62,0),MATCH(I$4,WasteEFs!$W$8:$AA$8,0))</f>
        <v>0</v>
      </c>
      <c r="J6" s="59">
        <f>$D6*INDEX(WasteEFs!$W$9:$AA$62,MATCH($C6,WasteEFs!$B$9:$B$62,0),MATCH(J$4,WasteEFs!$W$8:$AA$8,0))</f>
        <v>0</v>
      </c>
      <c r="K6" s="63">
        <f t="shared" ref="K6:K58" si="0">SUM(H6:J6)</f>
        <v>9.3242660096471504</v>
      </c>
      <c r="L6" s="60"/>
    </row>
    <row r="7" spans="1:17" x14ac:dyDescent="0.25">
      <c r="A7" s="45"/>
      <c r="B7" s="81"/>
      <c r="C7" s="56" t="s">
        <v>23</v>
      </c>
      <c r="D7" s="63">
        <f>'WARM categorized waste'!F7</f>
        <v>1774.4001965177322</v>
      </c>
      <c r="E7" s="63"/>
      <c r="F7" s="52"/>
      <c r="H7" s="59">
        <f>$D7*INDEX(WasteEFs!$W$9:$AA$62,MATCH($C7,WasteEFs!$B$9:$B$62,0),MATCH(H$4,WasteEFs!$W$8:$AA$8,0))</f>
        <v>35.93962274451043</v>
      </c>
      <c r="I7" s="59">
        <f>$D7*INDEX(WasteEFs!$W$9:$AA$62,MATCH($C7,WasteEFs!$B$9:$B$62,0),MATCH(I$4,WasteEFs!$W$8:$AA$8,0))</f>
        <v>0</v>
      </c>
      <c r="J7" s="59">
        <f>$D7*INDEX(WasteEFs!$W$9:$AA$62,MATCH($C7,WasteEFs!$B$9:$B$62,0),MATCH(J$4,WasteEFs!$W$8:$AA$8,0))</f>
        <v>0</v>
      </c>
      <c r="K7" s="63">
        <f t="shared" si="0"/>
        <v>35.93962274451043</v>
      </c>
      <c r="L7" s="60"/>
    </row>
    <row r="8" spans="1:17" x14ac:dyDescent="0.25">
      <c r="A8" s="45"/>
      <c r="B8" s="81"/>
      <c r="C8" s="56" t="s">
        <v>24</v>
      </c>
      <c r="D8" s="63">
        <f>'WARM categorized waste'!F8</f>
        <v>0</v>
      </c>
      <c r="E8" s="63"/>
      <c r="F8" s="52"/>
      <c r="H8" s="59">
        <f>$D8*INDEX(WasteEFs!$W$9:$AA$62,MATCH($C8,WasteEFs!$B$9:$B$62,0),MATCH(H$4,WasteEFs!$W$8:$AA$8,0))</f>
        <v>0</v>
      </c>
      <c r="I8" s="59">
        <f>$D8*INDEX(WasteEFs!$W$9:$AA$62,MATCH($C8,WasteEFs!$B$9:$B$62,0),MATCH(I$4,WasteEFs!$W$8:$AA$8,0))</f>
        <v>0</v>
      </c>
      <c r="J8" s="59">
        <f>$D8*INDEX(WasteEFs!$W$9:$AA$62,MATCH($C8,WasteEFs!$B$9:$B$62,0),MATCH(J$4,WasteEFs!$W$8:$AA$8,0))</f>
        <v>0</v>
      </c>
      <c r="K8" s="63">
        <f t="shared" si="0"/>
        <v>0</v>
      </c>
      <c r="L8" s="60"/>
    </row>
    <row r="9" spans="1:17" x14ac:dyDescent="0.25">
      <c r="A9" s="45"/>
      <c r="B9" s="81"/>
      <c r="C9" s="56" t="s">
        <v>0</v>
      </c>
      <c r="D9" s="63">
        <f>'WARM categorized waste'!F9</f>
        <v>5127.2716206142386</v>
      </c>
      <c r="E9" s="63"/>
      <c r="F9" s="52"/>
      <c r="H9" s="59">
        <f>$D9*INDEX(WasteEFs!$W$9:$AA$62,MATCH($C9,WasteEFs!$B$9:$B$62,0),MATCH(H$4,WasteEFs!$W$8:$AA$8,0))</f>
        <v>103.85042118184236</v>
      </c>
      <c r="I9" s="59">
        <f>$D9*INDEX(WasteEFs!$W$9:$AA$62,MATCH($C9,WasteEFs!$B$9:$B$62,0),MATCH(I$4,WasteEFs!$W$8:$AA$8,0))</f>
        <v>0</v>
      </c>
      <c r="J9" s="59">
        <f>$D9*INDEX(WasteEFs!$W$9:$AA$62,MATCH($C9,WasteEFs!$B$9:$B$62,0),MATCH(J$4,WasteEFs!$W$8:$AA$8,0))</f>
        <v>0</v>
      </c>
      <c r="K9" s="63">
        <f t="shared" si="0"/>
        <v>103.85042118184236</v>
      </c>
      <c r="L9" s="60"/>
    </row>
    <row r="10" spans="1:17" x14ac:dyDescent="0.25">
      <c r="A10" s="45"/>
      <c r="B10" s="81"/>
      <c r="C10" s="56" t="s">
        <v>25</v>
      </c>
      <c r="D10" s="63">
        <f>'WARM categorized waste'!F10</f>
        <v>2236.8847037225819</v>
      </c>
      <c r="E10" s="63"/>
      <c r="F10" s="52"/>
      <c r="H10" s="59">
        <f>$D10*INDEX(WasteEFs!$W$9:$AA$62,MATCH($C10,WasteEFs!$B$9:$B$62,0),MATCH(H$4,WasteEFs!$W$8:$AA$8,0))</f>
        <v>45.307024048197682</v>
      </c>
      <c r="I10" s="59">
        <f>$D10*INDEX(WasteEFs!$W$9:$AA$62,MATCH($C10,WasteEFs!$B$9:$B$62,0),MATCH(I$4,WasteEFs!$W$8:$AA$8,0))</f>
        <v>0</v>
      </c>
      <c r="J10" s="59">
        <f>$D10*INDEX(WasteEFs!$W$9:$AA$62,MATCH($C10,WasteEFs!$B$9:$B$62,0),MATCH(J$4,WasteEFs!$W$8:$AA$8,0))</f>
        <v>0</v>
      </c>
      <c r="K10" s="63">
        <f t="shared" si="0"/>
        <v>45.307024048197682</v>
      </c>
      <c r="L10" s="60"/>
      <c r="O10" s="61"/>
      <c r="P10" s="60"/>
      <c r="Q10" s="60"/>
    </row>
    <row r="11" spans="1:17" x14ac:dyDescent="0.25">
      <c r="A11" s="45"/>
      <c r="B11" s="81"/>
      <c r="C11" s="56" t="s">
        <v>26</v>
      </c>
      <c r="D11" s="63">
        <f>'WARM categorized waste'!F11</f>
        <v>19.340814369528996</v>
      </c>
      <c r="E11" s="63"/>
      <c r="F11" s="52"/>
      <c r="H11" s="59">
        <f>$D11*INDEX(WasteEFs!$W$9:$AA$62,MATCH($C11,WasteEFs!$B$9:$B$62,0),MATCH(H$4,WasteEFs!$W$8:$AA$8,0))</f>
        <v>0.39173889485394459</v>
      </c>
      <c r="I11" s="59">
        <f>$D11*INDEX(WasteEFs!$W$9:$AA$62,MATCH($C11,WasteEFs!$B$9:$B$62,0),MATCH(I$4,WasteEFs!$W$8:$AA$8,0))</f>
        <v>0</v>
      </c>
      <c r="J11" s="59">
        <f>$D11*INDEX(WasteEFs!$W$9:$AA$62,MATCH($C11,WasteEFs!$B$9:$B$62,0),MATCH(J$4,WasteEFs!$W$8:$AA$8,0))</f>
        <v>0</v>
      </c>
      <c r="K11" s="63">
        <f t="shared" si="0"/>
        <v>0.39173889485394459</v>
      </c>
      <c r="L11" s="60"/>
      <c r="O11" s="61"/>
      <c r="P11" s="60"/>
      <c r="Q11" s="60"/>
    </row>
    <row r="12" spans="1:17" x14ac:dyDescent="0.25">
      <c r="A12" s="45"/>
      <c r="B12" s="81"/>
      <c r="C12" s="56" t="s">
        <v>27</v>
      </c>
      <c r="D12" s="63">
        <f>'WARM categorized waste'!F12</f>
        <v>2089.6337394889542</v>
      </c>
      <c r="E12" s="63"/>
      <c r="F12" s="52"/>
      <c r="H12" s="59">
        <f>$D12*INDEX(WasteEFs!$W$9:$AA$62,MATCH($C12,WasteEFs!$B$9:$B$62,0),MATCH(H$4,WasteEFs!$W$8:$AA$8,0))</f>
        <v>42.324526574568097</v>
      </c>
      <c r="I12" s="59">
        <f>$D12*INDEX(WasteEFs!$W$9:$AA$62,MATCH($C12,WasteEFs!$B$9:$B$62,0),MATCH(I$4,WasteEFs!$W$8:$AA$8,0))</f>
        <v>0</v>
      </c>
      <c r="J12" s="59">
        <f>$D12*INDEX(WasteEFs!$W$9:$AA$62,MATCH($C12,WasteEFs!$B$9:$B$62,0),MATCH(J$4,WasteEFs!$W$8:$AA$8,0))</f>
        <v>0</v>
      </c>
      <c r="K12" s="63">
        <f t="shared" si="0"/>
        <v>42.324526574568097</v>
      </c>
      <c r="L12" s="62"/>
      <c r="O12" s="61"/>
      <c r="P12" s="60"/>
      <c r="Q12" s="60"/>
    </row>
    <row r="13" spans="1:17" x14ac:dyDescent="0.25">
      <c r="A13" s="45"/>
      <c r="B13" s="82"/>
      <c r="C13" s="56" t="s">
        <v>68</v>
      </c>
      <c r="D13" s="63">
        <f>'WARM categorized waste'!F13</f>
        <v>0</v>
      </c>
      <c r="E13" s="63"/>
      <c r="F13" s="52"/>
      <c r="H13" s="59">
        <f>$D13*INDEX(WasteEFs!$W$9:$AA$62,MATCH($C13,WasteEFs!$B$9:$B$62,0),MATCH(H$4,WasteEFs!$W$8:$AA$8,0))</f>
        <v>0</v>
      </c>
      <c r="I13" s="59">
        <f>$D13*INDEX(WasteEFs!$W$9:$AA$62,MATCH($C13,WasteEFs!$B$9:$B$62,0),MATCH(I$4,WasteEFs!$W$8:$AA$8,0))</f>
        <v>0</v>
      </c>
      <c r="J13" s="59">
        <f>$D13*INDEX(WasteEFs!$W$9:$AA$62,MATCH($C13,WasteEFs!$B$9:$B$62,0),MATCH(J$4,WasteEFs!$W$8:$AA$8,0))</f>
        <v>0</v>
      </c>
      <c r="K13" s="63">
        <f t="shared" si="0"/>
        <v>0</v>
      </c>
      <c r="L13" s="62"/>
      <c r="O13" s="61"/>
      <c r="P13" s="60"/>
      <c r="Q13" s="60"/>
    </row>
    <row r="14" spans="1:17" x14ac:dyDescent="0.25">
      <c r="A14" s="45"/>
      <c r="B14" s="83"/>
      <c r="C14" s="56" t="s">
        <v>69</v>
      </c>
      <c r="D14" s="63">
        <f>'WARM categorized waste'!F14</f>
        <v>882.54961030933896</v>
      </c>
      <c r="E14" s="63"/>
      <c r="F14" s="52"/>
      <c r="H14" s="59">
        <f>$D14*INDEX(WasteEFs!$W$9:$AA$62,MATCH($C14,WasteEFs!$B$9:$B$62,0),MATCH(H$4,WasteEFs!$W$8:$AA$8,0))</f>
        <v>17.875617975065616</v>
      </c>
      <c r="I14" s="59">
        <f>$D14*INDEX(WasteEFs!$W$9:$AA$62,MATCH($C14,WasteEFs!$B$9:$B$62,0),MATCH(I$4,WasteEFs!$W$8:$AA$8,0))</f>
        <v>0</v>
      </c>
      <c r="J14" s="59">
        <f>$D14*INDEX(WasteEFs!$W$9:$AA$62,MATCH($C14,WasteEFs!$B$9:$B$62,0),MATCH(J$4,WasteEFs!$W$8:$AA$8,0))</f>
        <v>0</v>
      </c>
      <c r="K14" s="63">
        <f t="shared" si="0"/>
        <v>17.875617975065616</v>
      </c>
      <c r="L14" s="62"/>
      <c r="P14" s="60"/>
      <c r="Q14" s="60"/>
    </row>
    <row r="15" spans="1:17" x14ac:dyDescent="0.25">
      <c r="A15" s="45"/>
      <c r="B15" s="83"/>
      <c r="C15" s="56" t="s">
        <v>70</v>
      </c>
      <c r="D15" s="63">
        <f>'WARM categorized waste'!F15</f>
        <v>1245.0703578514544</v>
      </c>
      <c r="E15" s="63"/>
      <c r="F15" s="52"/>
      <c r="H15" s="59">
        <f>$D15*INDEX(WasteEFs!$W$9:$AA$62,MATCH($C15,WasteEFs!$B$9:$B$62,0),MATCH(H$4,WasteEFs!$W$8:$AA$8,0))</f>
        <v>25.218301395238097</v>
      </c>
      <c r="I15" s="59">
        <f>$D15*INDEX(WasteEFs!$W$9:$AA$62,MATCH($C15,WasteEFs!$B$9:$B$62,0),MATCH(I$4,WasteEFs!$W$8:$AA$8,0))</f>
        <v>0</v>
      </c>
      <c r="J15" s="59">
        <f>$D15*INDEX(WasteEFs!$W$9:$AA$62,MATCH($C15,WasteEFs!$B$9:$B$62,0),MATCH(J$4,WasteEFs!$W$8:$AA$8,0))</f>
        <v>0</v>
      </c>
      <c r="K15" s="63">
        <f t="shared" si="0"/>
        <v>25.218301395238097</v>
      </c>
      <c r="L15" s="62"/>
      <c r="O15" s="61"/>
      <c r="P15" s="60"/>
      <c r="Q15" s="60"/>
    </row>
    <row r="16" spans="1:17" x14ac:dyDescent="0.25">
      <c r="A16" s="45"/>
      <c r="B16" s="83"/>
      <c r="C16" s="56" t="s">
        <v>71</v>
      </c>
      <c r="D16" s="63">
        <f>'WARM categorized waste'!F16</f>
        <v>79.058295141962347</v>
      </c>
      <c r="E16" s="63"/>
      <c r="F16" s="52"/>
      <c r="H16" s="59">
        <f>$D16*INDEX(WasteEFs!$W$9:$AA$62,MATCH($C16,WasteEFs!$B$9:$B$62,0),MATCH(H$4,WasteEFs!$W$8:$AA$8,0))</f>
        <v>1.6012877522232027</v>
      </c>
      <c r="I16" s="59">
        <f>$D16*INDEX(WasteEFs!$W$9:$AA$62,MATCH($C16,WasteEFs!$B$9:$B$62,0),MATCH(I$4,WasteEFs!$W$8:$AA$8,0))</f>
        <v>0</v>
      </c>
      <c r="J16" s="59">
        <f>$D16*INDEX(WasteEFs!$W$9:$AA$62,MATCH($C16,WasteEFs!$B$9:$B$62,0),MATCH(J$4,WasteEFs!$W$8:$AA$8,0))</f>
        <v>0</v>
      </c>
      <c r="K16" s="63">
        <f t="shared" si="0"/>
        <v>1.6012877522232027</v>
      </c>
      <c r="L16" s="62"/>
      <c r="O16" s="61"/>
      <c r="P16" s="60"/>
      <c r="Q16" s="60"/>
    </row>
    <row r="17" spans="1:17" x14ac:dyDescent="0.25">
      <c r="A17" s="45"/>
      <c r="B17" s="83"/>
      <c r="C17" s="56" t="s">
        <v>67</v>
      </c>
      <c r="D17" s="63">
        <f>'WARM categorized waste'!F17</f>
        <v>15.863814033433897</v>
      </c>
      <c r="E17" s="63"/>
      <c r="F17" s="52"/>
      <c r="H17" s="59">
        <f>$D17*INDEX(WasteEFs!$W$9:$AA$62,MATCH($C17,WasteEFs!$B$9:$B$62,0),MATCH(H$4,WasteEFs!$W$8:$AA$8,0))</f>
        <v>0.32131392499256134</v>
      </c>
      <c r="I17" s="59">
        <f>$D17*INDEX(WasteEFs!$W$9:$AA$62,MATCH($C17,WasteEFs!$B$9:$B$62,0),MATCH(I$4,WasteEFs!$W$8:$AA$8,0))</f>
        <v>0</v>
      </c>
      <c r="J17" s="59">
        <f>$D17*INDEX(WasteEFs!$W$9:$AA$62,MATCH($C17,WasteEFs!$B$9:$B$62,0),MATCH(J$4,WasteEFs!$W$8:$AA$8,0))</f>
        <v>-26.379454547100206</v>
      </c>
      <c r="K17" s="63">
        <f t="shared" si="0"/>
        <v>-26.058140622107643</v>
      </c>
      <c r="L17" s="62"/>
      <c r="Q17" s="60"/>
    </row>
    <row r="18" spans="1:17" x14ac:dyDescent="0.25">
      <c r="A18" s="45"/>
      <c r="B18" s="81"/>
      <c r="C18" s="56" t="s">
        <v>29</v>
      </c>
      <c r="D18" s="63">
        <f>'WARM categorized waste'!F18</f>
        <v>9145.5105215267431</v>
      </c>
      <c r="E18" s="63"/>
      <c r="F18" s="52"/>
      <c r="H18" s="59">
        <f>$D18*INDEX(WasteEFs!$W$9:$AA$62,MATCH($C18,WasteEFs!$B$9:$B$62,0),MATCH(H$4,WasteEFs!$W$8:$AA$8,0))</f>
        <v>185.23791791427325</v>
      </c>
      <c r="I18" s="59">
        <f>$D18*INDEX(WasteEFs!$W$9:$AA$62,MATCH($C18,WasteEFs!$B$9:$B$62,0),MATCH(I$4,WasteEFs!$W$8:$AA$8,0))</f>
        <v>5398.0082356470539</v>
      </c>
      <c r="J18" s="59">
        <f>$D18*INDEX(WasteEFs!$W$9:$AA$62,MATCH($C18,WasteEFs!$B$9:$B$62,0),MATCH(J$4,WasteEFs!$W$8:$AA$8,0))</f>
        <v>-6563.9747353877228</v>
      </c>
      <c r="K18" s="63">
        <f t="shared" si="0"/>
        <v>-980.72858182639538</v>
      </c>
      <c r="L18" s="62"/>
    </row>
    <row r="19" spans="1:17" x14ac:dyDescent="0.25">
      <c r="A19" s="45"/>
      <c r="B19" s="81"/>
      <c r="C19" s="56" t="s">
        <v>30</v>
      </c>
      <c r="D19" s="63">
        <f>'WARM categorized waste'!F19</f>
        <v>2005.7511063806601</v>
      </c>
      <c r="E19" s="63"/>
      <c r="F19" s="52"/>
      <c r="H19" s="59">
        <f>$D19*INDEX(WasteEFs!$W$9:$AA$62,MATCH($C19,WasteEFs!$B$9:$B$62,0),MATCH(H$4,WasteEFs!$W$8:$AA$8,0))</f>
        <v>40.625524176662225</v>
      </c>
      <c r="I19" s="59">
        <f>$D19*INDEX(WasteEFs!$W$9:$AA$62,MATCH($C19,WasteEFs!$B$9:$B$62,0),MATCH(I$4,WasteEFs!$W$8:$AA$8,0))</f>
        <v>539.12650901278084</v>
      </c>
      <c r="J19" s="59">
        <f>$D19*INDEX(WasteEFs!$W$9:$AA$62,MATCH($C19,WasteEFs!$B$9:$B$62,0),MATCH(J$4,WasteEFs!$W$8:$AA$8,0))</f>
        <v>-1698.6541933236365</v>
      </c>
      <c r="K19" s="63">
        <f t="shared" si="0"/>
        <v>-1118.9021601341933</v>
      </c>
      <c r="L19" s="60"/>
    </row>
    <row r="20" spans="1:17" x14ac:dyDescent="0.25">
      <c r="A20" s="45"/>
      <c r="B20" s="81"/>
      <c r="C20" s="56" t="s">
        <v>1</v>
      </c>
      <c r="D20" s="63">
        <f>'WARM categorized waste'!F20</f>
        <v>3593.5667723626889</v>
      </c>
      <c r="E20" s="63"/>
      <c r="F20" s="52"/>
      <c r="H20" s="59">
        <f>$D20*INDEX(WasteEFs!$W$9:$AA$62,MATCH($C20,WasteEFs!$B$9:$B$62,0),MATCH(H$4,WasteEFs!$W$8:$AA$8,0))</f>
        <v>72.785966975986184</v>
      </c>
      <c r="I20" s="59">
        <f>$D20*INDEX(WasteEFs!$W$9:$AA$62,MATCH($C20,WasteEFs!$B$9:$B$62,0),MATCH(I$4,WasteEFs!$W$8:$AA$8,0))</f>
        <v>846.68918538631556</v>
      </c>
      <c r="J20" s="59">
        <f>$D20*INDEX(WasteEFs!$W$9:$AA$62,MATCH($C20,WasteEFs!$B$9:$B$62,0),MATCH(J$4,WasteEFs!$W$8:$AA$8,0))</f>
        <v>-4288.6763475485232</v>
      </c>
      <c r="K20" s="63">
        <f t="shared" si="0"/>
        <v>-3369.2011951862214</v>
      </c>
      <c r="L20" s="62"/>
    </row>
    <row r="21" spans="1:17" x14ac:dyDescent="0.25">
      <c r="A21" s="45"/>
      <c r="B21" s="81"/>
      <c r="C21" s="56" t="s">
        <v>31</v>
      </c>
      <c r="D21" s="63">
        <f>'WARM categorized waste'!F21</f>
        <v>2158.6521961604421</v>
      </c>
      <c r="E21" s="63"/>
      <c r="F21" s="52"/>
      <c r="H21" s="59">
        <f>$D21*INDEX(WasteEFs!$W$9:$AA$62,MATCH($C21,WasteEFs!$B$9:$B$62,0),MATCH(H$4,WasteEFs!$W$8:$AA$8,0))</f>
        <v>43.722462226316559</v>
      </c>
      <c r="I21" s="59">
        <f>$D21*INDEX(WasteEFs!$W$9:$AA$62,MATCH($C21,WasteEFs!$B$9:$B$62,0),MATCH(I$4,WasteEFs!$W$8:$AA$8,0))</f>
        <v>1887.381525426161</v>
      </c>
      <c r="J21" s="59">
        <f>$D21*INDEX(WasteEFs!$W$9:$AA$62,MATCH($C21,WasteEFs!$B$9:$B$62,0),MATCH(J$4,WasteEFs!$W$8:$AA$8,0))</f>
        <v>-258.56691993361477</v>
      </c>
      <c r="K21" s="63">
        <f t="shared" si="0"/>
        <v>1672.5370677188628</v>
      </c>
      <c r="L21" s="62"/>
    </row>
    <row r="22" spans="1:17" x14ac:dyDescent="0.25">
      <c r="A22" s="45"/>
      <c r="B22" s="81"/>
      <c r="C22" s="56" t="s">
        <v>32</v>
      </c>
      <c r="D22" s="63">
        <f>'WARM categorized waste'!F22</f>
        <v>0</v>
      </c>
      <c r="E22" s="63"/>
      <c r="F22" s="52"/>
      <c r="H22" s="59">
        <f>$D22*INDEX(WasteEFs!$W$9:$AA$62,MATCH($C22,WasteEFs!$B$9:$B$62,0),MATCH(H$4,WasteEFs!$W$8:$AA$8,0))</f>
        <v>0</v>
      </c>
      <c r="I22" s="59">
        <f>$D22*INDEX(WasteEFs!$W$9:$AA$62,MATCH($C22,WasteEFs!$B$9:$B$62,0),MATCH(I$4,WasteEFs!$W$8:$AA$8,0))</f>
        <v>0</v>
      </c>
      <c r="J22" s="59">
        <f>$D22*INDEX(WasteEFs!$W$9:$AA$62,MATCH($C22,WasteEFs!$B$9:$B$62,0),MATCH(J$4,WasteEFs!$W$8:$AA$8,0))</f>
        <v>0</v>
      </c>
      <c r="K22" s="63">
        <f t="shared" si="0"/>
        <v>0</v>
      </c>
      <c r="L22" s="62"/>
    </row>
    <row r="23" spans="1:17" x14ac:dyDescent="0.25">
      <c r="A23" s="45"/>
      <c r="B23" s="81"/>
      <c r="C23" s="56" t="s">
        <v>34</v>
      </c>
      <c r="D23" s="63">
        <f>'WARM categorized waste'!F23</f>
        <v>0</v>
      </c>
      <c r="E23" s="63"/>
      <c r="F23" s="52"/>
      <c r="H23" s="59">
        <f>$D23*INDEX(WasteEFs!$W$9:$AA$62,MATCH($C23,WasteEFs!$B$9:$B$62,0),MATCH(H$4,WasteEFs!$W$8:$AA$8,0))</f>
        <v>0</v>
      </c>
      <c r="I23" s="59">
        <f>$D23*INDEX(WasteEFs!$W$9:$AA$62,MATCH($C23,WasteEFs!$B$9:$B$62,0),MATCH(I$4,WasteEFs!$W$8:$AA$8,0))</f>
        <v>0</v>
      </c>
      <c r="J23" s="59">
        <f>$D23*INDEX(WasteEFs!$W$9:$AA$62,MATCH($C23,WasteEFs!$B$9:$B$62,0),MATCH(J$4,WasteEFs!$W$8:$AA$8,0))</f>
        <v>0</v>
      </c>
      <c r="K23" s="63">
        <f t="shared" si="0"/>
        <v>0</v>
      </c>
      <c r="L23" s="62"/>
    </row>
    <row r="24" spans="1:17" x14ac:dyDescent="0.25">
      <c r="A24" s="45"/>
      <c r="B24" s="81"/>
      <c r="C24" s="56" t="s">
        <v>2</v>
      </c>
      <c r="D24" s="63">
        <f>'WARM categorized waste'!F24</f>
        <v>11269.001551788422</v>
      </c>
      <c r="E24" s="63"/>
      <c r="F24" s="52"/>
      <c r="H24" s="59">
        <f>$D24*INDEX(WasteEFs!$W$9:$AA$62,MATCH($C24,WasteEFs!$B$9:$B$62,0),MATCH(H$4,WasteEFs!$W$8:$AA$8,0))</f>
        <v>228.24820763286655</v>
      </c>
      <c r="I24" s="59">
        <f>$D24*INDEX(WasteEFs!$W$9:$AA$62,MATCH($C24,WasteEFs!$B$9:$B$62,0),MATCH(I$4,WasteEFs!$W$8:$AA$8,0))</f>
        <v>422.04377268065457</v>
      </c>
      <c r="J24" s="59">
        <f>$D24*INDEX(WasteEFs!$W$9:$AA$62,MATCH($C24,WasteEFs!$B$9:$B$62,0),MATCH(J$4,WasteEFs!$W$8:$AA$8,0))</f>
        <v>-12276.19871325155</v>
      </c>
      <c r="K24" s="63">
        <f t="shared" si="0"/>
        <v>-11625.906732938029</v>
      </c>
      <c r="L24" s="62"/>
    </row>
    <row r="25" spans="1:17" x14ac:dyDescent="0.25">
      <c r="A25" s="45"/>
      <c r="B25" s="81"/>
      <c r="C25" s="56" t="s">
        <v>35</v>
      </c>
      <c r="D25" s="63">
        <f>'WARM categorized waste'!F25</f>
        <v>546.49752782574751</v>
      </c>
      <c r="E25" s="63"/>
      <c r="F25" s="52"/>
      <c r="H25" s="59">
        <f>$D25*INDEX(WasteEFs!$W$9:$AA$62,MATCH($C25,WasteEFs!$B$9:$B$62,0),MATCH(H$4,WasteEFs!$W$8:$AA$8,0))</f>
        <v>11.069044637962921</v>
      </c>
      <c r="I25" s="59">
        <f>$D25*INDEX(WasteEFs!$W$9:$AA$62,MATCH($C25,WasteEFs!$B$9:$B$62,0),MATCH(I$4,WasteEFs!$W$8:$AA$8,0))</f>
        <v>6.8722274371933549</v>
      </c>
      <c r="J25" s="59">
        <f>$D25*INDEX(WasteEFs!$W$9:$AA$62,MATCH($C25,WasteEFs!$B$9:$B$62,0),MATCH(J$4,WasteEFs!$W$8:$AA$8,0))</f>
        <v>-504.45026650084026</v>
      </c>
      <c r="K25" s="63">
        <f t="shared" si="0"/>
        <v>-486.50899442568397</v>
      </c>
      <c r="L25" s="62"/>
    </row>
    <row r="26" spans="1:17" x14ac:dyDescent="0.25">
      <c r="A26" s="45"/>
      <c r="B26" s="81"/>
      <c r="C26" s="56" t="s">
        <v>88</v>
      </c>
      <c r="D26" s="63">
        <f>'WARM categorized waste'!F26</f>
        <v>28444.383574501589</v>
      </c>
      <c r="E26" s="63"/>
      <c r="F26" s="52"/>
      <c r="H26" s="59">
        <f>$D26*INDEX(WasteEFs!$W$9:$AA$62,MATCH($C26,WasteEFs!$B$9:$B$62,0),MATCH(H$4,WasteEFs!$W$8:$AA$8,0))</f>
        <v>576.12731156926486</v>
      </c>
      <c r="I26" s="59">
        <f>$D26*INDEX(WasteEFs!$W$9:$AA$62,MATCH($C26,WasteEFs!$B$9:$B$62,0),MATCH(I$4,WasteEFs!$W$8:$AA$8,0))</f>
        <v>10385.297549444029</v>
      </c>
      <c r="J26" s="59">
        <f>$D26*INDEX(WasteEFs!$W$9:$AA$62,MATCH($C26,WasteEFs!$B$9:$B$62,0),MATCH(J$4,WasteEFs!$W$8:$AA$8,0))</f>
        <v>-2470.3289270982973</v>
      </c>
      <c r="K26" s="63">
        <f t="shared" si="0"/>
        <v>8491.0959339149977</v>
      </c>
      <c r="L26" s="62"/>
    </row>
    <row r="27" spans="1:17" x14ac:dyDescent="0.25">
      <c r="A27" s="45"/>
      <c r="B27" s="81"/>
      <c r="C27" s="56" t="s">
        <v>89</v>
      </c>
      <c r="D27" s="63">
        <f>'WARM categorized waste'!F27</f>
        <v>0</v>
      </c>
      <c r="E27" s="63"/>
      <c r="F27" s="52"/>
      <c r="H27" s="59">
        <f>$D27*INDEX(WasteEFs!$W$9:$AA$62,MATCH($C27,WasteEFs!$B$9:$B$62,0),MATCH(H$4,WasteEFs!$W$8:$AA$8,0))</f>
        <v>0</v>
      </c>
      <c r="I27" s="59">
        <f>$D27*INDEX(WasteEFs!$W$9:$AA$62,MATCH($C27,WasteEFs!$B$9:$B$62,0),MATCH(I$4,WasteEFs!$W$8:$AA$8,0))</f>
        <v>0</v>
      </c>
      <c r="J27" s="59">
        <f>$D27*INDEX(WasteEFs!$W$9:$AA$62,MATCH($C27,WasteEFs!$B$9:$B$62,0),MATCH(J$4,WasteEFs!$W$8:$AA$8,0))</f>
        <v>0</v>
      </c>
      <c r="K27" s="63">
        <f t="shared" si="0"/>
        <v>0</v>
      </c>
      <c r="L27" s="62"/>
    </row>
    <row r="28" spans="1:17" x14ac:dyDescent="0.25">
      <c r="A28" s="45"/>
      <c r="B28" s="81"/>
      <c r="C28" s="56" t="s">
        <v>40</v>
      </c>
      <c r="D28" s="63">
        <f>'WARM categorized waste'!F28</f>
        <v>0</v>
      </c>
      <c r="E28" s="63"/>
      <c r="F28" s="52"/>
      <c r="H28" s="59">
        <f>$D28*INDEX(WasteEFs!$W$9:$AA$62,MATCH($C28,WasteEFs!$B$9:$B$62,0),MATCH(H$4,WasteEFs!$W$8:$AA$8,0))</f>
        <v>0</v>
      </c>
      <c r="I28" s="59">
        <f>$D28*INDEX(WasteEFs!$W$9:$AA$62,MATCH($C28,WasteEFs!$B$9:$B$62,0),MATCH(I$4,WasteEFs!$W$8:$AA$8,0))</f>
        <v>0</v>
      </c>
      <c r="J28" s="59">
        <f>$D28*INDEX(WasteEFs!$W$9:$AA$62,MATCH($C28,WasteEFs!$B$9:$B$62,0),MATCH(J$4,WasteEFs!$W$8:$AA$8,0))</f>
        <v>0</v>
      </c>
      <c r="K28" s="63">
        <f t="shared" si="0"/>
        <v>0</v>
      </c>
      <c r="L28" s="60"/>
    </row>
    <row r="29" spans="1:17" x14ac:dyDescent="0.25">
      <c r="A29" s="45"/>
      <c r="B29" s="81"/>
      <c r="C29" s="56" t="s">
        <v>41</v>
      </c>
      <c r="D29" s="63">
        <f>'WARM categorized waste'!F29</f>
        <v>0</v>
      </c>
      <c r="E29" s="63"/>
      <c r="F29" s="52"/>
      <c r="H29" s="59">
        <f>$D29*INDEX(WasteEFs!$W$9:$AA$62,MATCH($C29,WasteEFs!$B$9:$B$62,0),MATCH(H$4,WasteEFs!$W$8:$AA$8,0))</f>
        <v>0</v>
      </c>
      <c r="I29" s="59">
        <f>$D29*INDEX(WasteEFs!$W$9:$AA$62,MATCH($C29,WasteEFs!$B$9:$B$62,0),MATCH(I$4,WasteEFs!$W$8:$AA$8,0))</f>
        <v>0</v>
      </c>
      <c r="J29" s="59">
        <f>$D29*INDEX(WasteEFs!$W$9:$AA$62,MATCH($C29,WasteEFs!$B$9:$B$62,0),MATCH(J$4,WasteEFs!$W$8:$AA$8,0))</f>
        <v>0</v>
      </c>
      <c r="K29" s="63">
        <f t="shared" si="0"/>
        <v>0</v>
      </c>
      <c r="L29" s="60"/>
    </row>
    <row r="30" spans="1:17" x14ac:dyDescent="0.25">
      <c r="A30" s="45"/>
      <c r="B30" s="81"/>
      <c r="C30" s="56" t="s">
        <v>42</v>
      </c>
      <c r="D30" s="63">
        <f>'WARM categorized waste'!F30</f>
        <v>0</v>
      </c>
      <c r="E30" s="63"/>
      <c r="F30" s="52"/>
      <c r="H30" s="59">
        <f>$D30*INDEX(WasteEFs!$W$9:$AA$62,MATCH($C30,WasteEFs!$B$9:$B$62,0),MATCH(H$4,WasteEFs!$W$8:$AA$8,0))</f>
        <v>0</v>
      </c>
      <c r="I30" s="59">
        <f>$D30*INDEX(WasteEFs!$W$9:$AA$62,MATCH($C30,WasteEFs!$B$9:$B$62,0),MATCH(I$4,WasteEFs!$W$8:$AA$8,0))</f>
        <v>0</v>
      </c>
      <c r="J30" s="59">
        <f>$D30*INDEX(WasteEFs!$W$9:$AA$62,MATCH($C30,WasteEFs!$B$9:$B$62,0),MATCH(J$4,WasteEFs!$W$8:$AA$8,0))</f>
        <v>0</v>
      </c>
      <c r="K30" s="63">
        <f t="shared" si="0"/>
        <v>0</v>
      </c>
      <c r="L30" s="60"/>
    </row>
    <row r="31" spans="1:17" x14ac:dyDescent="0.25">
      <c r="A31" s="45"/>
      <c r="B31" s="81"/>
      <c r="C31" s="56" t="s">
        <v>43</v>
      </c>
      <c r="D31" s="63">
        <f>'WARM categorized waste'!F31</f>
        <v>0</v>
      </c>
      <c r="E31" s="63"/>
      <c r="F31" s="52"/>
      <c r="H31" s="59">
        <f>$D31*INDEX(WasteEFs!$W$9:$AA$62,MATCH($C31,WasteEFs!$B$9:$B$62,0),MATCH(H$4,WasteEFs!$W$8:$AA$8,0))</f>
        <v>0</v>
      </c>
      <c r="I31" s="59">
        <f>$D31*INDEX(WasteEFs!$W$9:$AA$62,MATCH($C31,WasteEFs!$B$9:$B$62,0),MATCH(I$4,WasteEFs!$W$8:$AA$8,0))</f>
        <v>0</v>
      </c>
      <c r="J31" s="59">
        <f>$D31*INDEX(WasteEFs!$W$9:$AA$62,MATCH($C31,WasteEFs!$B$9:$B$62,0),MATCH(J$4,WasteEFs!$W$8:$AA$8,0))</f>
        <v>0</v>
      </c>
      <c r="K31" s="63">
        <f t="shared" si="0"/>
        <v>0</v>
      </c>
      <c r="L31" s="62"/>
    </row>
    <row r="32" spans="1:17" x14ac:dyDescent="0.25">
      <c r="A32" s="45"/>
      <c r="B32" s="81"/>
      <c r="C32" s="56" t="s">
        <v>44</v>
      </c>
      <c r="D32" s="63">
        <f>'WARM categorized waste'!F32</f>
        <v>321.40521856779088</v>
      </c>
      <c r="E32" s="63"/>
      <c r="F32" s="52"/>
      <c r="H32" s="59">
        <f>$D32*INDEX(WasteEFs!$W$9:$AA$62,MATCH($C32,WasteEFs!$B$9:$B$62,0),MATCH(H$4,WasteEFs!$W$8:$AA$8,0))</f>
        <v>6.5099081515616195</v>
      </c>
      <c r="I32" s="59">
        <f>$D32*INDEX(WasteEFs!$W$9:$AA$62,MATCH($C32,WasteEFs!$B$9:$B$62,0),MATCH(I$4,WasteEFs!$W$8:$AA$8,0))</f>
        <v>117.34790525616404</v>
      </c>
      <c r="J32" s="59">
        <f>$D32*INDEX(WasteEFs!$W$9:$AA$62,MATCH($C32,WasteEFs!$B$9:$B$62,0),MATCH(J$4,WasteEFs!$W$8:$AA$8,0))</f>
        <v>-27.913299884625005</v>
      </c>
      <c r="K32" s="63">
        <f t="shared" si="0"/>
        <v>95.944513523100653</v>
      </c>
      <c r="L32" s="60"/>
    </row>
    <row r="33" spans="1:12" x14ac:dyDescent="0.25">
      <c r="A33" s="45"/>
      <c r="B33" s="81"/>
      <c r="C33" s="56" t="s">
        <v>45</v>
      </c>
      <c r="D33" s="63">
        <f>'WARM categorized waste'!F33</f>
        <v>0</v>
      </c>
      <c r="E33" s="63"/>
      <c r="F33" s="52"/>
      <c r="H33" s="59">
        <f>$D33*INDEX(WasteEFs!$W$9:$AA$62,MATCH($C33,WasteEFs!$B$9:$B$62,0),MATCH(H$4,WasteEFs!$W$8:$AA$8,0))</f>
        <v>0</v>
      </c>
      <c r="I33" s="59">
        <f>$D33*INDEX(WasteEFs!$W$9:$AA$62,MATCH($C33,WasteEFs!$B$9:$B$62,0),MATCH(I$4,WasteEFs!$W$8:$AA$8,0))</f>
        <v>0</v>
      </c>
      <c r="J33" s="59">
        <f>$D33*INDEX(WasteEFs!$W$9:$AA$62,MATCH($C33,WasteEFs!$B$9:$B$62,0),MATCH(J$4,WasteEFs!$W$8:$AA$8,0))</f>
        <v>0</v>
      </c>
      <c r="K33" s="63">
        <f t="shared" si="0"/>
        <v>0</v>
      </c>
      <c r="L33" s="60"/>
    </row>
    <row r="34" spans="1:12" x14ac:dyDescent="0.25">
      <c r="A34" s="45"/>
      <c r="B34" s="81"/>
      <c r="C34" s="56" t="s">
        <v>46</v>
      </c>
      <c r="D34" s="63">
        <f>'WARM categorized waste'!F34</f>
        <v>0</v>
      </c>
      <c r="E34" s="63"/>
      <c r="F34" s="52"/>
      <c r="H34" s="59">
        <f>$D34*INDEX(WasteEFs!$W$9:$AA$62,MATCH($C34,WasteEFs!$B$9:$B$62,0),MATCH(H$4,WasteEFs!$W$8:$AA$8,0))</f>
        <v>0</v>
      </c>
      <c r="I34" s="59">
        <f>$D34*INDEX(WasteEFs!$W$9:$AA$62,MATCH($C34,WasteEFs!$B$9:$B$62,0),MATCH(I$4,WasteEFs!$W$8:$AA$8,0))</f>
        <v>0</v>
      </c>
      <c r="J34" s="59">
        <f>$D34*INDEX(WasteEFs!$W$9:$AA$62,MATCH($C34,WasteEFs!$B$9:$B$62,0),MATCH(J$4,WasteEFs!$W$8:$AA$8,0))</f>
        <v>0</v>
      </c>
      <c r="K34" s="63">
        <f t="shared" si="0"/>
        <v>0</v>
      </c>
      <c r="L34" s="60"/>
    </row>
    <row r="35" spans="1:12" x14ac:dyDescent="0.25">
      <c r="A35" s="45"/>
      <c r="B35" s="81"/>
      <c r="C35" s="56" t="s">
        <v>47</v>
      </c>
      <c r="D35" s="63">
        <f>'WARM categorized waste'!F35</f>
        <v>0</v>
      </c>
      <c r="E35" s="63"/>
      <c r="F35" s="52"/>
      <c r="H35" s="59">
        <f>$D35*INDEX(WasteEFs!$W$9:$AA$62,MATCH($C35,WasteEFs!$B$9:$B$62,0),MATCH(H$4,WasteEFs!$W$8:$AA$8,0))</f>
        <v>0</v>
      </c>
      <c r="I35" s="59">
        <f>$D35*INDEX(WasteEFs!$W$9:$AA$62,MATCH($C35,WasteEFs!$B$9:$B$62,0),MATCH(I$4,WasteEFs!$W$8:$AA$8,0))</f>
        <v>0</v>
      </c>
      <c r="J35" s="59">
        <f>$D35*INDEX(WasteEFs!$W$9:$AA$62,MATCH($C35,WasteEFs!$B$9:$B$62,0),MATCH(J$4,WasteEFs!$W$8:$AA$8,0))</f>
        <v>0</v>
      </c>
      <c r="K35" s="63">
        <f t="shared" si="0"/>
        <v>0</v>
      </c>
      <c r="L35" s="60"/>
    </row>
    <row r="36" spans="1:12" x14ac:dyDescent="0.25">
      <c r="A36" s="45"/>
      <c r="B36" s="81"/>
      <c r="C36" s="56" t="s">
        <v>48</v>
      </c>
      <c r="D36" s="63">
        <f>'WARM categorized waste'!F36</f>
        <v>8862.3957691601991</v>
      </c>
      <c r="E36" s="63"/>
      <c r="F36" s="52"/>
      <c r="H36" s="59">
        <f>$D36*INDEX(WasteEFs!$W$9:$AA$62,MATCH($C36,WasteEFs!$B$9:$B$62,0),MATCH(H$4,WasteEFs!$W$8:$AA$8,0))</f>
        <v>179.50356474331011</v>
      </c>
      <c r="I36" s="59">
        <f>$D36*INDEX(WasteEFs!$W$9:$AA$62,MATCH($C36,WasteEFs!$B$9:$B$62,0),MATCH(I$4,WasteEFs!$W$8:$AA$8,0))</f>
        <v>1304.2614544582423</v>
      </c>
      <c r="J36" s="59">
        <f>$D36*INDEX(WasteEFs!$W$9:$AA$62,MATCH($C36,WasteEFs!$B$9:$B$62,0),MATCH(J$4,WasteEFs!$W$8:$AA$8,0))</f>
        <v>-7014.0282661976553</v>
      </c>
      <c r="K36" s="63">
        <f t="shared" si="0"/>
        <v>-5530.2632469961027</v>
      </c>
      <c r="L36" s="60"/>
    </row>
    <row r="37" spans="1:12" x14ac:dyDescent="0.25">
      <c r="A37" s="45"/>
      <c r="B37" s="81"/>
      <c r="C37" s="56" t="s">
        <v>49</v>
      </c>
      <c r="D37" s="63">
        <f>'WARM categorized waste'!F37</f>
        <v>1170.9233256842265</v>
      </c>
      <c r="E37" s="63"/>
      <c r="F37" s="52"/>
      <c r="H37" s="59">
        <f>$D37*INDEX(WasteEFs!$W$9:$AA$62,MATCH($C37,WasteEFs!$B$9:$B$62,0),MATCH(H$4,WasteEFs!$W$8:$AA$8,0))</f>
        <v>23.716488912944097</v>
      </c>
      <c r="I37" s="59">
        <f>$D37*INDEX(WasteEFs!$W$9:$AA$62,MATCH($C37,WasteEFs!$B$9:$B$62,0),MATCH(I$4,WasteEFs!$W$8:$AA$8,0))</f>
        <v>381.90584801484664</v>
      </c>
      <c r="J37" s="59">
        <f>$D37*INDEX(WasteEFs!$W$9:$AA$62,MATCH($C37,WasteEFs!$B$9:$B$62,0),MATCH(J$4,WasteEFs!$W$8:$AA$8,0))</f>
        <v>-1244.7301713076483</v>
      </c>
      <c r="K37" s="63">
        <f t="shared" si="0"/>
        <v>-839.10783437985765</v>
      </c>
      <c r="L37" s="60"/>
    </row>
    <row r="38" spans="1:12" x14ac:dyDescent="0.25">
      <c r="A38" s="45"/>
      <c r="B38" s="81"/>
      <c r="C38" s="56" t="s">
        <v>50</v>
      </c>
      <c r="D38" s="63">
        <f>'WARM categorized waste'!F38</f>
        <v>24804.224997635232</v>
      </c>
      <c r="E38" s="63"/>
      <c r="F38" s="52"/>
      <c r="H38" s="59">
        <f>$D38*INDEX(WasteEFs!$W$9:$AA$62,MATCH($C38,WasteEFs!$B$9:$B$62,0),MATCH(H$4,WasteEFs!$W$8:$AA$8,0))</f>
        <v>502.39764999713628</v>
      </c>
      <c r="I38" s="59">
        <f>$D38*INDEX(WasteEFs!$W$9:$AA$62,MATCH($C38,WasteEFs!$B$9:$B$62,0),MATCH(I$4,WasteEFs!$W$8:$AA$8,0))</f>
        <v>13300.7719499128</v>
      </c>
      <c r="J38" s="59">
        <f>$D38*INDEX(WasteEFs!$W$9:$AA$62,MATCH($C38,WasteEFs!$B$9:$B$62,0),MATCH(J$4,WasteEFs!$W$8:$AA$8,0))</f>
        <v>-17924.52429003661</v>
      </c>
      <c r="K38" s="63">
        <f t="shared" si="0"/>
        <v>-4121.3546901266745</v>
      </c>
      <c r="L38" s="60"/>
    </row>
    <row r="39" spans="1:12" x14ac:dyDescent="0.25">
      <c r="A39" s="45"/>
      <c r="B39" s="45"/>
      <c r="C39" s="56" t="s">
        <v>51</v>
      </c>
      <c r="D39" s="63">
        <f>'WARM categorized waste'!F39</f>
        <v>0</v>
      </c>
      <c r="E39" s="63"/>
      <c r="F39" s="52"/>
      <c r="H39" s="59">
        <f>$D39*INDEX(WasteEFs!$W$9:$AA$62,MATCH($C39,WasteEFs!$B$9:$B$62,0),MATCH(H$4,WasteEFs!$W$8:$AA$8,0))</f>
        <v>0</v>
      </c>
      <c r="I39" s="59">
        <f>$D39*INDEX(WasteEFs!$W$9:$AA$62,MATCH($C39,WasteEFs!$B$9:$B$62,0),MATCH(I$4,WasteEFs!$W$8:$AA$8,0))</f>
        <v>0</v>
      </c>
      <c r="J39" s="59">
        <f>$D39*INDEX(WasteEFs!$W$9:$AA$62,MATCH($C39,WasteEFs!$B$9:$B$62,0),MATCH(J$4,WasteEFs!$W$8:$AA$8,0))</f>
        <v>0</v>
      </c>
      <c r="K39" s="63">
        <f t="shared" si="0"/>
        <v>0</v>
      </c>
      <c r="L39" s="60"/>
    </row>
    <row r="40" spans="1:12" x14ac:dyDescent="0.25">
      <c r="C40" s="56" t="s">
        <v>53</v>
      </c>
      <c r="D40" s="63">
        <f>'WARM categorized waste'!F40</f>
        <v>0</v>
      </c>
      <c r="E40" s="63"/>
      <c r="F40" s="52"/>
      <c r="H40" s="59">
        <f>$D40*INDEX(WasteEFs!$W$9:$AA$62,MATCH($C40,WasteEFs!$B$9:$B$62,0),MATCH(H$4,WasteEFs!$W$8:$AA$8,0))</f>
        <v>0</v>
      </c>
      <c r="I40" s="59">
        <f>$D40*INDEX(WasteEFs!$W$9:$AA$62,MATCH($C40,WasteEFs!$B$9:$B$62,0),MATCH(I$4,WasteEFs!$W$8:$AA$8,0))</f>
        <v>0</v>
      </c>
      <c r="J40" s="59">
        <f>$D40*INDEX(WasteEFs!$W$9:$AA$62,MATCH($C40,WasteEFs!$B$9:$B$62,0),MATCH(J$4,WasteEFs!$W$8:$AA$8,0))</f>
        <v>0</v>
      </c>
      <c r="K40" s="63">
        <f t="shared" si="0"/>
        <v>0</v>
      </c>
      <c r="L40" s="60"/>
    </row>
    <row r="41" spans="1:12" x14ac:dyDescent="0.25">
      <c r="C41" s="56" t="s">
        <v>55</v>
      </c>
      <c r="D41" s="63">
        <f>'WARM categorized waste'!F41</f>
        <v>10485.981076099806</v>
      </c>
      <c r="E41" s="63"/>
      <c r="F41" s="52"/>
      <c r="H41" s="59">
        <f>$D41*INDEX(WasteEFs!$W$9:$AA$62,MATCH($C41,WasteEFs!$B$9:$B$62,0),MATCH(H$4,WasteEFs!$W$8:$AA$8,0))</f>
        <v>212.38850442008305</v>
      </c>
      <c r="I41" s="59">
        <f>$D41*INDEX(WasteEFs!$W$9:$AA$62,MATCH($C41,WasteEFs!$B$9:$B$62,0),MATCH(I$4,WasteEFs!$W$8:$AA$8,0))</f>
        <v>0</v>
      </c>
      <c r="J41" s="59">
        <f>$D41*INDEX(WasteEFs!$W$9:$AA$62,MATCH($C41,WasteEFs!$B$9:$B$62,0),MATCH(J$4,WasteEFs!$W$8:$AA$8,0))</f>
        <v>0</v>
      </c>
      <c r="K41" s="63">
        <f t="shared" si="0"/>
        <v>212.38850442008305</v>
      </c>
      <c r="L41" s="60"/>
    </row>
    <row r="42" spans="1:12" x14ac:dyDescent="0.25">
      <c r="C42" s="56" t="s">
        <v>56</v>
      </c>
      <c r="D42" s="63">
        <f>'WARM categorized waste'!F42</f>
        <v>17419.293596290241</v>
      </c>
      <c r="E42" s="63"/>
      <c r="F42" s="52"/>
      <c r="H42" s="59">
        <f>$D42*INDEX(WasteEFs!$W$9:$AA$62,MATCH($C42,WasteEFs!$B$9:$B$62,0),MATCH(H$4,WasteEFs!$W$8:$AA$8,0))</f>
        <v>352.81941557217442</v>
      </c>
      <c r="I42" s="59">
        <f>$D42*INDEX(WasteEFs!$W$9:$AA$62,MATCH($C42,WasteEFs!$B$9:$B$62,0),MATCH(I$4,WasteEFs!$W$8:$AA$8,0))</f>
        <v>0</v>
      </c>
      <c r="J42" s="59">
        <f>$D42*INDEX(WasteEFs!$W$9:$AA$62,MATCH($C42,WasteEFs!$B$9:$B$62,0),MATCH(J$4,WasteEFs!$W$8:$AA$8,0))</f>
        <v>0</v>
      </c>
      <c r="K42" s="63">
        <f t="shared" si="0"/>
        <v>352.81941557217442</v>
      </c>
      <c r="L42" s="60"/>
    </row>
    <row r="43" spans="1:12" x14ac:dyDescent="0.25">
      <c r="C43" s="56" t="s">
        <v>58</v>
      </c>
      <c r="D43" s="63">
        <f>'WARM categorized waste'!F43</f>
        <v>0</v>
      </c>
      <c r="E43" s="63"/>
      <c r="F43" s="52"/>
      <c r="H43" s="59">
        <f>$D43*INDEX(WasteEFs!$W$9:$AA$62,MATCH($C43,WasteEFs!$B$9:$B$62,0),MATCH(H$4,WasteEFs!$W$8:$AA$8,0))</f>
        <v>0</v>
      </c>
      <c r="I43" s="59">
        <f>$D43*INDEX(WasteEFs!$W$9:$AA$62,MATCH($C43,WasteEFs!$B$9:$B$62,0),MATCH(I$4,WasteEFs!$W$8:$AA$8,0))</f>
        <v>0</v>
      </c>
      <c r="J43" s="59">
        <f>$D43*INDEX(WasteEFs!$W$9:$AA$62,MATCH($C43,WasteEFs!$B$9:$B$62,0),MATCH(J$4,WasteEFs!$W$8:$AA$8,0))</f>
        <v>0</v>
      </c>
      <c r="K43" s="63">
        <f t="shared" si="0"/>
        <v>0</v>
      </c>
      <c r="L43" s="60"/>
    </row>
    <row r="44" spans="1:12" x14ac:dyDescent="0.25">
      <c r="C44" s="56" t="s">
        <v>37</v>
      </c>
      <c r="D44" s="63">
        <f>'WARM categorized waste'!F44</f>
        <v>11249.095724864279</v>
      </c>
      <c r="E44" s="63"/>
      <c r="F44" s="52"/>
      <c r="H44" s="59">
        <f>$D44*INDEX(WasteEFs!$W$9:$AA$62,MATCH($C44,WasteEFs!$B$9:$B$62,0),MATCH(H$4,WasteEFs!$W$8:$AA$8,0))</f>
        <v>227.84502468041015</v>
      </c>
      <c r="I44" s="59">
        <f>$D44*INDEX(WasteEFs!$W$9:$AA$62,MATCH($C44,WasteEFs!$B$9:$B$62,0),MATCH(I$4,WasteEFs!$W$8:$AA$8,0))</f>
        <v>4107.1449468716901</v>
      </c>
      <c r="J44" s="59">
        <f>$D44*INDEX(WasteEFs!$W$9:$AA$62,MATCH($C44,WasteEFs!$B$9:$B$62,0),MATCH(J$4,WasteEFs!$W$8:$AA$8,0))</f>
        <v>-976.95794672593615</v>
      </c>
      <c r="K44" s="63">
        <f t="shared" si="0"/>
        <v>3358.0320248261642</v>
      </c>
      <c r="L44" s="60"/>
    </row>
    <row r="45" spans="1:12" x14ac:dyDescent="0.25">
      <c r="C45" s="56" t="s">
        <v>59</v>
      </c>
      <c r="D45" s="63">
        <f>'WARM categorized waste'!F45</f>
        <v>12699.656802578953</v>
      </c>
      <c r="E45" s="63"/>
      <c r="F45" s="52"/>
      <c r="H45" s="59">
        <f>$D45*INDEX(WasteEFs!$W$9:$AA$62,MATCH($C45,WasteEFs!$B$9:$B$62,0),MATCH(H$4,WasteEFs!$W$8:$AA$8,0))</f>
        <v>257.225441794456</v>
      </c>
      <c r="I45" s="59">
        <f>$D45*INDEX(WasteEFs!$W$9:$AA$62,MATCH($C45,WasteEFs!$B$9:$B$62,0),MATCH(I$4,WasteEFs!$W$8:$AA$8,0))</f>
        <v>3522.6753682678927</v>
      </c>
      <c r="J45" s="59">
        <f>$D45*INDEX(WasteEFs!$W$9:$AA$62,MATCH($C45,WasteEFs!$B$9:$B$62,0),MATCH(J$4,WasteEFs!$W$8:$AA$8,0))</f>
        <v>-3837.2587339005872</v>
      </c>
      <c r="K45" s="63">
        <f t="shared" si="0"/>
        <v>-57.357923838238548</v>
      </c>
      <c r="L45" s="60"/>
    </row>
    <row r="46" spans="1:12" x14ac:dyDescent="0.25">
      <c r="C46" s="56" t="s">
        <v>61</v>
      </c>
      <c r="D46" s="63">
        <f>'WARM categorized waste'!F46</f>
        <v>27613.467419183267</v>
      </c>
      <c r="E46" s="63"/>
      <c r="F46" s="52"/>
      <c r="H46" s="59">
        <f>$D46*INDEX(WasteEFs!$W$9:$AA$62,MATCH($C46,WasteEFs!$B$9:$B$62,0),MATCH(H$4,WasteEFs!$W$8:$AA$8,0))</f>
        <v>559.29750439664087</v>
      </c>
      <c r="I46" s="59">
        <f>$D46*INDEX(WasteEFs!$W$9:$AA$62,MATCH($C46,WasteEFs!$B$9:$B$62,0),MATCH(I$4,WasteEFs!$W$8:$AA$8,0))</f>
        <v>10064.939569220187</v>
      </c>
      <c r="J46" s="59">
        <f>$D46*INDEX(WasteEFs!$W$9:$AA$62,MATCH($C46,WasteEFs!$B$9:$B$62,0),MATCH(J$4,WasteEFs!$W$8:$AA$8,0))</f>
        <v>-5731.5581205557519</v>
      </c>
      <c r="K46" s="63">
        <f t="shared" si="0"/>
        <v>4892.6789530610768</v>
      </c>
      <c r="L46" s="60"/>
    </row>
    <row r="47" spans="1:12" x14ac:dyDescent="0.25">
      <c r="C47" s="56" t="s">
        <v>5</v>
      </c>
      <c r="D47" s="63">
        <f>'WARM categorized waste'!F47</f>
        <v>10278.969168589545</v>
      </c>
      <c r="E47" s="63"/>
      <c r="F47" s="52"/>
      <c r="H47" s="59">
        <f>$D47*INDEX(WasteEFs!$W$9:$AA$62,MATCH($C47,WasteEFs!$B$9:$B$62,0),MATCH(H$4,WasteEFs!$W$8:$AA$8,0))</f>
        <v>208.19557777696096</v>
      </c>
      <c r="I47" s="59">
        <f>$D47*INDEX(WasteEFs!$W$9:$AA$62,MATCH($C47,WasteEFs!$B$9:$B$62,0),MATCH(I$4,WasteEFs!$W$8:$AA$8,0))</f>
        <v>0</v>
      </c>
      <c r="J47" s="59">
        <f>$D47*INDEX(WasteEFs!$W$9:$AA$62,MATCH($C47,WasteEFs!$B$9:$B$62,0),MATCH(J$4,WasteEFs!$W$8:$AA$8,0))</f>
        <v>0</v>
      </c>
      <c r="K47" s="63">
        <f t="shared" si="0"/>
        <v>208.19557777696096</v>
      </c>
      <c r="L47" s="60"/>
    </row>
    <row r="48" spans="1:12" x14ac:dyDescent="0.25">
      <c r="C48" s="56" t="s">
        <v>52</v>
      </c>
      <c r="D48" s="63">
        <f>'WARM categorized waste'!F48</f>
        <v>3142.5129037627521</v>
      </c>
      <c r="E48" s="63"/>
      <c r="F48" s="52"/>
      <c r="H48" s="59">
        <f>$D48*INDEX(WasteEFs!$W$9:$AA$62,MATCH($C48,WasteEFs!$B$9:$B$62,0),MATCH(H$4,WasteEFs!$W$8:$AA$8,0))</f>
        <v>63.650087760718229</v>
      </c>
      <c r="I48" s="59">
        <f>$D48*INDEX(WasteEFs!$W$9:$AA$62,MATCH($C48,WasteEFs!$B$9:$B$62,0),MATCH(I$4,WasteEFs!$W$8:$AA$8,0))</f>
        <v>0</v>
      </c>
      <c r="J48" s="59">
        <f>$D48*INDEX(WasteEFs!$W$9:$AA$62,MATCH($C48,WasteEFs!$B$9:$B$62,0),MATCH(J$4,WasteEFs!$W$8:$AA$8,0))</f>
        <v>0</v>
      </c>
      <c r="K48" s="63">
        <f t="shared" si="0"/>
        <v>63.650087760718229</v>
      </c>
      <c r="L48" s="60"/>
    </row>
    <row r="49" spans="2:16" x14ac:dyDescent="0.25">
      <c r="C49" s="56" t="s">
        <v>54</v>
      </c>
      <c r="D49" s="63">
        <f>'WARM categorized waste'!F49</f>
        <v>3025.7291549741581</v>
      </c>
      <c r="E49" s="63"/>
      <c r="F49" s="52"/>
      <c r="H49" s="59">
        <f>$D49*INDEX(WasteEFs!$W$9:$AA$62,MATCH($C49,WasteEFs!$B$9:$B$62,0),MATCH(H$4,WasteEFs!$W$8:$AA$8,0))</f>
        <v>61.284689085499025</v>
      </c>
      <c r="I49" s="59">
        <f>$D49*INDEX(WasteEFs!$W$9:$AA$62,MATCH($C49,WasteEFs!$B$9:$B$62,0),MATCH(I$4,WasteEFs!$W$8:$AA$8,0))</f>
        <v>0</v>
      </c>
      <c r="J49" s="59">
        <f>$D49*INDEX(WasteEFs!$W$9:$AA$62,MATCH($C49,WasteEFs!$B$9:$B$62,0),MATCH(J$4,WasteEFs!$W$8:$AA$8,0))</f>
        <v>0</v>
      </c>
      <c r="K49" s="63">
        <f t="shared" si="0"/>
        <v>61.284689085499025</v>
      </c>
      <c r="L49" s="60"/>
    </row>
    <row r="50" spans="2:16" x14ac:dyDescent="0.25">
      <c r="C50" s="56" t="s">
        <v>3</v>
      </c>
      <c r="D50" s="63">
        <f>'WARM categorized waste'!F50</f>
        <v>474.4801583643777</v>
      </c>
      <c r="E50" s="63"/>
      <c r="F50" s="52"/>
      <c r="H50" s="59">
        <f>$D50*INDEX(WasteEFs!$W$9:$AA$62,MATCH($C50,WasteEFs!$B$9:$B$62,0),MATCH(H$4,WasteEFs!$W$8:$AA$8,0))</f>
        <v>9.6103674497090203</v>
      </c>
      <c r="I50" s="59">
        <f>$D50*INDEX(WasteEFs!$W$9:$AA$62,MATCH($C50,WasteEFs!$B$9:$B$62,0),MATCH(I$4,WasteEFs!$W$8:$AA$8,0))</f>
        <v>0</v>
      </c>
      <c r="J50" s="59">
        <f>$D50*INDEX(WasteEFs!$W$9:$AA$62,MATCH($C50,WasteEFs!$B$9:$B$62,0),MATCH(J$4,WasteEFs!$W$8:$AA$8,0))</f>
        <v>0</v>
      </c>
      <c r="K50" s="63">
        <f t="shared" si="0"/>
        <v>9.6103674497090203</v>
      </c>
      <c r="L50" s="60"/>
    </row>
    <row r="51" spans="2:16" x14ac:dyDescent="0.25">
      <c r="C51" s="56" t="s">
        <v>57</v>
      </c>
      <c r="D51" s="63">
        <f>'WARM categorized waste'!F51</f>
        <v>1196.9139031965374</v>
      </c>
      <c r="E51" s="63"/>
      <c r="F51" s="52"/>
      <c r="H51" s="59">
        <f>$D51*INDEX(WasteEFs!$W$9:$AA$62,MATCH($C51,WasteEFs!$B$9:$B$62,0),MATCH(H$4,WasteEFs!$W$8:$AA$8,0))</f>
        <v>24.242915562657938</v>
      </c>
      <c r="I51" s="59">
        <f>$D51*INDEX(WasteEFs!$W$9:$AA$62,MATCH($C51,WasteEFs!$B$9:$B$62,0),MATCH(I$4,WasteEFs!$W$8:$AA$8,0))</f>
        <v>0</v>
      </c>
      <c r="J51" s="59">
        <f>$D51*INDEX(WasteEFs!$W$9:$AA$62,MATCH($C51,WasteEFs!$B$9:$B$62,0),MATCH(J$4,WasteEFs!$W$8:$AA$8,0))</f>
        <v>0</v>
      </c>
      <c r="K51" s="63">
        <f t="shared" si="0"/>
        <v>24.242915562657938</v>
      </c>
      <c r="L51" s="60"/>
    </row>
    <row r="52" spans="2:16" x14ac:dyDescent="0.25">
      <c r="C52" s="56" t="s">
        <v>6</v>
      </c>
      <c r="D52" s="63">
        <f>'WARM categorized waste'!F52</f>
        <v>661.3254639252882</v>
      </c>
      <c r="E52" s="63"/>
      <c r="F52" s="52"/>
      <c r="H52" s="59">
        <f>$D52*INDEX(WasteEFs!$W$9:$AA$62,MATCH($C52,WasteEFs!$B$9:$B$62,0),MATCH(H$4,WasteEFs!$W$8:$AA$8,0))</f>
        <v>13.394829267635105</v>
      </c>
      <c r="I52" s="59">
        <f>$D52*INDEX(WasteEFs!$W$9:$AA$62,MATCH($C52,WasteEFs!$B$9:$B$62,0),MATCH(I$4,WasteEFs!$W$8:$AA$8,0))</f>
        <v>0</v>
      </c>
      <c r="J52" s="59">
        <f>$D52*INDEX(WasteEFs!$W$9:$AA$62,MATCH($C52,WasteEFs!$B$9:$B$62,0),MATCH(J$4,WasteEFs!$W$8:$AA$8,0))</f>
        <v>0</v>
      </c>
      <c r="K52" s="63">
        <f t="shared" si="0"/>
        <v>13.394829267635105</v>
      </c>
      <c r="L52" s="60"/>
    </row>
    <row r="53" spans="2:16" x14ac:dyDescent="0.25">
      <c r="C53" s="56" t="s">
        <v>60</v>
      </c>
      <c r="D53" s="63">
        <f>'WARM categorized waste'!F53</f>
        <v>420.54319065070246</v>
      </c>
      <c r="E53" s="63"/>
      <c r="F53" s="52"/>
      <c r="H53" s="59">
        <f>$D53*INDEX(WasteEFs!$W$9:$AA$62,MATCH($C53,WasteEFs!$B$9:$B$62,0),MATCH(H$4,WasteEFs!$W$8:$AA$8,0))</f>
        <v>8.517900104734311</v>
      </c>
      <c r="I53" s="59">
        <f>$D53*INDEX(WasteEFs!$W$9:$AA$62,MATCH($C53,WasteEFs!$B$9:$B$62,0),MATCH(I$4,WasteEFs!$W$8:$AA$8,0))</f>
        <v>0</v>
      </c>
      <c r="J53" s="59">
        <f>$D53*INDEX(WasteEFs!$W$9:$AA$62,MATCH($C53,WasteEFs!$B$9:$B$62,0),MATCH(J$4,WasteEFs!$W$8:$AA$8,0))</f>
        <v>0</v>
      </c>
      <c r="K53" s="63">
        <f t="shared" si="0"/>
        <v>8.517900104734311</v>
      </c>
      <c r="L53" s="60"/>
    </row>
    <row r="54" spans="2:16" x14ac:dyDescent="0.25">
      <c r="C54" s="56" t="s">
        <v>4</v>
      </c>
      <c r="D54" s="63">
        <f>'WARM categorized waste'!F54</f>
        <v>2704.019698876959</v>
      </c>
      <c r="E54" s="63"/>
      <c r="F54" s="52"/>
      <c r="H54" s="59">
        <f>$D54*INDEX(WasteEFs!$W$9:$AA$62,MATCH($C54,WasteEFs!$B$9:$B$62,0),MATCH(H$4,WasteEFs!$W$8:$AA$8,0))</f>
        <v>54.768618749074534</v>
      </c>
      <c r="I54" s="59">
        <f>$D54*INDEX(WasteEFs!$W$9:$AA$62,MATCH($C54,WasteEFs!$B$9:$B$62,0),MATCH(I$4,WasteEFs!$W$8:$AA$8,0))</f>
        <v>0</v>
      </c>
      <c r="J54" s="59">
        <f>$D54*INDEX(WasteEFs!$W$9:$AA$62,MATCH($C54,WasteEFs!$B$9:$B$62,0),MATCH(J$4,WasteEFs!$W$8:$AA$8,0))</f>
        <v>0</v>
      </c>
      <c r="K54" s="63">
        <f t="shared" si="0"/>
        <v>54.768618749074534</v>
      </c>
      <c r="L54" s="60"/>
    </row>
    <row r="55" spans="2:16" x14ac:dyDescent="0.25">
      <c r="C55" s="56" t="s">
        <v>62</v>
      </c>
      <c r="D55" s="63">
        <f>'WARM categorized waste'!F55</f>
        <v>5714.2327398512925</v>
      </c>
      <c r="E55" s="63"/>
      <c r="F55" s="52"/>
      <c r="H55" s="59">
        <f>$D55*INDEX(WasteEFs!$W$9:$AA$62,MATCH($C55,WasteEFs!$B$9:$B$62,0),MATCH(H$4,WasteEFs!$W$8:$AA$8,0))</f>
        <v>115.73903640656714</v>
      </c>
      <c r="I55" s="59">
        <f>$D55*INDEX(WasteEFs!$W$9:$AA$62,MATCH($C55,WasteEFs!$B$9:$B$62,0),MATCH(I$4,WasteEFs!$W$8:$AA$8,0))</f>
        <v>0</v>
      </c>
      <c r="J55" s="59">
        <f>$D55*INDEX(WasteEFs!$W$9:$AA$62,MATCH($C55,WasteEFs!$B$9:$B$62,0),MATCH(J$4,WasteEFs!$W$8:$AA$8,0))</f>
        <v>-464.54339911573823</v>
      </c>
      <c r="K55" s="63">
        <f t="shared" si="0"/>
        <v>-348.80436270917107</v>
      </c>
      <c r="L55" s="60"/>
    </row>
    <row r="56" spans="2:16" x14ac:dyDescent="0.25">
      <c r="C56" s="56" t="s">
        <v>63</v>
      </c>
      <c r="D56" s="63">
        <f>'WARM categorized waste'!F56</f>
        <v>971.34350639236754</v>
      </c>
      <c r="E56" s="63"/>
      <c r="F56" s="52"/>
      <c r="H56" s="59">
        <f>$D56*INDEX(WasteEFs!$W$9:$AA$62,MATCH($C56,WasteEFs!$B$9:$B$62,0),MATCH(H$4,WasteEFs!$W$8:$AA$8,0))</f>
        <v>19.674095642900692</v>
      </c>
      <c r="I56" s="59">
        <f>$D56*INDEX(WasteEFs!$W$9:$AA$62,MATCH($C56,WasteEFs!$B$9:$B$62,0),MATCH(I$4,WasteEFs!$W$8:$AA$8,0))</f>
        <v>0</v>
      </c>
      <c r="J56" s="59">
        <f>$D56*INDEX(WasteEFs!$W$9:$AA$62,MATCH($C56,WasteEFs!$B$9:$B$62,0),MATCH(J$4,WasteEFs!$W$8:$AA$8,0))</f>
        <v>0</v>
      </c>
      <c r="K56" s="63">
        <f t="shared" si="0"/>
        <v>19.674095642900692</v>
      </c>
      <c r="L56" s="60"/>
    </row>
    <row r="57" spans="2:16" x14ac:dyDescent="0.25">
      <c r="C57" s="56" t="s">
        <v>64</v>
      </c>
      <c r="D57" s="63">
        <f>'WARM categorized waste'!F57</f>
        <v>0</v>
      </c>
      <c r="E57" s="63"/>
      <c r="F57" s="52"/>
      <c r="H57" s="59">
        <f>$D57*INDEX(WasteEFs!$W$9:$AA$62,MATCH($C57,WasteEFs!$B$9:$B$62,0),MATCH(H$4,WasteEFs!$W$8:$AA$8,0))</f>
        <v>0</v>
      </c>
      <c r="I57" s="59">
        <f>$D57*INDEX(WasteEFs!$W$9:$AA$62,MATCH($C57,WasteEFs!$B$9:$B$62,0),MATCH(I$4,WasteEFs!$W$8:$AA$8,0))</f>
        <v>0</v>
      </c>
      <c r="J57" s="59">
        <f>$D57*INDEX(WasteEFs!$W$9:$AA$62,MATCH($C57,WasteEFs!$B$9:$B$62,0),MATCH(J$4,WasteEFs!$W$8:$AA$8,0))</f>
        <v>0</v>
      </c>
      <c r="K57" s="63">
        <f t="shared" si="0"/>
        <v>0</v>
      </c>
      <c r="L57" s="60"/>
    </row>
    <row r="58" spans="2:16" x14ac:dyDescent="0.25">
      <c r="C58" s="56" t="s">
        <v>65</v>
      </c>
      <c r="D58" s="63">
        <f>'WARM categorized waste'!F58</f>
        <v>0</v>
      </c>
      <c r="E58" s="63"/>
      <c r="F58" s="52"/>
      <c r="H58" s="59">
        <f>$D58*INDEX(WasteEFs!$W$9:$AA$62,MATCH($C58,WasteEFs!$B$9:$B$62,0),MATCH(H$4,WasteEFs!$W$8:$AA$8,0))</f>
        <v>0</v>
      </c>
      <c r="I58" s="59">
        <f>$D58*INDEX(WasteEFs!$W$9:$AA$62,MATCH($C58,WasteEFs!$B$9:$B$62,0),MATCH(I$4,WasteEFs!$W$8:$AA$8,0))</f>
        <v>0</v>
      </c>
      <c r="J58" s="59">
        <f>$D58*INDEX(WasteEFs!$W$9:$AA$62,MATCH($C58,WasteEFs!$B$9:$B$62,0),MATCH(J$4,WasteEFs!$W$8:$AA$8,0))</f>
        <v>0</v>
      </c>
      <c r="K58" s="63">
        <f t="shared" si="0"/>
        <v>0</v>
      </c>
      <c r="L58" s="60"/>
    </row>
    <row r="59" spans="2:16" x14ac:dyDescent="0.25">
      <c r="C59" s="56" t="s">
        <v>90</v>
      </c>
      <c r="D59" s="63">
        <f>SUM(D5:D58)</f>
        <v>215311.29</v>
      </c>
      <c r="E59" s="63">
        <f>SUM(E5:E44)</f>
        <v>0</v>
      </c>
      <c r="F59" s="52"/>
      <c r="G59" s="52"/>
      <c r="H59" s="90">
        <f>SUM(H5:H58)</f>
        <v>4361.0266446206124</v>
      </c>
      <c r="I59" s="90">
        <f>SUM(I5:I58)</f>
        <v>52284.466047036003</v>
      </c>
      <c r="J59" s="90">
        <f>SUM(J5:J58)</f>
        <v>-65308.743785315834</v>
      </c>
      <c r="K59" s="90">
        <f>SUM(K5:K58)</f>
        <v>-8663.2510936592062</v>
      </c>
      <c r="L59" s="60"/>
    </row>
    <row r="60" spans="2:16" x14ac:dyDescent="0.25">
      <c r="G60" s="52"/>
      <c r="H60" s="52"/>
    </row>
    <row r="61" spans="2:16" ht="15.75" x14ac:dyDescent="0.25">
      <c r="B61" s="39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2:16" x14ac:dyDescent="0.25">
      <c r="C62" s="45"/>
      <c r="D62" s="85"/>
      <c r="E62" s="85"/>
      <c r="F62" s="85"/>
      <c r="G62" s="45"/>
      <c r="H62" s="85"/>
      <c r="I62" s="85"/>
      <c r="J62" s="85"/>
      <c r="K62" s="55"/>
      <c r="L62" s="85"/>
      <c r="M62" s="85"/>
      <c r="N62" s="85"/>
      <c r="O62" s="45"/>
      <c r="P62" s="45"/>
    </row>
    <row r="63" spans="2:16" x14ac:dyDescent="0.25">
      <c r="C63" s="45" t="s">
        <v>94</v>
      </c>
      <c r="D63" s="74">
        <v>215311.29000000007</v>
      </c>
      <c r="E63" s="69"/>
      <c r="F63" s="69"/>
      <c r="G63" s="45"/>
      <c r="H63" s="70"/>
      <c r="I63" s="67"/>
      <c r="J63" s="67"/>
      <c r="K63" s="67"/>
      <c r="L63" s="67"/>
      <c r="M63" s="67"/>
      <c r="N63" s="70"/>
      <c r="O63" s="45"/>
      <c r="P63" s="45"/>
    </row>
    <row r="64" spans="2:16" x14ac:dyDescent="0.25">
      <c r="C64" s="45"/>
      <c r="D64" s="71"/>
      <c r="E64" s="71"/>
      <c r="F64" s="71"/>
      <c r="G64" s="45"/>
      <c r="H64" s="72"/>
      <c r="I64" s="72"/>
      <c r="J64" s="72"/>
      <c r="K64" s="72"/>
      <c r="L64" s="72"/>
      <c r="M64" s="72"/>
      <c r="N64" s="72"/>
      <c r="O64" s="45"/>
      <c r="P64" s="45"/>
    </row>
    <row r="65" spans="3:16" x14ac:dyDescent="0.25">
      <c r="C65" s="45"/>
      <c r="D65" s="71"/>
      <c r="E65" s="71"/>
      <c r="F65" s="71"/>
      <c r="G65" s="45"/>
      <c r="H65" s="72"/>
      <c r="I65" s="72"/>
      <c r="J65" s="72"/>
      <c r="K65" s="72"/>
      <c r="L65" s="72"/>
      <c r="M65" s="72"/>
      <c r="N65" s="72"/>
      <c r="O65" s="45"/>
      <c r="P65" s="45"/>
    </row>
    <row r="66" spans="3:16" x14ac:dyDescent="0.25">
      <c r="C66" s="45"/>
      <c r="D66" s="71"/>
      <c r="E66" s="71"/>
      <c r="F66" s="71"/>
      <c r="G66" s="45"/>
      <c r="H66" s="72"/>
      <c r="I66" s="72"/>
      <c r="J66" s="72"/>
      <c r="K66" s="72"/>
      <c r="L66" s="72"/>
      <c r="M66" s="72"/>
      <c r="N66" s="72"/>
      <c r="O66" s="45"/>
      <c r="P66" s="45"/>
    </row>
    <row r="67" spans="3:16" x14ac:dyDescent="0.25">
      <c r="C67" s="45"/>
      <c r="D67" s="71"/>
      <c r="E67" s="71"/>
      <c r="F67" s="71"/>
      <c r="G67" s="45"/>
      <c r="H67" s="72"/>
      <c r="I67" s="72"/>
      <c r="J67" s="72"/>
      <c r="K67" s="72"/>
      <c r="L67" s="72"/>
      <c r="M67" s="72"/>
      <c r="N67" s="72"/>
      <c r="O67" s="45"/>
      <c r="P67" s="45"/>
    </row>
    <row r="68" spans="3:16" x14ac:dyDescent="0.25">
      <c r="C68" s="45"/>
      <c r="D68" s="71"/>
      <c r="E68" s="71"/>
      <c r="F68" s="71"/>
      <c r="G68" s="45"/>
      <c r="H68" s="72"/>
      <c r="I68" s="72"/>
      <c r="J68" s="72"/>
      <c r="K68" s="72"/>
      <c r="L68" s="72"/>
      <c r="M68" s="72"/>
      <c r="N68" s="72"/>
      <c r="O68" s="45"/>
      <c r="P68" s="45"/>
    </row>
    <row r="69" spans="3:16" x14ac:dyDescent="0.25">
      <c r="C69" s="45"/>
      <c r="D69" s="71"/>
      <c r="E69" s="71"/>
      <c r="F69" s="71"/>
      <c r="G69" s="45"/>
      <c r="H69" s="72"/>
      <c r="I69" s="72"/>
      <c r="J69" s="72"/>
      <c r="K69" s="72"/>
      <c r="L69" s="72"/>
      <c r="M69" s="72"/>
      <c r="N69" s="72"/>
      <c r="O69" s="45"/>
      <c r="P69" s="45"/>
    </row>
    <row r="70" spans="3:16" x14ac:dyDescent="0.25">
      <c r="C70" s="45"/>
      <c r="D70" s="71"/>
      <c r="E70" s="71"/>
      <c r="F70" s="71"/>
      <c r="G70" s="45"/>
      <c r="H70" s="72"/>
      <c r="I70" s="72"/>
      <c r="J70" s="72"/>
      <c r="K70" s="72"/>
      <c r="L70" s="72"/>
      <c r="M70" s="72"/>
      <c r="N70" s="72"/>
      <c r="O70" s="45"/>
      <c r="P70" s="45"/>
    </row>
    <row r="71" spans="3:16" x14ac:dyDescent="0.25">
      <c r="C71" s="45"/>
      <c r="D71" s="71"/>
      <c r="E71" s="71"/>
      <c r="F71" s="71"/>
      <c r="G71" s="45"/>
      <c r="H71" s="72"/>
      <c r="I71" s="72"/>
      <c r="J71" s="72"/>
      <c r="K71" s="72"/>
      <c r="L71" s="72"/>
      <c r="M71" s="72"/>
      <c r="N71" s="72"/>
      <c r="O71" s="45"/>
      <c r="P71" s="45"/>
    </row>
    <row r="72" spans="3:16" x14ac:dyDescent="0.25">
      <c r="C72" s="45"/>
      <c r="D72" s="71"/>
      <c r="E72" s="71"/>
      <c r="F72" s="71"/>
      <c r="G72" s="45"/>
      <c r="H72" s="72"/>
      <c r="I72" s="72"/>
      <c r="J72" s="72"/>
      <c r="K72" s="72"/>
      <c r="L72" s="72"/>
      <c r="M72" s="72"/>
      <c r="N72" s="72"/>
      <c r="O72" s="45"/>
      <c r="P72" s="45"/>
    </row>
    <row r="73" spans="3:16" x14ac:dyDescent="0.25">
      <c r="C73" s="45"/>
      <c r="D73" s="71"/>
      <c r="E73" s="71"/>
      <c r="F73" s="71"/>
      <c r="G73" s="45"/>
      <c r="H73" s="72"/>
      <c r="I73" s="72"/>
      <c r="J73" s="72"/>
      <c r="K73" s="72"/>
      <c r="L73" s="72"/>
      <c r="M73" s="72"/>
      <c r="N73" s="72"/>
      <c r="O73" s="45"/>
      <c r="P73" s="45"/>
    </row>
    <row r="74" spans="3:16" x14ac:dyDescent="0.25">
      <c r="C74" s="45"/>
      <c r="D74" s="71"/>
      <c r="E74" s="71"/>
      <c r="F74" s="71"/>
      <c r="G74" s="45"/>
      <c r="H74" s="72"/>
      <c r="I74" s="72"/>
      <c r="J74" s="72"/>
      <c r="K74" s="72"/>
      <c r="L74" s="72"/>
      <c r="M74" s="72"/>
      <c r="N74" s="72"/>
      <c r="O74" s="45"/>
      <c r="P74" s="45"/>
    </row>
    <row r="75" spans="3:16" x14ac:dyDescent="0.25">
      <c r="C75" s="45"/>
      <c r="D75" s="71"/>
      <c r="E75" s="71"/>
      <c r="F75" s="71"/>
      <c r="G75" s="45"/>
      <c r="H75" s="72"/>
      <c r="I75" s="72"/>
      <c r="J75" s="72"/>
      <c r="K75" s="72"/>
      <c r="L75" s="72"/>
      <c r="M75" s="72"/>
      <c r="N75" s="72"/>
      <c r="O75" s="45"/>
      <c r="P75" s="45"/>
    </row>
    <row r="76" spans="3:16" x14ac:dyDescent="0.25">
      <c r="C76" s="45"/>
      <c r="D76" s="71"/>
      <c r="E76" s="71"/>
      <c r="F76" s="71"/>
      <c r="G76" s="45"/>
      <c r="H76" s="72"/>
      <c r="I76" s="72"/>
      <c r="J76" s="72"/>
      <c r="K76" s="72"/>
      <c r="L76" s="72"/>
      <c r="M76" s="72"/>
      <c r="N76" s="72"/>
      <c r="O76" s="45"/>
      <c r="P76" s="45"/>
    </row>
    <row r="77" spans="3:16" x14ac:dyDescent="0.25">
      <c r="C77" s="45"/>
      <c r="D77" s="71"/>
      <c r="E77" s="71"/>
      <c r="F77" s="71"/>
      <c r="G77" s="45"/>
      <c r="H77" s="72"/>
      <c r="I77" s="72"/>
      <c r="J77" s="72"/>
      <c r="K77" s="72"/>
      <c r="L77" s="72"/>
      <c r="M77" s="72"/>
      <c r="N77" s="72"/>
      <c r="O77" s="45"/>
      <c r="P77" s="45"/>
    </row>
    <row r="78" spans="3:16" x14ac:dyDescent="0.25">
      <c r="C78" s="45"/>
      <c r="D78" s="71"/>
      <c r="E78" s="71"/>
      <c r="F78" s="71"/>
      <c r="G78" s="45"/>
      <c r="H78" s="72"/>
      <c r="I78" s="72"/>
      <c r="J78" s="72"/>
      <c r="K78" s="72"/>
      <c r="L78" s="72"/>
      <c r="M78" s="72"/>
      <c r="N78" s="72"/>
      <c r="O78" s="45"/>
      <c r="P78" s="45"/>
    </row>
    <row r="79" spans="3:16" x14ac:dyDescent="0.25">
      <c r="C79" s="45"/>
      <c r="D79" s="71"/>
      <c r="E79" s="71"/>
      <c r="F79" s="71"/>
      <c r="G79" s="45"/>
      <c r="H79" s="72"/>
      <c r="I79" s="72"/>
      <c r="J79" s="72"/>
      <c r="K79" s="72"/>
      <c r="L79" s="72"/>
      <c r="M79" s="72"/>
      <c r="N79" s="72"/>
      <c r="O79" s="45"/>
      <c r="P79" s="45"/>
    </row>
    <row r="80" spans="3:16" x14ac:dyDescent="0.25">
      <c r="C80" s="45"/>
      <c r="D80" s="71"/>
      <c r="E80" s="71"/>
      <c r="F80" s="71"/>
      <c r="G80" s="45"/>
      <c r="H80" s="72"/>
      <c r="I80" s="72"/>
      <c r="J80" s="72"/>
      <c r="K80" s="72"/>
      <c r="L80" s="72"/>
      <c r="M80" s="72"/>
      <c r="N80" s="72"/>
      <c r="O80" s="45"/>
      <c r="P80" s="45"/>
    </row>
    <row r="81" spans="3:16" x14ac:dyDescent="0.25">
      <c r="C81" s="45"/>
      <c r="D81" s="71"/>
      <c r="E81" s="71"/>
      <c r="F81" s="71"/>
      <c r="G81" s="45"/>
      <c r="H81" s="72"/>
      <c r="I81" s="72"/>
      <c r="J81" s="72"/>
      <c r="K81" s="72"/>
      <c r="L81" s="72"/>
      <c r="M81" s="72"/>
      <c r="N81" s="72"/>
      <c r="O81" s="45"/>
      <c r="P81" s="45"/>
    </row>
    <row r="82" spans="3:16" x14ac:dyDescent="0.25">
      <c r="C82" s="45"/>
      <c r="D82" s="71"/>
      <c r="E82" s="71"/>
      <c r="F82" s="71"/>
      <c r="G82" s="45"/>
      <c r="H82" s="72"/>
      <c r="I82" s="72"/>
      <c r="J82" s="72"/>
      <c r="K82" s="72"/>
      <c r="L82" s="72"/>
      <c r="M82" s="72"/>
      <c r="N82" s="72"/>
      <c r="O82" s="45"/>
      <c r="P82" s="45"/>
    </row>
    <row r="83" spans="3:16" x14ac:dyDescent="0.25">
      <c r="C83" s="45"/>
      <c r="D83" s="71"/>
      <c r="E83" s="71"/>
      <c r="F83" s="71"/>
      <c r="G83" s="45"/>
      <c r="H83" s="72"/>
      <c r="I83" s="72"/>
      <c r="J83" s="72"/>
      <c r="K83" s="72"/>
      <c r="L83" s="72"/>
      <c r="M83" s="72"/>
      <c r="N83" s="72"/>
      <c r="O83" s="45"/>
      <c r="P83" s="45"/>
    </row>
    <row r="84" spans="3:16" x14ac:dyDescent="0.25">
      <c r="C84" s="45"/>
      <c r="D84" s="71"/>
      <c r="E84" s="71"/>
      <c r="F84" s="71"/>
      <c r="G84" s="45"/>
      <c r="H84" s="72"/>
      <c r="I84" s="72"/>
      <c r="J84" s="72"/>
      <c r="K84" s="72"/>
      <c r="L84" s="72"/>
      <c r="M84" s="72"/>
      <c r="N84" s="72"/>
      <c r="O84" s="45"/>
      <c r="P84" s="45"/>
    </row>
    <row r="85" spans="3:16" x14ac:dyDescent="0.25">
      <c r="C85" s="45"/>
      <c r="D85" s="71"/>
      <c r="E85" s="71"/>
      <c r="F85" s="71"/>
      <c r="G85" s="45"/>
      <c r="H85" s="72"/>
      <c r="I85" s="72"/>
      <c r="J85" s="72"/>
      <c r="K85" s="72"/>
      <c r="L85" s="72"/>
      <c r="M85" s="72"/>
      <c r="N85" s="72"/>
      <c r="O85" s="45"/>
      <c r="P85" s="45"/>
    </row>
    <row r="86" spans="3:16" x14ac:dyDescent="0.25">
      <c r="C86" s="45"/>
      <c r="D86" s="71"/>
      <c r="E86" s="71"/>
      <c r="F86" s="71"/>
      <c r="G86" s="45"/>
      <c r="H86" s="72"/>
      <c r="I86" s="72"/>
      <c r="J86" s="72"/>
      <c r="K86" s="72"/>
      <c r="L86" s="72"/>
      <c r="M86" s="72"/>
      <c r="N86" s="72"/>
      <c r="O86" s="45"/>
      <c r="P86" s="45"/>
    </row>
    <row r="87" spans="3:16" x14ac:dyDescent="0.25">
      <c r="C87" s="45"/>
      <c r="D87" s="71"/>
      <c r="E87" s="71"/>
      <c r="F87" s="71"/>
      <c r="G87" s="45"/>
      <c r="H87" s="72"/>
      <c r="I87" s="72"/>
      <c r="J87" s="72"/>
      <c r="K87" s="72"/>
      <c r="L87" s="72"/>
      <c r="M87" s="72"/>
      <c r="N87" s="72"/>
      <c r="O87" s="45"/>
      <c r="P87" s="45"/>
    </row>
    <row r="88" spans="3:16" x14ac:dyDescent="0.25">
      <c r="C88" s="45"/>
      <c r="D88" s="71"/>
      <c r="E88" s="71"/>
      <c r="F88" s="71"/>
      <c r="G88" s="45"/>
      <c r="H88" s="72"/>
      <c r="I88" s="72"/>
      <c r="J88" s="72"/>
      <c r="K88" s="72"/>
      <c r="L88" s="72"/>
      <c r="M88" s="72"/>
      <c r="N88" s="72"/>
      <c r="O88" s="45"/>
      <c r="P88" s="45"/>
    </row>
    <row r="89" spans="3:16" x14ac:dyDescent="0.25">
      <c r="C89" s="45"/>
      <c r="D89" s="71"/>
      <c r="E89" s="71"/>
      <c r="F89" s="71"/>
      <c r="G89" s="45"/>
      <c r="H89" s="72"/>
      <c r="I89" s="72"/>
      <c r="J89" s="72"/>
      <c r="K89" s="72"/>
      <c r="L89" s="72"/>
      <c r="M89" s="72"/>
      <c r="N89" s="72"/>
      <c r="O89" s="45"/>
      <c r="P89" s="45"/>
    </row>
    <row r="90" spans="3:16" x14ac:dyDescent="0.25">
      <c r="C90" s="45"/>
      <c r="D90" s="71"/>
      <c r="E90" s="71"/>
      <c r="F90" s="71"/>
      <c r="G90" s="45"/>
      <c r="H90" s="72"/>
      <c r="I90" s="72"/>
      <c r="J90" s="72"/>
      <c r="K90" s="72"/>
      <c r="L90" s="72"/>
      <c r="M90" s="72"/>
      <c r="N90" s="72"/>
      <c r="O90" s="45"/>
      <c r="P90" s="45"/>
    </row>
    <row r="91" spans="3:16" x14ac:dyDescent="0.25">
      <c r="C91" s="45"/>
      <c r="D91" s="71"/>
      <c r="E91" s="71"/>
      <c r="F91" s="71"/>
      <c r="G91" s="45"/>
      <c r="H91" s="72"/>
      <c r="I91" s="72"/>
      <c r="J91" s="72"/>
      <c r="K91" s="72"/>
      <c r="L91" s="72"/>
      <c r="M91" s="72"/>
      <c r="N91" s="72"/>
      <c r="O91" s="45"/>
      <c r="P91" s="45"/>
    </row>
    <row r="92" spans="3:16" x14ac:dyDescent="0.25">
      <c r="C92" s="45"/>
      <c r="D92" s="71"/>
      <c r="E92" s="71"/>
      <c r="F92" s="71"/>
      <c r="G92" s="45"/>
      <c r="H92" s="72"/>
      <c r="I92" s="72"/>
      <c r="J92" s="72"/>
      <c r="K92" s="72"/>
      <c r="L92" s="72"/>
      <c r="M92" s="72"/>
      <c r="N92" s="72"/>
      <c r="O92" s="45"/>
      <c r="P92" s="45"/>
    </row>
    <row r="93" spans="3:16" x14ac:dyDescent="0.25">
      <c r="C93" s="45"/>
      <c r="D93" s="71"/>
      <c r="E93" s="71"/>
      <c r="F93" s="71"/>
      <c r="G93" s="45"/>
      <c r="H93" s="72"/>
      <c r="I93" s="72"/>
      <c r="J93" s="72"/>
      <c r="K93" s="72"/>
      <c r="L93" s="72"/>
      <c r="M93" s="72"/>
      <c r="N93" s="72"/>
      <c r="O93" s="45"/>
      <c r="P93" s="45"/>
    </row>
    <row r="94" spans="3:16" x14ac:dyDescent="0.25">
      <c r="C94" s="45"/>
      <c r="D94" s="71"/>
      <c r="E94" s="71"/>
      <c r="F94" s="71"/>
      <c r="G94" s="45"/>
      <c r="H94" s="72"/>
      <c r="I94" s="72"/>
      <c r="J94" s="72"/>
      <c r="K94" s="72"/>
      <c r="L94" s="72"/>
      <c r="M94" s="72"/>
      <c r="N94" s="72"/>
      <c r="O94" s="45"/>
      <c r="P94" s="45"/>
    </row>
    <row r="95" spans="3:16" x14ac:dyDescent="0.25">
      <c r="C95" s="45"/>
      <c r="D95" s="71"/>
      <c r="E95" s="71"/>
      <c r="F95" s="71"/>
      <c r="G95" s="45"/>
      <c r="H95" s="72"/>
      <c r="I95" s="72"/>
      <c r="J95" s="72"/>
      <c r="K95" s="72"/>
      <c r="L95" s="72"/>
      <c r="M95" s="72"/>
      <c r="N95" s="72"/>
      <c r="O95" s="45"/>
      <c r="P95" s="45"/>
    </row>
    <row r="96" spans="3:16" x14ac:dyDescent="0.25">
      <c r="C96" s="45"/>
      <c r="D96" s="71"/>
      <c r="E96" s="71"/>
      <c r="F96" s="71"/>
      <c r="G96" s="45"/>
      <c r="H96" s="72"/>
      <c r="I96" s="72"/>
      <c r="J96" s="72"/>
      <c r="K96" s="72"/>
      <c r="L96" s="72"/>
      <c r="M96" s="72"/>
      <c r="N96" s="72"/>
      <c r="O96" s="45"/>
      <c r="P96" s="45"/>
    </row>
    <row r="97" spans="3:16" x14ac:dyDescent="0.25">
      <c r="C97" s="45"/>
      <c r="D97" s="71"/>
      <c r="E97" s="71"/>
      <c r="F97" s="71"/>
      <c r="G97" s="45"/>
      <c r="H97" s="72"/>
      <c r="I97" s="72"/>
      <c r="J97" s="72"/>
      <c r="K97" s="72"/>
      <c r="L97" s="72"/>
      <c r="M97" s="72"/>
      <c r="N97" s="72"/>
      <c r="O97" s="45"/>
      <c r="P97" s="45"/>
    </row>
    <row r="98" spans="3:16" x14ac:dyDescent="0.25">
      <c r="C98" s="45"/>
      <c r="D98" s="71"/>
      <c r="E98" s="71"/>
      <c r="F98" s="71"/>
      <c r="G98" s="45"/>
      <c r="H98" s="72"/>
      <c r="I98" s="72"/>
      <c r="J98" s="72"/>
      <c r="K98" s="72"/>
      <c r="L98" s="72"/>
      <c r="M98" s="72"/>
      <c r="N98" s="72"/>
      <c r="O98" s="45"/>
      <c r="P98" s="45"/>
    </row>
    <row r="99" spans="3:16" x14ac:dyDescent="0.25">
      <c r="C99" s="45"/>
      <c r="D99" s="71"/>
      <c r="E99" s="71"/>
      <c r="F99" s="71"/>
      <c r="G99" s="45"/>
      <c r="H99" s="72"/>
      <c r="I99" s="72"/>
      <c r="J99" s="72"/>
      <c r="K99" s="72"/>
      <c r="L99" s="72"/>
      <c r="M99" s="72"/>
      <c r="N99" s="72"/>
      <c r="O99" s="45"/>
      <c r="P99" s="45"/>
    </row>
    <row r="100" spans="3:16" x14ac:dyDescent="0.25">
      <c r="C100" s="45"/>
      <c r="D100" s="71"/>
      <c r="E100" s="71"/>
      <c r="F100" s="71"/>
      <c r="G100" s="45"/>
      <c r="H100" s="72"/>
      <c r="I100" s="72"/>
      <c r="J100" s="72"/>
      <c r="K100" s="72"/>
      <c r="L100" s="72"/>
      <c r="M100" s="72"/>
      <c r="N100" s="72"/>
      <c r="O100" s="45"/>
      <c r="P100" s="45"/>
    </row>
    <row r="101" spans="3:16" x14ac:dyDescent="0.25">
      <c r="C101" s="45"/>
      <c r="D101" s="71"/>
      <c r="E101" s="71"/>
      <c r="F101" s="71"/>
      <c r="G101" s="45"/>
      <c r="H101" s="72"/>
      <c r="I101" s="72"/>
      <c r="J101" s="72"/>
      <c r="K101" s="72"/>
      <c r="L101" s="72"/>
      <c r="M101" s="72"/>
      <c r="N101" s="72"/>
      <c r="O101" s="45"/>
      <c r="P101" s="45"/>
    </row>
    <row r="102" spans="3:16" x14ac:dyDescent="0.25">
      <c r="C102" s="45"/>
      <c r="D102" s="71"/>
      <c r="E102" s="71"/>
      <c r="F102" s="71"/>
      <c r="G102" s="45"/>
      <c r="H102" s="72"/>
      <c r="I102" s="72"/>
      <c r="J102" s="72"/>
      <c r="K102" s="72"/>
      <c r="L102" s="72"/>
      <c r="M102" s="72"/>
      <c r="N102" s="72"/>
      <c r="O102" s="45"/>
      <c r="P102" s="45"/>
    </row>
    <row r="103" spans="3:16" x14ac:dyDescent="0.25">
      <c r="C103" s="45"/>
      <c r="D103" s="71"/>
      <c r="E103" s="71"/>
      <c r="F103" s="71"/>
      <c r="G103" s="45"/>
      <c r="H103" s="72"/>
      <c r="I103" s="72"/>
      <c r="J103" s="72"/>
      <c r="K103" s="72"/>
      <c r="L103" s="72"/>
      <c r="M103" s="72"/>
      <c r="N103" s="72"/>
      <c r="O103" s="45"/>
      <c r="P103" s="45"/>
    </row>
    <row r="104" spans="3:16" x14ac:dyDescent="0.25">
      <c r="C104" s="66"/>
      <c r="D104" s="71"/>
      <c r="E104" s="71"/>
      <c r="F104" s="71"/>
      <c r="G104" s="45"/>
      <c r="H104" s="72"/>
      <c r="I104" s="72"/>
      <c r="J104" s="72"/>
      <c r="K104" s="72"/>
      <c r="L104" s="72"/>
      <c r="M104" s="72"/>
      <c r="N104" s="72"/>
      <c r="O104" s="45"/>
      <c r="P104" s="45"/>
    </row>
    <row r="105" spans="3:16" x14ac:dyDescent="0.25">
      <c r="C105" s="68"/>
      <c r="D105" s="71"/>
      <c r="E105" s="71"/>
      <c r="F105" s="71"/>
      <c r="G105" s="45"/>
      <c r="H105" s="72"/>
      <c r="I105" s="72"/>
      <c r="J105" s="72"/>
      <c r="K105" s="72"/>
      <c r="L105" s="72"/>
      <c r="M105" s="72"/>
      <c r="N105" s="72"/>
      <c r="O105" s="45"/>
      <c r="P105" s="45"/>
    </row>
    <row r="106" spans="3:16" x14ac:dyDescent="0.25">
      <c r="C106" s="68"/>
      <c r="D106" s="71"/>
      <c r="E106" s="71"/>
      <c r="F106" s="71"/>
      <c r="G106" s="45"/>
      <c r="H106" s="72"/>
      <c r="I106" s="72"/>
      <c r="J106" s="72"/>
      <c r="K106" s="72"/>
      <c r="L106" s="72"/>
      <c r="M106" s="72"/>
      <c r="N106" s="72"/>
      <c r="O106" s="45"/>
      <c r="P106" s="45"/>
    </row>
    <row r="107" spans="3:16" x14ac:dyDescent="0.25">
      <c r="C107" s="66"/>
      <c r="D107" s="71"/>
      <c r="E107" s="71"/>
      <c r="F107" s="71"/>
      <c r="G107" s="45"/>
      <c r="H107" s="72"/>
      <c r="I107" s="72"/>
      <c r="J107" s="72"/>
      <c r="K107" s="72"/>
      <c r="L107" s="72"/>
      <c r="M107" s="72"/>
      <c r="N107" s="72"/>
      <c r="O107" s="45"/>
      <c r="P107" s="45"/>
    </row>
    <row r="108" spans="3:16" x14ac:dyDescent="0.25">
      <c r="C108" s="66"/>
      <c r="D108" s="71"/>
      <c r="E108" s="71"/>
      <c r="F108" s="71"/>
      <c r="G108" s="45"/>
      <c r="H108" s="72"/>
      <c r="I108" s="72"/>
      <c r="J108" s="72"/>
      <c r="K108" s="72"/>
      <c r="L108" s="72"/>
      <c r="M108" s="72"/>
      <c r="N108" s="72"/>
      <c r="O108" s="45"/>
      <c r="P108" s="45"/>
    </row>
    <row r="109" spans="3:16" x14ac:dyDescent="0.25">
      <c r="C109" s="66"/>
      <c r="D109" s="71"/>
      <c r="E109" s="71"/>
      <c r="F109" s="71"/>
      <c r="G109" s="45"/>
      <c r="H109" s="72"/>
      <c r="I109" s="72"/>
      <c r="J109" s="72"/>
      <c r="K109" s="72"/>
      <c r="L109" s="72"/>
      <c r="M109" s="72"/>
      <c r="N109" s="72"/>
      <c r="O109" s="45"/>
      <c r="P109" s="45"/>
    </row>
    <row r="110" spans="3:16" x14ac:dyDescent="0.25">
      <c r="C110" s="66"/>
      <c r="D110" s="71"/>
      <c r="E110" s="71"/>
      <c r="F110" s="71"/>
      <c r="G110" s="45"/>
      <c r="H110" s="72"/>
      <c r="I110" s="72"/>
      <c r="J110" s="72"/>
      <c r="K110" s="72"/>
      <c r="L110" s="72"/>
      <c r="M110" s="72"/>
      <c r="N110" s="72"/>
      <c r="O110" s="45"/>
      <c r="P110" s="45"/>
    </row>
    <row r="111" spans="3:16" x14ac:dyDescent="0.25">
      <c r="C111" s="66"/>
      <c r="D111" s="71"/>
      <c r="E111" s="71"/>
      <c r="F111" s="71"/>
      <c r="G111" s="45"/>
      <c r="H111" s="72"/>
      <c r="I111" s="72"/>
      <c r="J111" s="72"/>
      <c r="K111" s="72"/>
      <c r="L111" s="72"/>
      <c r="M111" s="72"/>
      <c r="N111" s="72"/>
      <c r="O111" s="45"/>
      <c r="P111" s="45"/>
    </row>
    <row r="112" spans="3:16" x14ac:dyDescent="0.25">
      <c r="C112" s="66"/>
      <c r="D112" s="71"/>
      <c r="E112" s="71"/>
      <c r="F112" s="71"/>
      <c r="G112" s="45"/>
      <c r="H112" s="72"/>
      <c r="I112" s="72"/>
      <c r="J112" s="72"/>
      <c r="K112" s="72"/>
      <c r="L112" s="72"/>
      <c r="M112" s="72"/>
      <c r="N112" s="72"/>
      <c r="O112" s="45"/>
      <c r="P112" s="45"/>
    </row>
    <row r="113" spans="2:16" x14ac:dyDescent="0.25">
      <c r="C113" s="66"/>
      <c r="D113" s="71"/>
      <c r="E113" s="71"/>
      <c r="F113" s="71"/>
      <c r="G113" s="45"/>
      <c r="H113" s="72"/>
      <c r="I113" s="72"/>
      <c r="J113" s="72"/>
      <c r="K113" s="72"/>
      <c r="L113" s="72"/>
      <c r="M113" s="72"/>
      <c r="N113" s="72"/>
      <c r="O113" s="45"/>
      <c r="P113" s="45"/>
    </row>
    <row r="114" spans="2:16" x14ac:dyDescent="0.25">
      <c r="C114" s="66"/>
      <c r="D114" s="71"/>
      <c r="E114" s="71"/>
      <c r="F114" s="71"/>
      <c r="G114" s="45"/>
      <c r="H114" s="72"/>
      <c r="I114" s="72"/>
      <c r="J114" s="72"/>
      <c r="K114" s="72"/>
      <c r="L114" s="72"/>
      <c r="M114" s="72"/>
      <c r="N114" s="72"/>
      <c r="O114" s="45"/>
      <c r="P114" s="45"/>
    </row>
    <row r="115" spans="2:16" x14ac:dyDescent="0.25">
      <c r="C115" s="66"/>
      <c r="D115" s="71"/>
      <c r="E115" s="71"/>
      <c r="F115" s="71"/>
      <c r="G115" s="45"/>
      <c r="H115" s="72"/>
      <c r="I115" s="72"/>
      <c r="J115" s="72"/>
      <c r="K115" s="72"/>
      <c r="L115" s="72"/>
      <c r="M115" s="72"/>
      <c r="N115" s="72"/>
      <c r="O115" s="45"/>
      <c r="P115" s="45"/>
    </row>
    <row r="116" spans="2:16" x14ac:dyDescent="0.25">
      <c r="C116" s="66"/>
      <c r="D116" s="71"/>
      <c r="E116" s="71"/>
      <c r="F116" s="71"/>
      <c r="G116" s="45"/>
      <c r="H116" s="72"/>
      <c r="I116" s="72"/>
      <c r="J116" s="72"/>
      <c r="K116" s="72"/>
      <c r="L116" s="72"/>
      <c r="M116" s="72"/>
      <c r="N116" s="72"/>
      <c r="O116" s="45"/>
      <c r="P116" s="45"/>
    </row>
    <row r="117" spans="2:16" x14ac:dyDescent="0.25">
      <c r="C117" s="66"/>
      <c r="D117" s="71"/>
      <c r="E117" s="71"/>
      <c r="F117" s="71"/>
      <c r="G117" s="45"/>
      <c r="H117" s="72"/>
      <c r="I117" s="72"/>
      <c r="J117" s="72"/>
      <c r="K117" s="72"/>
      <c r="L117" s="72"/>
      <c r="M117" s="72"/>
      <c r="N117" s="72"/>
      <c r="O117" s="45"/>
      <c r="P117" s="45"/>
    </row>
    <row r="118" spans="2:16" x14ac:dyDescent="0.25">
      <c r="C118" s="45"/>
      <c r="D118" s="45"/>
      <c r="E118" s="72"/>
      <c r="F118" s="72"/>
      <c r="G118" s="45"/>
      <c r="H118" s="45"/>
      <c r="I118" s="45"/>
      <c r="J118" s="45"/>
      <c r="K118" s="45"/>
      <c r="L118" s="45"/>
      <c r="M118" s="45"/>
      <c r="N118" s="45"/>
      <c r="O118" s="45"/>
      <c r="P118" s="45"/>
    </row>
    <row r="119" spans="2:16" x14ac:dyDescent="0.25">
      <c r="C119" s="45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45"/>
      <c r="P119" s="45"/>
    </row>
    <row r="120" spans="2:16" ht="24.75" customHeight="1" x14ac:dyDescent="0.25"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pans="2:16" ht="24.75" customHeight="1" x14ac:dyDescent="0.25"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  <row r="122" spans="2:16" ht="15.75" x14ac:dyDescent="0.25">
      <c r="B122" s="39" t="s">
        <v>91</v>
      </c>
      <c r="C122" s="45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45"/>
      <c r="P122" s="45"/>
    </row>
    <row r="123" spans="2:16" ht="15.75" x14ac:dyDescent="0.25">
      <c r="B123" s="39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</row>
    <row r="124" spans="2:16" ht="15.75" x14ac:dyDescent="0.25">
      <c r="B124" s="39"/>
      <c r="C124" s="45"/>
      <c r="D124" s="72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</row>
    <row r="125" spans="2:16" ht="15.75" x14ac:dyDescent="0.25">
      <c r="B125" s="39"/>
      <c r="C125" s="45"/>
      <c r="D125" s="72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</row>
    <row r="126" spans="2:16" ht="15.75" x14ac:dyDescent="0.25">
      <c r="B126" s="39"/>
      <c r="C126" s="45"/>
      <c r="D126" s="72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</row>
    <row r="127" spans="2:16" ht="15.75" x14ac:dyDescent="0.25">
      <c r="B127" s="39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</row>
    <row r="128" spans="2:16" ht="15.75" x14ac:dyDescent="0.25">
      <c r="B128" s="39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</row>
    <row r="129" spans="3:16" x14ac:dyDescent="0.25">
      <c r="C129" s="45"/>
      <c r="D129" s="85"/>
      <c r="E129" s="85"/>
      <c r="F129" s="85"/>
      <c r="G129" s="45"/>
      <c r="H129" s="85"/>
      <c r="I129" s="85"/>
      <c r="J129" s="85"/>
      <c r="K129" s="55"/>
      <c r="L129" s="85"/>
      <c r="M129" s="85"/>
      <c r="N129" s="85"/>
      <c r="O129" s="45"/>
      <c r="P129" s="45"/>
    </row>
    <row r="130" spans="3:16" x14ac:dyDescent="0.25">
      <c r="C130" s="45"/>
      <c r="D130" s="69"/>
      <c r="E130" s="69"/>
      <c r="F130" s="69"/>
      <c r="G130" s="45"/>
      <c r="H130" s="70"/>
      <c r="I130" s="67"/>
      <c r="J130" s="67"/>
      <c r="K130" s="67"/>
      <c r="L130" s="67"/>
      <c r="M130" s="67"/>
      <c r="N130" s="70"/>
      <c r="O130" s="45"/>
      <c r="P130" s="45"/>
    </row>
    <row r="131" spans="3:16" x14ac:dyDescent="0.25">
      <c r="C131" s="45"/>
      <c r="D131" s="71"/>
      <c r="E131" s="71"/>
      <c r="F131" s="71"/>
      <c r="G131" s="45"/>
      <c r="H131" s="72"/>
      <c r="I131" s="72"/>
      <c r="J131" s="72"/>
      <c r="K131" s="72"/>
      <c r="L131" s="72"/>
      <c r="M131" s="72"/>
      <c r="N131" s="72"/>
      <c r="O131" s="45"/>
      <c r="P131" s="45"/>
    </row>
    <row r="132" spans="3:16" x14ac:dyDescent="0.25">
      <c r="C132" s="45"/>
      <c r="D132" s="71"/>
      <c r="E132" s="71"/>
      <c r="F132" s="71"/>
      <c r="G132" s="45"/>
      <c r="H132" s="72"/>
      <c r="I132" s="72"/>
      <c r="J132" s="72"/>
      <c r="K132" s="72"/>
      <c r="L132" s="72"/>
      <c r="M132" s="72"/>
      <c r="N132" s="72"/>
      <c r="O132" s="45"/>
      <c r="P132" s="45"/>
    </row>
    <row r="133" spans="3:16" x14ac:dyDescent="0.25">
      <c r="C133" s="45"/>
      <c r="D133" s="71"/>
      <c r="E133" s="71"/>
      <c r="F133" s="71"/>
      <c r="G133" s="45"/>
      <c r="H133" s="72"/>
      <c r="I133" s="72"/>
      <c r="J133" s="72"/>
      <c r="K133" s="72"/>
      <c r="L133" s="72"/>
      <c r="M133" s="72"/>
      <c r="N133" s="72"/>
      <c r="O133" s="45"/>
      <c r="P133" s="45"/>
    </row>
    <row r="134" spans="3:16" x14ac:dyDescent="0.25">
      <c r="C134" s="45"/>
      <c r="D134" s="71"/>
      <c r="E134" s="71"/>
      <c r="F134" s="71"/>
      <c r="G134" s="45"/>
      <c r="H134" s="72"/>
      <c r="I134" s="72"/>
      <c r="J134" s="72"/>
      <c r="K134" s="72"/>
      <c r="L134" s="72"/>
      <c r="M134" s="72"/>
      <c r="N134" s="72"/>
      <c r="O134" s="45"/>
      <c r="P134" s="45"/>
    </row>
    <row r="135" spans="3:16" x14ac:dyDescent="0.25">
      <c r="C135" s="45"/>
      <c r="D135" s="71"/>
      <c r="E135" s="71"/>
      <c r="F135" s="71"/>
      <c r="G135" s="45"/>
      <c r="H135" s="72"/>
      <c r="I135" s="72"/>
      <c r="J135" s="72"/>
      <c r="K135" s="72"/>
      <c r="L135" s="72"/>
      <c r="M135" s="72"/>
      <c r="N135" s="72"/>
      <c r="O135" s="45"/>
      <c r="P135" s="45"/>
    </row>
    <row r="136" spans="3:16" x14ac:dyDescent="0.25">
      <c r="C136" s="45"/>
      <c r="D136" s="71"/>
      <c r="E136" s="71"/>
      <c r="F136" s="71"/>
      <c r="G136" s="45"/>
      <c r="H136" s="72"/>
      <c r="I136" s="72"/>
      <c r="J136" s="72"/>
      <c r="K136" s="72"/>
      <c r="L136" s="72"/>
      <c r="M136" s="72"/>
      <c r="N136" s="72"/>
      <c r="O136" s="45"/>
      <c r="P136" s="45"/>
    </row>
    <row r="137" spans="3:16" x14ac:dyDescent="0.25">
      <c r="C137" s="45"/>
      <c r="D137" s="71"/>
      <c r="E137" s="71"/>
      <c r="F137" s="71"/>
      <c r="G137" s="45"/>
      <c r="H137" s="72"/>
      <c r="I137" s="72"/>
      <c r="J137" s="72"/>
      <c r="K137" s="72"/>
      <c r="L137" s="72"/>
      <c r="M137" s="72"/>
      <c r="N137" s="72"/>
      <c r="O137" s="45"/>
      <c r="P137" s="45"/>
    </row>
    <row r="138" spans="3:16" x14ac:dyDescent="0.25">
      <c r="C138" s="45"/>
      <c r="D138" s="71"/>
      <c r="E138" s="71"/>
      <c r="F138" s="71"/>
      <c r="G138" s="45"/>
      <c r="H138" s="72"/>
      <c r="I138" s="72"/>
      <c r="J138" s="72"/>
      <c r="K138" s="72"/>
      <c r="L138" s="72"/>
      <c r="M138" s="72"/>
      <c r="N138" s="72"/>
      <c r="O138" s="45"/>
      <c r="P138" s="45"/>
    </row>
    <row r="139" spans="3:16" x14ac:dyDescent="0.25">
      <c r="C139" s="45"/>
      <c r="D139" s="71"/>
      <c r="E139" s="71"/>
      <c r="F139" s="71"/>
      <c r="G139" s="45"/>
      <c r="H139" s="72"/>
      <c r="I139" s="72"/>
      <c r="J139" s="72"/>
      <c r="K139" s="72"/>
      <c r="L139" s="72"/>
      <c r="M139" s="72"/>
      <c r="N139" s="72"/>
      <c r="O139" s="45"/>
      <c r="P139" s="45"/>
    </row>
    <row r="140" spans="3:16" x14ac:dyDescent="0.25">
      <c r="C140" s="45"/>
      <c r="D140" s="71"/>
      <c r="E140" s="71"/>
      <c r="F140" s="71"/>
      <c r="G140" s="45"/>
      <c r="H140" s="72"/>
      <c r="I140" s="72"/>
      <c r="J140" s="72"/>
      <c r="K140" s="72"/>
      <c r="L140" s="72"/>
      <c r="M140" s="72"/>
      <c r="N140" s="72"/>
      <c r="O140" s="45"/>
      <c r="P140" s="45"/>
    </row>
    <row r="141" spans="3:16" x14ac:dyDescent="0.25">
      <c r="C141" s="45"/>
      <c r="D141" s="71"/>
      <c r="E141" s="71"/>
      <c r="F141" s="71"/>
      <c r="G141" s="45"/>
      <c r="H141" s="72"/>
      <c r="I141" s="72"/>
      <c r="J141" s="72"/>
      <c r="K141" s="72"/>
      <c r="L141" s="72"/>
      <c r="M141" s="72"/>
      <c r="N141" s="72"/>
      <c r="O141" s="45"/>
      <c r="P141" s="45"/>
    </row>
    <row r="142" spans="3:16" x14ac:dyDescent="0.25">
      <c r="C142" s="45"/>
      <c r="D142" s="71"/>
      <c r="E142" s="71"/>
      <c r="F142" s="71"/>
      <c r="G142" s="45"/>
      <c r="H142" s="72"/>
      <c r="I142" s="72"/>
      <c r="J142" s="72"/>
      <c r="K142" s="72"/>
      <c r="L142" s="72"/>
      <c r="M142" s="72"/>
      <c r="N142" s="72"/>
      <c r="O142" s="45"/>
      <c r="P142" s="45"/>
    </row>
    <row r="143" spans="3:16" x14ac:dyDescent="0.25">
      <c r="C143" s="45"/>
      <c r="D143" s="71"/>
      <c r="E143" s="71"/>
      <c r="F143" s="71"/>
      <c r="G143" s="45"/>
      <c r="H143" s="72"/>
      <c r="I143" s="72"/>
      <c r="J143" s="72"/>
      <c r="K143" s="72"/>
      <c r="L143" s="72"/>
      <c r="M143" s="72"/>
      <c r="N143" s="72"/>
      <c r="O143" s="45"/>
      <c r="P143" s="45"/>
    </row>
    <row r="144" spans="3:16" x14ac:dyDescent="0.25">
      <c r="C144" s="45"/>
      <c r="D144" s="71"/>
      <c r="E144" s="71"/>
      <c r="F144" s="71"/>
      <c r="G144" s="45"/>
      <c r="H144" s="72"/>
      <c r="I144" s="72"/>
      <c r="J144" s="72"/>
      <c r="K144" s="72"/>
      <c r="L144" s="72"/>
      <c r="M144" s="72"/>
      <c r="N144" s="72"/>
      <c r="O144" s="45"/>
      <c r="P144" s="45"/>
    </row>
    <row r="145" spans="3:16" x14ac:dyDescent="0.25">
      <c r="C145" s="45"/>
      <c r="D145" s="71"/>
      <c r="E145" s="71"/>
      <c r="F145" s="71"/>
      <c r="G145" s="45"/>
      <c r="H145" s="72"/>
      <c r="I145" s="72"/>
      <c r="J145" s="72"/>
      <c r="K145" s="72"/>
      <c r="L145" s="72"/>
      <c r="M145" s="72"/>
      <c r="N145" s="72"/>
      <c r="O145" s="45"/>
      <c r="P145" s="45"/>
    </row>
    <row r="146" spans="3:16" x14ac:dyDescent="0.25">
      <c r="C146" s="45"/>
      <c r="D146" s="71"/>
      <c r="E146" s="71"/>
      <c r="F146" s="71"/>
      <c r="G146" s="45"/>
      <c r="H146" s="72"/>
      <c r="I146" s="72"/>
      <c r="J146" s="72"/>
      <c r="K146" s="72"/>
      <c r="L146" s="72"/>
      <c r="M146" s="72"/>
      <c r="N146" s="72"/>
      <c r="O146" s="45"/>
      <c r="P146" s="45"/>
    </row>
    <row r="147" spans="3:16" x14ac:dyDescent="0.25">
      <c r="C147" s="45"/>
      <c r="D147" s="71"/>
      <c r="E147" s="71"/>
      <c r="F147" s="71"/>
      <c r="G147" s="45"/>
      <c r="H147" s="72"/>
      <c r="I147" s="72"/>
      <c r="J147" s="72"/>
      <c r="K147" s="72"/>
      <c r="L147" s="72"/>
      <c r="M147" s="72"/>
      <c r="N147" s="72"/>
      <c r="O147" s="45"/>
      <c r="P147" s="45"/>
    </row>
    <row r="148" spans="3:16" x14ac:dyDescent="0.25">
      <c r="C148" s="45"/>
      <c r="D148" s="71"/>
      <c r="E148" s="71"/>
      <c r="F148" s="71"/>
      <c r="G148" s="45"/>
      <c r="H148" s="72"/>
      <c r="I148" s="72"/>
      <c r="J148" s="72"/>
      <c r="K148" s="72"/>
      <c r="L148" s="72"/>
      <c r="M148" s="72"/>
      <c r="N148" s="72"/>
      <c r="O148" s="45"/>
      <c r="P148" s="45"/>
    </row>
    <row r="149" spans="3:16" x14ac:dyDescent="0.25">
      <c r="C149" s="45"/>
      <c r="D149" s="71"/>
      <c r="E149" s="71"/>
      <c r="F149" s="71"/>
      <c r="G149" s="45"/>
      <c r="H149" s="72"/>
      <c r="I149" s="72"/>
      <c r="J149" s="72"/>
      <c r="K149" s="72"/>
      <c r="L149" s="72"/>
      <c r="M149" s="72"/>
      <c r="N149" s="72"/>
      <c r="O149" s="45"/>
      <c r="P149" s="45"/>
    </row>
    <row r="150" spans="3:16" x14ac:dyDescent="0.25">
      <c r="C150" s="45"/>
      <c r="D150" s="71"/>
      <c r="E150" s="71"/>
      <c r="F150" s="71"/>
      <c r="G150" s="45"/>
      <c r="H150" s="72"/>
      <c r="I150" s="72"/>
      <c r="J150" s="72"/>
      <c r="K150" s="72"/>
      <c r="L150" s="72"/>
      <c r="M150" s="72"/>
      <c r="N150" s="72"/>
      <c r="O150" s="45"/>
      <c r="P150" s="45"/>
    </row>
    <row r="151" spans="3:16" x14ac:dyDescent="0.25">
      <c r="C151" s="45"/>
      <c r="D151" s="71"/>
      <c r="E151" s="71"/>
      <c r="F151" s="71"/>
      <c r="G151" s="45"/>
      <c r="H151" s="72"/>
      <c r="I151" s="72"/>
      <c r="J151" s="72"/>
      <c r="K151" s="72"/>
      <c r="L151" s="72"/>
      <c r="M151" s="72"/>
      <c r="N151" s="72"/>
      <c r="O151" s="45"/>
      <c r="P151" s="45"/>
    </row>
    <row r="152" spans="3:16" x14ac:dyDescent="0.25">
      <c r="C152" s="45"/>
      <c r="D152" s="71"/>
      <c r="E152" s="71"/>
      <c r="F152" s="71"/>
      <c r="G152" s="45"/>
      <c r="H152" s="72"/>
      <c r="I152" s="72"/>
      <c r="J152" s="72"/>
      <c r="K152" s="72"/>
      <c r="L152" s="72"/>
      <c r="M152" s="72"/>
      <c r="N152" s="72"/>
      <c r="O152" s="45"/>
      <c r="P152" s="45"/>
    </row>
    <row r="153" spans="3:16" x14ac:dyDescent="0.25">
      <c r="C153" s="45"/>
      <c r="D153" s="71"/>
      <c r="E153" s="71"/>
      <c r="F153" s="71"/>
      <c r="G153" s="45"/>
      <c r="H153" s="72"/>
      <c r="I153" s="72"/>
      <c r="J153" s="72"/>
      <c r="K153" s="72"/>
      <c r="L153" s="72"/>
      <c r="M153" s="72"/>
      <c r="N153" s="72"/>
      <c r="O153" s="45"/>
      <c r="P153" s="45"/>
    </row>
    <row r="154" spans="3:16" x14ac:dyDescent="0.25">
      <c r="C154" s="45"/>
      <c r="D154" s="71"/>
      <c r="E154" s="71"/>
      <c r="F154" s="71"/>
      <c r="G154" s="45"/>
      <c r="H154" s="72"/>
      <c r="I154" s="72"/>
      <c r="J154" s="72"/>
      <c r="K154" s="72"/>
      <c r="L154" s="72"/>
      <c r="M154" s="72"/>
      <c r="N154" s="72"/>
      <c r="O154" s="45"/>
      <c r="P154" s="45"/>
    </row>
    <row r="155" spans="3:16" x14ac:dyDescent="0.25">
      <c r="C155" s="45"/>
      <c r="D155" s="71"/>
      <c r="E155" s="71"/>
      <c r="F155" s="71"/>
      <c r="G155" s="45"/>
      <c r="H155" s="72"/>
      <c r="I155" s="72"/>
      <c r="J155" s="72"/>
      <c r="K155" s="72"/>
      <c r="L155" s="72"/>
      <c r="M155" s="72"/>
      <c r="N155" s="72"/>
      <c r="O155" s="45"/>
      <c r="P155" s="45"/>
    </row>
    <row r="156" spans="3:16" x14ac:dyDescent="0.25">
      <c r="C156" s="45"/>
      <c r="D156" s="71"/>
      <c r="E156" s="71"/>
      <c r="F156" s="71"/>
      <c r="G156" s="45"/>
      <c r="H156" s="72"/>
      <c r="I156" s="72"/>
      <c r="J156" s="72"/>
      <c r="K156" s="72"/>
      <c r="L156" s="72"/>
      <c r="M156" s="72"/>
      <c r="N156" s="72"/>
      <c r="O156" s="45"/>
      <c r="P156" s="45"/>
    </row>
    <row r="157" spans="3:16" x14ac:dyDescent="0.25">
      <c r="C157" s="45"/>
      <c r="D157" s="71"/>
      <c r="E157" s="71"/>
      <c r="F157" s="71"/>
      <c r="G157" s="45"/>
      <c r="H157" s="72"/>
      <c r="I157" s="72"/>
      <c r="J157" s="72"/>
      <c r="K157" s="72"/>
      <c r="L157" s="72"/>
      <c r="M157" s="72"/>
      <c r="N157" s="72"/>
      <c r="O157" s="45"/>
      <c r="P157" s="45"/>
    </row>
    <row r="158" spans="3:16" x14ac:dyDescent="0.25">
      <c r="C158" s="45"/>
      <c r="D158" s="71"/>
      <c r="E158" s="71"/>
      <c r="F158" s="71"/>
      <c r="G158" s="45"/>
      <c r="H158" s="72"/>
      <c r="I158" s="72"/>
      <c r="J158" s="72"/>
      <c r="K158" s="72"/>
      <c r="L158" s="72"/>
      <c r="M158" s="72"/>
      <c r="N158" s="72"/>
      <c r="O158" s="45"/>
      <c r="P158" s="45"/>
    </row>
    <row r="159" spans="3:16" x14ac:dyDescent="0.25">
      <c r="C159" s="45"/>
      <c r="D159" s="71"/>
      <c r="E159" s="71"/>
      <c r="F159" s="71"/>
      <c r="G159" s="45"/>
      <c r="H159" s="72"/>
      <c r="I159" s="72"/>
      <c r="J159" s="72"/>
      <c r="K159" s="72"/>
      <c r="L159" s="72"/>
      <c r="M159" s="72"/>
      <c r="N159" s="72"/>
      <c r="O159" s="45"/>
      <c r="P159" s="45"/>
    </row>
    <row r="160" spans="3:16" x14ac:dyDescent="0.25">
      <c r="C160" s="45"/>
      <c r="D160" s="71"/>
      <c r="E160" s="71"/>
      <c r="F160" s="71"/>
      <c r="G160" s="45"/>
      <c r="H160" s="72"/>
      <c r="I160" s="72"/>
      <c r="J160" s="72"/>
      <c r="K160" s="72"/>
      <c r="L160" s="72"/>
      <c r="M160" s="72"/>
      <c r="N160" s="72"/>
      <c r="O160" s="45"/>
      <c r="P160" s="45"/>
    </row>
    <row r="161" spans="3:16" x14ac:dyDescent="0.25">
      <c r="C161" s="45"/>
      <c r="D161" s="71"/>
      <c r="E161" s="71"/>
      <c r="F161" s="71"/>
      <c r="G161" s="45"/>
      <c r="H161" s="72"/>
      <c r="I161" s="72"/>
      <c r="J161" s="72"/>
      <c r="K161" s="72"/>
      <c r="L161" s="72"/>
      <c r="M161" s="72"/>
      <c r="N161" s="72"/>
      <c r="O161" s="45"/>
      <c r="P161" s="45"/>
    </row>
    <row r="162" spans="3:16" x14ac:dyDescent="0.25">
      <c r="C162" s="45"/>
      <c r="D162" s="71"/>
      <c r="E162" s="71"/>
      <c r="F162" s="71"/>
      <c r="G162" s="45"/>
      <c r="H162" s="72"/>
      <c r="I162" s="72"/>
      <c r="J162" s="72"/>
      <c r="K162" s="72"/>
      <c r="L162" s="72"/>
      <c r="M162" s="72"/>
      <c r="N162" s="72"/>
      <c r="O162" s="45"/>
      <c r="P162" s="45"/>
    </row>
    <row r="163" spans="3:16" x14ac:dyDescent="0.25">
      <c r="C163" s="45"/>
      <c r="D163" s="71"/>
      <c r="E163" s="71"/>
      <c r="F163" s="71"/>
      <c r="G163" s="45"/>
      <c r="H163" s="72"/>
      <c r="I163" s="72"/>
      <c r="J163" s="72"/>
      <c r="K163" s="72"/>
      <c r="L163" s="72"/>
      <c r="M163" s="72"/>
      <c r="N163" s="72"/>
      <c r="O163" s="45"/>
      <c r="P163" s="45"/>
    </row>
    <row r="164" spans="3:16" x14ac:dyDescent="0.25">
      <c r="C164" s="45"/>
      <c r="D164" s="71"/>
      <c r="E164" s="71"/>
      <c r="F164" s="71"/>
      <c r="G164" s="45"/>
      <c r="H164" s="72"/>
      <c r="I164" s="72"/>
      <c r="J164" s="72"/>
      <c r="K164" s="72"/>
      <c r="L164" s="72"/>
      <c r="M164" s="72"/>
      <c r="N164" s="72"/>
      <c r="O164" s="45"/>
      <c r="P164" s="45"/>
    </row>
    <row r="165" spans="3:16" x14ac:dyDescent="0.25">
      <c r="C165" s="45"/>
      <c r="D165" s="71"/>
      <c r="E165" s="71"/>
      <c r="F165" s="71"/>
      <c r="G165" s="45"/>
      <c r="H165" s="72"/>
      <c r="I165" s="72"/>
      <c r="J165" s="72"/>
      <c r="K165" s="72"/>
      <c r="L165" s="72"/>
      <c r="M165" s="72"/>
      <c r="N165" s="72"/>
      <c r="O165" s="45"/>
      <c r="P165" s="45"/>
    </row>
    <row r="166" spans="3:16" x14ac:dyDescent="0.25">
      <c r="C166" s="45"/>
      <c r="D166" s="71"/>
      <c r="E166" s="71"/>
      <c r="F166" s="71"/>
      <c r="G166" s="45"/>
      <c r="H166" s="72"/>
      <c r="I166" s="72"/>
      <c r="J166" s="72"/>
      <c r="K166" s="72"/>
      <c r="L166" s="72"/>
      <c r="M166" s="72"/>
      <c r="N166" s="72"/>
      <c r="O166" s="45"/>
      <c r="P166" s="45"/>
    </row>
    <row r="167" spans="3:16" x14ac:dyDescent="0.25">
      <c r="C167" s="45"/>
      <c r="D167" s="71"/>
      <c r="E167" s="71"/>
      <c r="F167" s="71"/>
      <c r="G167" s="45"/>
      <c r="H167" s="72"/>
      <c r="I167" s="72"/>
      <c r="J167" s="72"/>
      <c r="K167" s="72"/>
      <c r="L167" s="72"/>
      <c r="M167" s="72"/>
      <c r="N167" s="72"/>
      <c r="O167" s="45"/>
      <c r="P167" s="45"/>
    </row>
    <row r="168" spans="3:16" x14ac:dyDescent="0.25">
      <c r="C168" s="45"/>
      <c r="D168" s="71"/>
      <c r="E168" s="71"/>
      <c r="F168" s="71"/>
      <c r="G168" s="45"/>
      <c r="H168" s="72"/>
      <c r="I168" s="72"/>
      <c r="J168" s="72"/>
      <c r="K168" s="72"/>
      <c r="L168" s="72"/>
      <c r="M168" s="72"/>
      <c r="N168" s="72"/>
      <c r="O168" s="45"/>
      <c r="P168" s="45"/>
    </row>
    <row r="169" spans="3:16" x14ac:dyDescent="0.25">
      <c r="C169" s="45"/>
      <c r="D169" s="71"/>
      <c r="E169" s="71"/>
      <c r="F169" s="71"/>
      <c r="G169" s="45"/>
      <c r="H169" s="72"/>
      <c r="I169" s="72"/>
      <c r="J169" s="72"/>
      <c r="K169" s="72"/>
      <c r="L169" s="72"/>
      <c r="M169" s="72"/>
      <c r="N169" s="72"/>
      <c r="O169" s="45"/>
      <c r="P169" s="45"/>
    </row>
    <row r="170" spans="3:16" x14ac:dyDescent="0.25">
      <c r="C170" s="45"/>
      <c r="D170" s="71"/>
      <c r="E170" s="71"/>
      <c r="F170" s="71"/>
      <c r="G170" s="45"/>
      <c r="H170" s="72"/>
      <c r="I170" s="72"/>
      <c r="J170" s="72"/>
      <c r="K170" s="72"/>
      <c r="L170" s="72"/>
      <c r="M170" s="72"/>
      <c r="N170" s="72"/>
      <c r="O170" s="45"/>
      <c r="P170" s="45"/>
    </row>
    <row r="171" spans="3:16" x14ac:dyDescent="0.25">
      <c r="C171" s="45"/>
      <c r="D171" s="45"/>
      <c r="E171" s="72"/>
      <c r="F171" s="72"/>
      <c r="G171" s="45"/>
      <c r="H171" s="45"/>
      <c r="I171" s="45"/>
      <c r="J171" s="45"/>
      <c r="K171" s="45"/>
      <c r="L171" s="45"/>
      <c r="M171" s="45"/>
      <c r="N171" s="45"/>
      <c r="O171" s="45"/>
      <c r="P171" s="45"/>
    </row>
    <row r="172" spans="3:16" x14ac:dyDescent="0.25">
      <c r="C172" s="45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45"/>
      <c r="P172" s="45"/>
    </row>
    <row r="173" spans="3:16" x14ac:dyDescent="0.25"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</row>
    <row r="174" spans="3:16" x14ac:dyDescent="0.25"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</row>
  </sheetData>
  <mergeCells count="9">
    <mergeCell ref="L62:N62"/>
    <mergeCell ref="D129:F129"/>
    <mergeCell ref="H129:J129"/>
    <mergeCell ref="L129:N129"/>
    <mergeCell ref="A1:C1"/>
    <mergeCell ref="D3:E3"/>
    <mergeCell ref="H3:K3"/>
    <mergeCell ref="D62:F62"/>
    <mergeCell ref="H62:J6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S172"/>
  <sheetViews>
    <sheetView topLeftCell="A25" workbookViewId="0">
      <selection activeCell="F55" sqref="F55"/>
    </sheetView>
  </sheetViews>
  <sheetFormatPr defaultRowHeight="15" x14ac:dyDescent="0.25"/>
  <cols>
    <col min="3" max="3" width="34" bestFit="1" customWidth="1"/>
    <col min="4" max="5" width="17.5703125" customWidth="1"/>
    <col min="6" max="6" width="16.140625" style="64" customWidth="1"/>
    <col min="7" max="7" width="11.5703125" bestFit="1" customWidth="1"/>
    <col min="8" max="10" width="10.7109375" customWidth="1"/>
  </cols>
  <sheetData>
    <row r="1" spans="1:19" x14ac:dyDescent="0.25">
      <c r="A1" s="54"/>
      <c r="B1" s="54"/>
      <c r="C1" s="54"/>
      <c r="D1" s="54"/>
      <c r="F1" s="77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x14ac:dyDescent="0.25">
      <c r="F2" s="77" t="s">
        <v>97</v>
      </c>
      <c r="G2" s="76">
        <v>215311.29000000007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x14ac:dyDescent="0.25">
      <c r="D3" s="88" t="s">
        <v>86</v>
      </c>
      <c r="E3" s="85"/>
      <c r="F3" s="77"/>
      <c r="G3" s="55"/>
      <c r="H3" s="55"/>
      <c r="I3" s="55"/>
      <c r="J3" s="55"/>
      <c r="K3" s="45"/>
      <c r="L3" s="45"/>
      <c r="M3" s="45"/>
      <c r="N3" s="45"/>
      <c r="O3" s="45"/>
      <c r="P3" s="45"/>
      <c r="Q3" s="45"/>
      <c r="R3" s="45"/>
      <c r="S3" s="45"/>
    </row>
    <row r="4" spans="1:19" x14ac:dyDescent="0.25">
      <c r="C4" s="56" t="s">
        <v>87</v>
      </c>
      <c r="D4" s="56" t="s">
        <v>95</v>
      </c>
      <c r="E4" s="56" t="s">
        <v>96</v>
      </c>
      <c r="F4" s="78" t="s">
        <v>98</v>
      </c>
      <c r="G4" s="70"/>
      <c r="H4" s="67"/>
      <c r="I4" s="70"/>
      <c r="J4" s="70"/>
      <c r="K4" s="45"/>
      <c r="L4" s="45"/>
      <c r="M4" s="45"/>
      <c r="N4" s="45"/>
      <c r="O4" s="45"/>
      <c r="P4" s="45"/>
      <c r="Q4" s="45"/>
      <c r="R4" s="45"/>
      <c r="S4" s="45"/>
    </row>
    <row r="5" spans="1:19" x14ac:dyDescent="0.25">
      <c r="C5" t="s">
        <v>22</v>
      </c>
      <c r="D5" s="52">
        <v>23031</v>
      </c>
      <c r="E5" s="73">
        <f>D5/$D$59</f>
        <v>4.6490127584929613E-3</v>
      </c>
      <c r="F5" s="77">
        <f>E5*$G$2</f>
        <v>1000.9849342575783</v>
      </c>
      <c r="G5" s="72"/>
      <c r="H5" s="72"/>
      <c r="I5" s="72"/>
      <c r="J5" s="72"/>
      <c r="K5" s="45"/>
      <c r="L5" s="45"/>
      <c r="M5" s="45"/>
      <c r="N5" s="45"/>
      <c r="O5" s="45"/>
      <c r="P5" s="45"/>
      <c r="Q5" s="45"/>
      <c r="R5" s="45"/>
      <c r="S5" s="45"/>
    </row>
    <row r="6" spans="1:19" x14ac:dyDescent="0.25">
      <c r="C6" t="s">
        <v>66</v>
      </c>
      <c r="D6" s="52">
        <f>5426+5166</f>
        <v>10592</v>
      </c>
      <c r="E6" s="73">
        <f t="shared" ref="E6:E58" si="0">D6/$D$59</f>
        <v>2.1380896677503126E-3</v>
      </c>
      <c r="F6" s="77">
        <f t="shared" ref="F6:F58" si="1">E6*$G$2</f>
        <v>460.35484449899138</v>
      </c>
      <c r="G6" s="72"/>
      <c r="H6" s="72"/>
      <c r="I6" s="72"/>
      <c r="J6" s="72"/>
      <c r="K6" s="45"/>
      <c r="L6" s="45"/>
      <c r="M6" s="45"/>
      <c r="N6" s="45"/>
      <c r="O6" s="45"/>
      <c r="P6" s="45"/>
      <c r="Q6" s="45"/>
      <c r="R6" s="45"/>
      <c r="S6" s="45"/>
    </row>
    <row r="7" spans="1:19" x14ac:dyDescent="0.25">
      <c r="C7" t="s">
        <v>23</v>
      </c>
      <c r="D7" s="52">
        <f>35772+5054</f>
        <v>40826</v>
      </c>
      <c r="E7" s="73">
        <f t="shared" si="0"/>
        <v>8.241092218237751E-3</v>
      </c>
      <c r="F7" s="77">
        <f t="shared" si="1"/>
        <v>1774.4001965177322</v>
      </c>
      <c r="G7" s="72"/>
      <c r="H7" s="72"/>
      <c r="I7" s="72"/>
      <c r="J7" s="72"/>
      <c r="K7" s="45"/>
      <c r="L7" s="45"/>
      <c r="M7" s="45"/>
      <c r="N7" s="45"/>
      <c r="O7" s="45"/>
      <c r="P7" s="45"/>
      <c r="Q7" s="45"/>
      <c r="R7" s="45"/>
      <c r="S7" s="45"/>
    </row>
    <row r="8" spans="1:19" x14ac:dyDescent="0.25">
      <c r="C8" t="s">
        <v>24</v>
      </c>
      <c r="D8">
        <v>0</v>
      </c>
      <c r="E8" s="73">
        <f t="shared" si="0"/>
        <v>0</v>
      </c>
      <c r="F8" s="77">
        <f t="shared" si="1"/>
        <v>0</v>
      </c>
      <c r="G8" s="72"/>
      <c r="H8" s="72"/>
      <c r="I8" s="72"/>
      <c r="J8" s="72"/>
      <c r="K8" s="45"/>
      <c r="L8" s="45"/>
      <c r="M8" s="45"/>
      <c r="N8" s="45"/>
      <c r="O8" s="45"/>
      <c r="P8" s="45"/>
      <c r="Q8" s="45"/>
      <c r="R8" s="45"/>
      <c r="S8" s="45"/>
    </row>
    <row r="9" spans="1:19" x14ac:dyDescent="0.25">
      <c r="C9" t="s">
        <v>0</v>
      </c>
      <c r="D9" s="52">
        <v>117970</v>
      </c>
      <c r="E9" s="73">
        <f t="shared" si="0"/>
        <v>2.3813296648839161E-2</v>
      </c>
      <c r="F9" s="77">
        <f t="shared" si="1"/>
        <v>5127.2716206142386</v>
      </c>
      <c r="G9" s="72"/>
      <c r="H9" s="72"/>
      <c r="I9" s="72"/>
      <c r="J9" s="72"/>
      <c r="K9" s="45"/>
      <c r="L9" s="45"/>
      <c r="M9" s="45"/>
      <c r="N9" s="45"/>
      <c r="O9" s="45"/>
      <c r="P9" s="45"/>
      <c r="Q9" s="45"/>
      <c r="R9" s="45"/>
      <c r="S9" s="45"/>
    </row>
    <row r="10" spans="1:19" x14ac:dyDescent="0.25">
      <c r="C10" t="s">
        <v>25</v>
      </c>
      <c r="D10" s="52">
        <f>12547+17017+20020+1883</f>
        <v>51467</v>
      </c>
      <c r="E10" s="73">
        <f t="shared" si="0"/>
        <v>1.0389072973008435E-2</v>
      </c>
      <c r="F10" s="77">
        <f t="shared" si="1"/>
        <v>2236.8847037225819</v>
      </c>
      <c r="G10" s="72"/>
      <c r="H10" s="72"/>
      <c r="I10" s="72"/>
      <c r="J10" s="72"/>
      <c r="K10" s="45"/>
      <c r="L10" s="45"/>
      <c r="M10" s="45"/>
      <c r="N10" s="45"/>
      <c r="O10" s="45"/>
      <c r="P10" s="45"/>
      <c r="Q10" s="45"/>
      <c r="R10" s="45"/>
      <c r="S10" s="45"/>
    </row>
    <row r="11" spans="1:19" x14ac:dyDescent="0.25">
      <c r="C11" t="s">
        <v>26</v>
      </c>
      <c r="D11">
        <f>329+116</f>
        <v>445</v>
      </c>
      <c r="E11" s="73">
        <f t="shared" si="0"/>
        <v>8.9827218858467623E-5</v>
      </c>
      <c r="F11" s="77">
        <f t="shared" si="1"/>
        <v>19.340814369528996</v>
      </c>
      <c r="G11" s="72"/>
      <c r="H11" s="72"/>
      <c r="I11" s="72"/>
      <c r="J11" s="72"/>
      <c r="K11" s="45"/>
      <c r="L11" s="45"/>
      <c r="M11" s="45"/>
      <c r="N11" s="45"/>
      <c r="O11" s="45"/>
      <c r="P11" s="45"/>
      <c r="Q11" s="45"/>
      <c r="R11" s="45"/>
      <c r="S11" s="45"/>
    </row>
    <row r="12" spans="1:19" x14ac:dyDescent="0.25">
      <c r="C12" t="s">
        <v>27</v>
      </c>
      <c r="D12" s="52">
        <f>33344+14563+172</f>
        <v>48079</v>
      </c>
      <c r="E12" s="73">
        <f t="shared" si="0"/>
        <v>9.7051749561713821E-3</v>
      </c>
      <c r="F12" s="77">
        <f t="shared" si="1"/>
        <v>2089.6337394889542</v>
      </c>
      <c r="G12" s="72"/>
      <c r="H12" s="72"/>
      <c r="I12" s="72"/>
      <c r="J12" s="72"/>
      <c r="K12" s="45"/>
      <c r="L12" s="45"/>
      <c r="M12" s="45"/>
      <c r="N12" s="45"/>
      <c r="O12" s="45"/>
      <c r="P12" s="45"/>
      <c r="Q12" s="45"/>
      <c r="R12" s="45"/>
      <c r="S12" s="45"/>
    </row>
    <row r="13" spans="1:19" x14ac:dyDescent="0.25">
      <c r="C13" t="s">
        <v>68</v>
      </c>
      <c r="D13">
        <v>0</v>
      </c>
      <c r="E13" s="73">
        <f t="shared" si="0"/>
        <v>0</v>
      </c>
      <c r="F13" s="77">
        <f t="shared" si="1"/>
        <v>0</v>
      </c>
      <c r="G13" s="72"/>
      <c r="H13" s="72"/>
      <c r="I13" s="72"/>
      <c r="J13" s="72"/>
      <c r="K13" s="45"/>
      <c r="L13" s="45"/>
      <c r="M13" s="45"/>
      <c r="N13" s="45"/>
      <c r="O13" s="45"/>
      <c r="P13" s="45"/>
      <c r="Q13" s="45"/>
      <c r="R13" s="45"/>
      <c r="S13" s="45"/>
    </row>
    <row r="14" spans="1:19" x14ac:dyDescent="0.25">
      <c r="C14" t="s">
        <v>69</v>
      </c>
      <c r="D14">
        <f>16732+3574</f>
        <v>20306</v>
      </c>
      <c r="E14" s="73">
        <f t="shared" si="0"/>
        <v>4.0989472048090867E-3</v>
      </c>
      <c r="F14" s="77">
        <f t="shared" si="1"/>
        <v>882.54961030933896</v>
      </c>
      <c r="G14" s="72"/>
      <c r="H14" s="72"/>
      <c r="I14" s="72"/>
      <c r="J14" s="72"/>
      <c r="K14" s="45"/>
      <c r="L14" s="45"/>
      <c r="M14" s="45"/>
      <c r="N14" s="45"/>
      <c r="O14" s="45"/>
      <c r="P14" s="45"/>
      <c r="Q14" s="45"/>
      <c r="R14" s="45"/>
      <c r="S14" s="45"/>
    </row>
    <row r="15" spans="1:19" x14ac:dyDescent="0.25">
      <c r="C15" t="s">
        <v>70</v>
      </c>
      <c r="D15" s="52">
        <f>22579+6068</f>
        <v>28647</v>
      </c>
      <c r="E15" s="73">
        <f t="shared" si="0"/>
        <v>5.7826524463787015E-3</v>
      </c>
      <c r="F15" s="77">
        <f t="shared" si="1"/>
        <v>1245.0703578514544</v>
      </c>
      <c r="G15" s="72"/>
      <c r="H15" s="72"/>
      <c r="I15" s="72"/>
      <c r="J15" s="72"/>
      <c r="K15" s="45"/>
      <c r="L15" s="45"/>
      <c r="M15" s="45"/>
      <c r="N15" s="45"/>
      <c r="O15" s="45"/>
      <c r="P15" s="45"/>
      <c r="Q15" s="45"/>
      <c r="R15" s="45"/>
      <c r="S15" s="45"/>
    </row>
    <row r="16" spans="1:19" x14ac:dyDescent="0.25">
      <c r="C16" t="s">
        <v>71</v>
      </c>
      <c r="D16">
        <f>710+1109</f>
        <v>1819</v>
      </c>
      <c r="E16" s="73">
        <f t="shared" si="0"/>
        <v>3.6718137326641035E-4</v>
      </c>
      <c r="F16" s="77">
        <f t="shared" si="1"/>
        <v>79.058295141962347</v>
      </c>
      <c r="G16" s="72"/>
      <c r="H16" s="72"/>
      <c r="I16" s="72"/>
      <c r="J16" s="72"/>
      <c r="K16" s="45"/>
      <c r="L16" s="45"/>
      <c r="M16" s="45"/>
      <c r="N16" s="45"/>
      <c r="O16" s="45"/>
      <c r="P16" s="45"/>
      <c r="Q16" s="45"/>
      <c r="R16" s="45"/>
      <c r="S16" s="45"/>
    </row>
    <row r="17" spans="3:19" x14ac:dyDescent="0.25">
      <c r="C17" t="s">
        <v>67</v>
      </c>
      <c r="D17">
        <f>312+53</f>
        <v>365</v>
      </c>
      <c r="E17" s="73">
        <f t="shared" si="0"/>
        <v>7.3678505355821759E-5</v>
      </c>
      <c r="F17" s="77">
        <f t="shared" si="1"/>
        <v>15.863814033433897</v>
      </c>
      <c r="G17" s="72"/>
      <c r="H17" s="72"/>
      <c r="I17" s="72"/>
      <c r="J17" s="72"/>
      <c r="K17" s="45"/>
      <c r="L17" s="45"/>
      <c r="M17" s="45"/>
      <c r="N17" s="45"/>
      <c r="O17" s="45"/>
      <c r="P17" s="45"/>
      <c r="Q17" s="45"/>
      <c r="R17" s="45"/>
      <c r="S17" s="45"/>
    </row>
    <row r="18" spans="3:19" x14ac:dyDescent="0.25">
      <c r="C18" t="s">
        <v>29</v>
      </c>
      <c r="D18" s="52">
        <f>185311+7344+3894+13874</f>
        <v>210423</v>
      </c>
      <c r="E18" s="73">
        <f t="shared" si="0"/>
        <v>4.2475759267090636E-2</v>
      </c>
      <c r="F18" s="77">
        <f t="shared" si="1"/>
        <v>9145.5105215267431</v>
      </c>
      <c r="G18" s="72"/>
      <c r="H18" s="72"/>
      <c r="I18" s="72"/>
      <c r="J18" s="72"/>
      <c r="K18" s="45"/>
      <c r="L18" s="45"/>
      <c r="M18" s="45"/>
      <c r="N18" s="45"/>
      <c r="O18" s="45"/>
      <c r="P18" s="45"/>
      <c r="Q18" s="45"/>
      <c r="R18" s="45"/>
      <c r="S18" s="45"/>
    </row>
    <row r="19" spans="3:19" x14ac:dyDescent="0.25">
      <c r="C19" t="s">
        <v>30</v>
      </c>
      <c r="D19">
        <v>46149</v>
      </c>
      <c r="E19" s="73">
        <f t="shared" si="0"/>
        <v>9.3155872429200506E-3</v>
      </c>
      <c r="F19" s="77">
        <f t="shared" si="1"/>
        <v>2005.7511063806601</v>
      </c>
      <c r="G19" s="72"/>
      <c r="H19" s="72"/>
      <c r="I19" s="72"/>
      <c r="J19" s="72"/>
      <c r="K19" s="45"/>
      <c r="L19" s="45"/>
      <c r="M19" s="45"/>
      <c r="N19" s="45"/>
      <c r="O19" s="45"/>
      <c r="P19" s="45"/>
      <c r="Q19" s="45"/>
      <c r="R19" s="45"/>
      <c r="S19" s="45"/>
    </row>
    <row r="20" spans="3:19" x14ac:dyDescent="0.25">
      <c r="C20" t="s">
        <v>1</v>
      </c>
      <c r="D20" s="52">
        <f>12088+70594</f>
        <v>82682</v>
      </c>
      <c r="E20" s="73">
        <f t="shared" si="0"/>
        <v>1.6690099122822068E-2</v>
      </c>
      <c r="F20" s="77">
        <f t="shared" si="1"/>
        <v>3593.5667723626889</v>
      </c>
      <c r="G20" s="72"/>
      <c r="H20" s="72"/>
      <c r="I20" s="72"/>
      <c r="J20" s="72"/>
      <c r="K20" s="45"/>
      <c r="L20" s="45"/>
      <c r="M20" s="45"/>
      <c r="N20" s="45"/>
      <c r="O20" s="45"/>
      <c r="P20" s="45"/>
      <c r="Q20" s="45"/>
      <c r="R20" s="45"/>
      <c r="S20" s="45"/>
    </row>
    <row r="21" spans="3:19" x14ac:dyDescent="0.25">
      <c r="C21" t="s">
        <v>31</v>
      </c>
      <c r="D21" s="52">
        <v>49667</v>
      </c>
      <c r="E21" s="73">
        <f t="shared" si="0"/>
        <v>1.0025726919198903E-2</v>
      </c>
      <c r="F21" s="77">
        <f t="shared" si="1"/>
        <v>2158.6521961604421</v>
      </c>
      <c r="G21" s="72"/>
      <c r="H21" s="72"/>
      <c r="I21" s="72"/>
      <c r="J21" s="72"/>
      <c r="K21" s="45"/>
      <c r="L21" s="45"/>
      <c r="M21" s="45"/>
      <c r="N21" s="45"/>
      <c r="O21" s="45"/>
      <c r="P21" s="45"/>
      <c r="Q21" s="45"/>
      <c r="R21" s="45"/>
      <c r="S21" s="45"/>
    </row>
    <row r="22" spans="3:19" x14ac:dyDescent="0.25">
      <c r="C22" t="s">
        <v>32</v>
      </c>
      <c r="D22">
        <v>0</v>
      </c>
      <c r="E22" s="73">
        <f t="shared" si="0"/>
        <v>0</v>
      </c>
      <c r="F22" s="77">
        <f t="shared" si="1"/>
        <v>0</v>
      </c>
      <c r="G22" s="72"/>
      <c r="H22" s="72"/>
      <c r="I22" s="72"/>
      <c r="J22" s="72"/>
      <c r="K22" s="45"/>
      <c r="L22" s="45"/>
      <c r="M22" s="45"/>
      <c r="N22" s="45"/>
      <c r="O22" s="45"/>
      <c r="P22" s="45"/>
      <c r="Q22" s="45"/>
      <c r="R22" s="45"/>
      <c r="S22" s="45"/>
    </row>
    <row r="23" spans="3:19" x14ac:dyDescent="0.25">
      <c r="C23" t="s">
        <v>34</v>
      </c>
      <c r="D23" s="52">
        <v>0</v>
      </c>
      <c r="E23" s="73">
        <f t="shared" si="0"/>
        <v>0</v>
      </c>
      <c r="F23" s="77">
        <f t="shared" si="1"/>
        <v>0</v>
      </c>
      <c r="G23" s="72"/>
      <c r="H23" s="72"/>
      <c r="I23" s="72"/>
      <c r="J23" s="72"/>
      <c r="K23" s="45"/>
      <c r="L23" s="45"/>
      <c r="M23" s="45"/>
      <c r="N23" s="45"/>
      <c r="O23" s="45"/>
      <c r="P23" s="45"/>
      <c r="Q23" s="45"/>
      <c r="R23" s="45"/>
      <c r="S23" s="45"/>
    </row>
    <row r="24" spans="3:19" x14ac:dyDescent="0.25">
      <c r="C24" t="s">
        <v>2</v>
      </c>
      <c r="D24" s="52">
        <f>51929+56145+96883+54324</f>
        <v>259281</v>
      </c>
      <c r="E24" s="73">
        <f t="shared" si="0"/>
        <v>5.2338182320994034E-2</v>
      </c>
      <c r="F24" s="77">
        <f t="shared" si="1"/>
        <v>11269.001551788422</v>
      </c>
      <c r="G24" s="72"/>
      <c r="H24" s="72"/>
      <c r="I24" s="72"/>
      <c r="J24" s="72"/>
      <c r="K24" s="45"/>
      <c r="L24" s="45"/>
      <c r="M24" s="45"/>
      <c r="N24" s="45"/>
      <c r="O24" s="45"/>
      <c r="P24" s="45"/>
      <c r="Q24" s="45"/>
      <c r="R24" s="45"/>
      <c r="S24" s="45"/>
    </row>
    <row r="25" spans="3:19" x14ac:dyDescent="0.25">
      <c r="C25" t="s">
        <v>35</v>
      </c>
      <c r="D25">
        <v>12574</v>
      </c>
      <c r="E25" s="73">
        <f t="shared" si="0"/>
        <v>2.538174044778364E-3</v>
      </c>
      <c r="F25" s="77">
        <f t="shared" si="1"/>
        <v>546.49752782574751</v>
      </c>
      <c r="G25" s="72"/>
      <c r="H25" s="72"/>
      <c r="I25" s="72"/>
      <c r="J25" s="72"/>
      <c r="K25" s="45"/>
      <c r="L25" s="45"/>
      <c r="M25" s="45"/>
      <c r="N25" s="45"/>
      <c r="O25" s="45"/>
      <c r="P25" s="45"/>
      <c r="Q25" s="45"/>
      <c r="R25" s="45"/>
      <c r="S25" s="45"/>
    </row>
    <row r="26" spans="3:19" x14ac:dyDescent="0.25">
      <c r="C26" t="s">
        <v>88</v>
      </c>
      <c r="D26" s="52">
        <v>654458</v>
      </c>
      <c r="E26" s="73">
        <f t="shared" si="0"/>
        <v>0.13210818426893259</v>
      </c>
      <c r="F26" s="77">
        <f t="shared" si="1"/>
        <v>28444.383574501589</v>
      </c>
      <c r="G26" s="72"/>
      <c r="H26" s="72"/>
      <c r="I26" s="72"/>
      <c r="J26" s="72"/>
      <c r="K26" s="45"/>
      <c r="L26" s="45"/>
      <c r="M26" s="45"/>
      <c r="N26" s="45"/>
      <c r="O26" s="45"/>
      <c r="P26" s="45"/>
      <c r="Q26" s="45"/>
      <c r="R26" s="45"/>
      <c r="S26" s="45"/>
    </row>
    <row r="27" spans="3:19" x14ac:dyDescent="0.25">
      <c r="C27" t="s">
        <v>89</v>
      </c>
      <c r="D27" s="52">
        <v>0</v>
      </c>
      <c r="E27" s="73">
        <f t="shared" si="0"/>
        <v>0</v>
      </c>
      <c r="F27" s="77">
        <f t="shared" si="1"/>
        <v>0</v>
      </c>
      <c r="G27" s="72"/>
      <c r="H27" s="72"/>
      <c r="I27" s="72"/>
      <c r="J27" s="72"/>
      <c r="K27" s="45"/>
      <c r="L27" s="45"/>
      <c r="M27" s="45"/>
      <c r="N27" s="45"/>
      <c r="O27" s="45"/>
      <c r="P27" s="45"/>
      <c r="Q27" s="45"/>
      <c r="R27" s="45"/>
      <c r="S27" s="45"/>
    </row>
    <row r="28" spans="3:19" x14ac:dyDescent="0.25">
      <c r="C28" t="s">
        <v>40</v>
      </c>
      <c r="D28" s="52">
        <v>0</v>
      </c>
      <c r="E28" s="73">
        <f t="shared" si="0"/>
        <v>0</v>
      </c>
      <c r="F28" s="77">
        <f t="shared" si="1"/>
        <v>0</v>
      </c>
      <c r="G28" s="72"/>
      <c r="H28" s="72"/>
      <c r="I28" s="72"/>
      <c r="J28" s="72"/>
      <c r="K28" s="45"/>
      <c r="L28" s="45"/>
      <c r="M28" s="45"/>
      <c r="N28" s="45"/>
      <c r="O28" s="45"/>
      <c r="P28" s="45"/>
      <c r="Q28" s="45"/>
      <c r="R28" s="45"/>
      <c r="S28" s="45"/>
    </row>
    <row r="29" spans="3:19" x14ac:dyDescent="0.25">
      <c r="C29" t="s">
        <v>41</v>
      </c>
      <c r="D29" s="52">
        <v>0</v>
      </c>
      <c r="E29" s="73">
        <f t="shared" si="0"/>
        <v>0</v>
      </c>
      <c r="F29" s="77">
        <f t="shared" si="1"/>
        <v>0</v>
      </c>
      <c r="G29" s="72"/>
      <c r="H29" s="72"/>
      <c r="I29" s="72"/>
      <c r="J29" s="72"/>
      <c r="K29" s="45"/>
      <c r="L29" s="45"/>
      <c r="M29" s="45"/>
      <c r="N29" s="45"/>
      <c r="O29" s="45"/>
      <c r="P29" s="45"/>
      <c r="Q29" s="45"/>
      <c r="R29" s="45"/>
      <c r="S29" s="45"/>
    </row>
    <row r="30" spans="3:19" x14ac:dyDescent="0.25">
      <c r="C30" t="s">
        <v>42</v>
      </c>
      <c r="D30" s="52">
        <v>0</v>
      </c>
      <c r="E30" s="73">
        <f t="shared" si="0"/>
        <v>0</v>
      </c>
      <c r="F30" s="77">
        <f t="shared" si="1"/>
        <v>0</v>
      </c>
      <c r="G30" s="72"/>
      <c r="H30" s="72"/>
      <c r="I30" s="72"/>
      <c r="J30" s="72"/>
      <c r="K30" s="45"/>
      <c r="L30" s="45"/>
      <c r="M30" s="45"/>
      <c r="N30" s="45"/>
      <c r="O30" s="45"/>
      <c r="P30" s="45"/>
      <c r="Q30" s="45"/>
      <c r="R30" s="45"/>
      <c r="S30" s="45"/>
    </row>
    <row r="31" spans="3:19" x14ac:dyDescent="0.25">
      <c r="C31" t="s">
        <v>43</v>
      </c>
      <c r="D31" s="52">
        <v>0</v>
      </c>
      <c r="E31" s="73">
        <f t="shared" si="0"/>
        <v>0</v>
      </c>
      <c r="F31" s="77">
        <f t="shared" si="1"/>
        <v>0</v>
      </c>
      <c r="G31" s="72"/>
      <c r="H31" s="72"/>
      <c r="I31" s="72"/>
      <c r="J31" s="72"/>
      <c r="K31" s="45"/>
      <c r="L31" s="45"/>
      <c r="M31" s="45"/>
      <c r="N31" s="45"/>
      <c r="O31" s="45"/>
      <c r="P31" s="45"/>
      <c r="Q31" s="45"/>
      <c r="R31" s="45"/>
      <c r="S31" s="45"/>
    </row>
    <row r="32" spans="3:19" x14ac:dyDescent="0.25">
      <c r="C32" t="s">
        <v>44</v>
      </c>
      <c r="D32">
        <v>7395</v>
      </c>
      <c r="E32" s="73">
        <f t="shared" si="0"/>
        <v>1.4927467044008273E-3</v>
      </c>
      <c r="F32" s="77">
        <f t="shared" si="1"/>
        <v>321.40521856779088</v>
      </c>
      <c r="G32" s="72"/>
      <c r="H32" s="72"/>
      <c r="I32" s="72"/>
      <c r="J32" s="72"/>
      <c r="K32" s="45"/>
      <c r="L32" s="45"/>
      <c r="M32" s="45"/>
      <c r="N32" s="45"/>
      <c r="O32" s="45"/>
      <c r="P32" s="45"/>
      <c r="Q32" s="45"/>
      <c r="R32" s="45"/>
      <c r="S32" s="45"/>
    </row>
    <row r="33" spans="3:19" x14ac:dyDescent="0.25">
      <c r="C33" t="s">
        <v>45</v>
      </c>
      <c r="D33" s="52">
        <v>0</v>
      </c>
      <c r="E33" s="73">
        <f t="shared" si="0"/>
        <v>0</v>
      </c>
      <c r="F33" s="77">
        <f t="shared" si="1"/>
        <v>0</v>
      </c>
      <c r="G33" s="72"/>
      <c r="H33" s="72"/>
      <c r="I33" s="72"/>
      <c r="J33" s="72"/>
      <c r="K33" s="45"/>
      <c r="L33" s="45"/>
      <c r="M33" s="45"/>
      <c r="N33" s="45"/>
      <c r="O33" s="45"/>
      <c r="P33" s="45"/>
      <c r="Q33" s="45"/>
      <c r="R33" s="45"/>
      <c r="S33" s="45"/>
    </row>
    <row r="34" spans="3:19" x14ac:dyDescent="0.25">
      <c r="C34" t="s">
        <v>46</v>
      </c>
      <c r="D34" s="52">
        <v>0</v>
      </c>
      <c r="E34" s="73">
        <f t="shared" si="0"/>
        <v>0</v>
      </c>
      <c r="F34" s="77">
        <f t="shared" si="1"/>
        <v>0</v>
      </c>
      <c r="G34" s="72"/>
      <c r="H34" s="72"/>
      <c r="I34" s="72"/>
      <c r="J34" s="72"/>
      <c r="K34" s="45"/>
      <c r="L34" s="45"/>
      <c r="M34" s="45"/>
      <c r="N34" s="45"/>
      <c r="O34" s="45"/>
      <c r="P34" s="45"/>
      <c r="Q34" s="45"/>
      <c r="R34" s="45"/>
      <c r="S34" s="45"/>
    </row>
    <row r="35" spans="3:19" x14ac:dyDescent="0.25">
      <c r="C35" t="s">
        <v>47</v>
      </c>
      <c r="D35" s="52">
        <v>0</v>
      </c>
      <c r="E35" s="73">
        <f t="shared" si="0"/>
        <v>0</v>
      </c>
      <c r="F35" s="77">
        <f t="shared" si="1"/>
        <v>0</v>
      </c>
      <c r="G35" s="72"/>
      <c r="H35" s="72"/>
      <c r="I35" s="72"/>
      <c r="J35" s="72"/>
      <c r="K35" s="45"/>
      <c r="L35" s="45"/>
      <c r="M35" s="45"/>
      <c r="N35" s="45"/>
      <c r="O35" s="45"/>
      <c r="P35" s="45"/>
      <c r="Q35" s="45"/>
      <c r="R35" s="45"/>
      <c r="S35" s="45"/>
    </row>
    <row r="36" spans="3:19" x14ac:dyDescent="0.25">
      <c r="C36" t="s">
        <v>48</v>
      </c>
      <c r="D36">
        <v>203909</v>
      </c>
      <c r="E36" s="73">
        <f t="shared" si="0"/>
        <v>4.1160850270137696E-2</v>
      </c>
      <c r="F36" s="77">
        <f t="shared" si="1"/>
        <v>8862.3957691601991</v>
      </c>
      <c r="G36" s="72"/>
      <c r="H36" s="72"/>
      <c r="I36" s="72"/>
      <c r="J36" s="72"/>
      <c r="K36" s="45"/>
      <c r="L36" s="45"/>
      <c r="M36" s="45"/>
      <c r="N36" s="45"/>
      <c r="O36" s="45"/>
      <c r="P36" s="45"/>
      <c r="Q36" s="45"/>
      <c r="R36" s="45"/>
      <c r="S36" s="45"/>
    </row>
    <row r="37" spans="3:19" x14ac:dyDescent="0.25">
      <c r="C37" t="s">
        <v>49</v>
      </c>
      <c r="D37" s="52">
        <v>26941</v>
      </c>
      <c r="E37" s="73">
        <f t="shared" si="0"/>
        <v>5.4382811309347783E-3</v>
      </c>
      <c r="F37" s="77">
        <f t="shared" si="1"/>
        <v>1170.9233256842265</v>
      </c>
      <c r="G37" s="72"/>
      <c r="H37" s="72"/>
      <c r="I37" s="72"/>
      <c r="J37" s="72"/>
      <c r="K37" s="45"/>
      <c r="L37" s="45"/>
      <c r="M37" s="45"/>
      <c r="N37" s="45"/>
      <c r="O37" s="45"/>
      <c r="P37" s="45"/>
      <c r="Q37" s="45"/>
      <c r="R37" s="45"/>
      <c r="S37" s="45"/>
    </row>
    <row r="38" spans="3:19" x14ac:dyDescent="0.25">
      <c r="C38" t="s">
        <v>50</v>
      </c>
      <c r="D38" s="52">
        <f>130662+58191+75979+81068+201801+23003</f>
        <v>570704</v>
      </c>
      <c r="E38" s="73">
        <f t="shared" si="0"/>
        <v>0.11520169238517508</v>
      </c>
      <c r="F38" s="77">
        <f t="shared" si="1"/>
        <v>24804.224997635232</v>
      </c>
      <c r="G38" s="72"/>
      <c r="H38" s="72"/>
      <c r="I38" s="72"/>
      <c r="J38" s="72"/>
      <c r="K38" s="45"/>
      <c r="L38" s="45"/>
      <c r="M38" s="45"/>
      <c r="N38" s="45"/>
      <c r="O38" s="45"/>
      <c r="P38" s="45"/>
      <c r="Q38" s="45"/>
      <c r="R38" s="45"/>
      <c r="S38" s="45"/>
    </row>
    <row r="39" spans="3:19" x14ac:dyDescent="0.25">
      <c r="C39" t="s">
        <v>51</v>
      </c>
      <c r="D39" s="52">
        <v>0</v>
      </c>
      <c r="E39" s="73">
        <f t="shared" si="0"/>
        <v>0</v>
      </c>
      <c r="F39" s="77">
        <f t="shared" si="1"/>
        <v>0</v>
      </c>
      <c r="G39" s="72"/>
      <c r="H39" s="72"/>
      <c r="I39" s="72"/>
      <c r="J39" s="72"/>
      <c r="K39" s="45"/>
      <c r="L39" s="45"/>
      <c r="M39" s="45"/>
      <c r="N39" s="45"/>
      <c r="O39" s="45"/>
      <c r="P39" s="45"/>
      <c r="Q39" s="45"/>
      <c r="R39" s="45"/>
      <c r="S39" s="45"/>
    </row>
    <row r="40" spans="3:19" x14ac:dyDescent="0.25">
      <c r="C40" t="s">
        <v>53</v>
      </c>
      <c r="D40" s="52">
        <v>0</v>
      </c>
      <c r="E40" s="73">
        <f t="shared" si="0"/>
        <v>0</v>
      </c>
      <c r="F40" s="77">
        <f t="shared" si="1"/>
        <v>0</v>
      </c>
      <c r="G40" s="72"/>
      <c r="H40" s="72"/>
      <c r="I40" s="72"/>
      <c r="J40" s="72"/>
      <c r="K40" s="45"/>
      <c r="L40" s="45"/>
      <c r="M40" s="45"/>
      <c r="N40" s="45"/>
      <c r="O40" s="45"/>
      <c r="P40" s="45"/>
      <c r="Q40" s="45"/>
      <c r="R40" s="45"/>
      <c r="S40" s="45"/>
    </row>
    <row r="41" spans="3:19" x14ac:dyDescent="0.25">
      <c r="C41" t="s">
        <v>55</v>
      </c>
      <c r="D41" s="52">
        <f>5854+7365+145220+82826</f>
        <v>241265</v>
      </c>
      <c r="E41" s="73">
        <f t="shared" si="0"/>
        <v>4.8701492040198184E-2</v>
      </c>
      <c r="F41" s="77">
        <f t="shared" si="1"/>
        <v>10485.981076099806</v>
      </c>
      <c r="G41" s="72"/>
      <c r="H41" s="72"/>
      <c r="I41" s="72"/>
      <c r="J41" s="72"/>
      <c r="K41" s="45"/>
      <c r="L41" s="45"/>
      <c r="M41" s="45"/>
      <c r="N41" s="45"/>
      <c r="O41" s="45"/>
      <c r="P41" s="45"/>
      <c r="Q41" s="45"/>
      <c r="R41" s="45"/>
      <c r="S41" s="45"/>
    </row>
    <row r="42" spans="3:19" x14ac:dyDescent="0.25">
      <c r="C42" t="s">
        <v>56</v>
      </c>
      <c r="D42" s="64">
        <f>24139+101092+21911+33657+10054+63916+64784+13465+67771</f>
        <v>400789</v>
      </c>
      <c r="E42" s="73">
        <f t="shared" si="0"/>
        <v>8.0902834200149168E-2</v>
      </c>
      <c r="F42" s="77">
        <f t="shared" si="1"/>
        <v>17419.293596290241</v>
      </c>
      <c r="G42" s="72"/>
      <c r="H42" s="72"/>
      <c r="I42" s="72"/>
      <c r="J42" s="72"/>
      <c r="K42" s="45"/>
      <c r="L42" s="45"/>
      <c r="M42" s="45"/>
      <c r="N42" s="45"/>
      <c r="O42" s="45"/>
      <c r="P42" s="45"/>
      <c r="Q42" s="45"/>
      <c r="R42" s="45"/>
      <c r="S42" s="45"/>
    </row>
    <row r="43" spans="3:19" x14ac:dyDescent="0.25">
      <c r="C43" t="s">
        <v>58</v>
      </c>
      <c r="D43">
        <v>0</v>
      </c>
      <c r="E43" s="73">
        <f t="shared" si="0"/>
        <v>0</v>
      </c>
      <c r="F43" s="77">
        <f t="shared" si="1"/>
        <v>0</v>
      </c>
      <c r="G43" s="72"/>
      <c r="H43" s="72"/>
      <c r="I43" s="72"/>
      <c r="J43" s="72"/>
      <c r="K43" s="45"/>
      <c r="L43" s="45"/>
      <c r="M43" s="45"/>
      <c r="N43" s="45"/>
      <c r="O43" s="45"/>
      <c r="P43" s="45"/>
      <c r="Q43" s="45"/>
      <c r="R43" s="45"/>
      <c r="S43" s="45"/>
    </row>
    <row r="44" spans="3:19" x14ac:dyDescent="0.25">
      <c r="C44" t="s">
        <v>37</v>
      </c>
      <c r="D44" s="52">
        <v>258823</v>
      </c>
      <c r="E44" s="73">
        <f t="shared" si="0"/>
        <v>5.2245730936191385E-2</v>
      </c>
      <c r="F44" s="77">
        <f t="shared" si="1"/>
        <v>11249.095724864279</v>
      </c>
      <c r="G44" s="72"/>
      <c r="H44" s="72"/>
      <c r="I44" s="72"/>
      <c r="J44" s="72"/>
      <c r="K44" s="45"/>
      <c r="L44" s="45"/>
      <c r="M44" s="45"/>
      <c r="N44" s="45"/>
      <c r="O44" s="45"/>
      <c r="P44" s="45"/>
      <c r="Q44" s="45"/>
      <c r="R44" s="45"/>
      <c r="S44" s="45"/>
    </row>
    <row r="45" spans="3:19" x14ac:dyDescent="0.25">
      <c r="C45" t="s">
        <v>59</v>
      </c>
      <c r="D45" s="52">
        <f>159888+12598+32241+87471</f>
        <v>292198</v>
      </c>
      <c r="E45" s="73">
        <f t="shared" si="0"/>
        <v>5.898277235057646E-2</v>
      </c>
      <c r="F45" s="77">
        <f t="shared" si="1"/>
        <v>12699.656802578953</v>
      </c>
      <c r="G45" s="72"/>
      <c r="H45" s="72"/>
      <c r="I45" s="72"/>
      <c r="J45" s="72"/>
      <c r="K45" s="45"/>
      <c r="L45" s="45"/>
      <c r="M45" s="45"/>
      <c r="N45" s="45"/>
      <c r="O45" s="45"/>
      <c r="P45" s="45"/>
      <c r="Q45" s="45"/>
      <c r="R45" s="45"/>
      <c r="S45" s="45"/>
    </row>
    <row r="46" spans="3:19" x14ac:dyDescent="0.25">
      <c r="C46" t="s">
        <v>61</v>
      </c>
      <c r="D46" s="52">
        <f>86705+26916+12574+52698+79639+48869+17931+97620+10317+198588+3483</f>
        <v>635340</v>
      </c>
      <c r="E46" s="73">
        <f t="shared" si="0"/>
        <v>0.12824904545963781</v>
      </c>
      <c r="F46" s="77">
        <f t="shared" si="1"/>
        <v>27613.467419183267</v>
      </c>
      <c r="G46" s="72"/>
      <c r="H46" s="72"/>
      <c r="I46" s="72"/>
      <c r="J46" s="72"/>
      <c r="K46" s="45"/>
      <c r="L46" s="45"/>
      <c r="M46" s="45"/>
      <c r="N46" s="45"/>
      <c r="O46" s="45"/>
      <c r="P46" s="45"/>
      <c r="Q46" s="45"/>
      <c r="R46" s="45"/>
      <c r="S46" s="45"/>
    </row>
    <row r="47" spans="3:19" x14ac:dyDescent="0.25">
      <c r="C47" t="s">
        <v>5</v>
      </c>
      <c r="D47" s="52">
        <f>145282+33211+58009</f>
        <v>236502</v>
      </c>
      <c r="E47" s="73">
        <f t="shared" si="0"/>
        <v>4.7740038010034409E-2</v>
      </c>
      <c r="F47" s="77">
        <f t="shared" si="1"/>
        <v>10278.969168589545</v>
      </c>
      <c r="G47" s="72"/>
      <c r="H47" s="72"/>
      <c r="I47" s="72"/>
      <c r="J47" s="72"/>
      <c r="K47" s="45"/>
      <c r="L47" s="45"/>
      <c r="M47" s="45"/>
      <c r="N47" s="45"/>
      <c r="O47" s="45"/>
      <c r="P47" s="45"/>
      <c r="Q47" s="45"/>
      <c r="R47" s="45"/>
      <c r="S47" s="45"/>
    </row>
    <row r="48" spans="3:19" x14ac:dyDescent="0.25">
      <c r="C48" t="s">
        <v>52</v>
      </c>
      <c r="D48" s="52">
        <f>29012+1646+1476+322+1292+3674+4109+742+30031</f>
        <v>72304</v>
      </c>
      <c r="E48" s="73">
        <f t="shared" si="0"/>
        <v>1.4595207263691333E-2</v>
      </c>
      <c r="F48" s="77">
        <f t="shared" si="1"/>
        <v>3142.5129037627521</v>
      </c>
      <c r="G48" s="72"/>
      <c r="H48" s="72"/>
      <c r="I48" s="72"/>
      <c r="J48" s="72"/>
      <c r="K48" s="45"/>
      <c r="L48" s="45"/>
      <c r="M48" s="45"/>
      <c r="N48" s="45"/>
      <c r="O48" s="45"/>
      <c r="P48" s="45"/>
      <c r="Q48" s="45"/>
      <c r="R48" s="45"/>
      <c r="S48" s="45"/>
    </row>
    <row r="49" spans="3:19" x14ac:dyDescent="0.25">
      <c r="C49" t="s">
        <v>54</v>
      </c>
      <c r="D49" s="52">
        <v>69617</v>
      </c>
      <c r="E49" s="73">
        <f t="shared" si="0"/>
        <v>1.4052812348921216E-2</v>
      </c>
      <c r="F49" s="77">
        <f t="shared" si="1"/>
        <v>3025.7291549741581</v>
      </c>
      <c r="G49" s="72"/>
      <c r="H49" s="72"/>
      <c r="I49" s="72"/>
      <c r="J49" s="72"/>
      <c r="K49" s="45"/>
      <c r="L49" s="45"/>
      <c r="M49" s="45"/>
      <c r="N49" s="45"/>
      <c r="O49" s="45"/>
      <c r="P49" s="45"/>
      <c r="Q49" s="45"/>
      <c r="R49" s="45"/>
      <c r="S49" s="45"/>
    </row>
    <row r="50" spans="3:19" x14ac:dyDescent="0.25">
      <c r="C50" t="s">
        <v>3</v>
      </c>
      <c r="D50" s="52">
        <v>10917</v>
      </c>
      <c r="E50" s="73">
        <f t="shared" si="0"/>
        <v>2.2036938163548115E-3</v>
      </c>
      <c r="F50" s="77">
        <f t="shared" si="1"/>
        <v>474.4801583643777</v>
      </c>
      <c r="G50" s="72"/>
      <c r="H50" s="72"/>
      <c r="I50" s="72"/>
      <c r="J50" s="72"/>
      <c r="K50" s="45"/>
      <c r="L50" s="45"/>
      <c r="M50" s="45"/>
      <c r="N50" s="45"/>
      <c r="O50" s="45"/>
      <c r="P50" s="45"/>
      <c r="Q50" s="45"/>
      <c r="R50" s="45"/>
      <c r="S50" s="45"/>
    </row>
    <row r="51" spans="3:19" x14ac:dyDescent="0.25">
      <c r="C51" t="s">
        <v>57</v>
      </c>
      <c r="D51" s="52">
        <f>7889+4060+15590</f>
        <v>27539</v>
      </c>
      <c r="E51" s="73">
        <f t="shared" si="0"/>
        <v>5.5589927643670562E-3</v>
      </c>
      <c r="F51" s="77">
        <f t="shared" si="1"/>
        <v>1196.9139031965374</v>
      </c>
      <c r="G51" s="72"/>
      <c r="H51" s="72"/>
      <c r="I51" s="72"/>
      <c r="J51" s="72"/>
      <c r="K51" s="45"/>
      <c r="L51" s="45"/>
      <c r="M51" s="45"/>
      <c r="N51" s="45"/>
      <c r="O51" s="45"/>
      <c r="P51" s="45"/>
      <c r="Q51" s="45"/>
      <c r="R51" s="45"/>
      <c r="S51" s="45"/>
    </row>
    <row r="52" spans="3:19" x14ac:dyDescent="0.25">
      <c r="C52" t="s">
        <v>6</v>
      </c>
      <c r="D52" s="52">
        <v>15216</v>
      </c>
      <c r="E52" s="73">
        <f t="shared" si="0"/>
        <v>3.0714853082032438E-3</v>
      </c>
      <c r="F52" s="77">
        <f t="shared" si="1"/>
        <v>661.3254639252882</v>
      </c>
      <c r="G52" s="72"/>
      <c r="H52" s="72"/>
      <c r="I52" s="72"/>
      <c r="J52" s="72"/>
      <c r="K52" s="45"/>
      <c r="L52" s="45"/>
      <c r="M52" s="45"/>
      <c r="N52" s="45"/>
      <c r="O52" s="45"/>
      <c r="P52" s="45"/>
      <c r="Q52" s="45"/>
      <c r="R52" s="45"/>
      <c r="S52" s="45"/>
    </row>
    <row r="53" spans="3:19" x14ac:dyDescent="0.25">
      <c r="C53" t="s">
        <v>60</v>
      </c>
      <c r="D53">
        <v>9676</v>
      </c>
      <c r="E53" s="73">
        <f t="shared" si="0"/>
        <v>1.9531868981450175E-3</v>
      </c>
      <c r="F53" s="77">
        <f t="shared" si="1"/>
        <v>420.54319065070246</v>
      </c>
      <c r="G53" s="72"/>
      <c r="H53" s="72"/>
      <c r="I53" s="72"/>
      <c r="J53" s="72"/>
      <c r="K53" s="45"/>
      <c r="L53" s="45"/>
      <c r="M53" s="45"/>
      <c r="N53" s="45"/>
      <c r="O53" s="45"/>
      <c r="P53" s="45"/>
      <c r="Q53" s="45"/>
      <c r="R53" s="45"/>
      <c r="S53" s="45"/>
    </row>
    <row r="54" spans="3:19" x14ac:dyDescent="0.25">
      <c r="C54" t="s">
        <v>4</v>
      </c>
      <c r="D54" s="52">
        <v>62215</v>
      </c>
      <c r="E54" s="73">
        <f t="shared" si="0"/>
        <v>1.2558652632088907E-2</v>
      </c>
      <c r="F54" s="77">
        <f t="shared" si="1"/>
        <v>2704.019698876959</v>
      </c>
      <c r="G54" s="72"/>
      <c r="H54" s="72"/>
      <c r="I54" s="72"/>
      <c r="J54" s="72"/>
      <c r="K54" s="45"/>
      <c r="L54" s="45"/>
      <c r="M54" s="45"/>
      <c r="N54" s="45"/>
      <c r="O54" s="45"/>
      <c r="P54" s="45"/>
      <c r="Q54" s="45"/>
      <c r="R54" s="45"/>
      <c r="S54" s="45"/>
    </row>
    <row r="55" spans="3:19" x14ac:dyDescent="0.25">
      <c r="C55" t="s">
        <v>62</v>
      </c>
      <c r="D55" s="52">
        <v>131475</v>
      </c>
      <c r="E55" s="73">
        <f t="shared" si="0"/>
        <v>2.6539401347004565E-2</v>
      </c>
      <c r="F55" s="77">
        <f t="shared" si="1"/>
        <v>5714.2327398512925</v>
      </c>
      <c r="G55" s="72"/>
      <c r="H55" s="72"/>
      <c r="I55" s="72"/>
      <c r="J55" s="72"/>
      <c r="K55" s="45"/>
      <c r="L55" s="45"/>
      <c r="M55" s="45"/>
      <c r="N55" s="45"/>
      <c r="O55" s="45"/>
      <c r="P55" s="45"/>
      <c r="Q55" s="45"/>
      <c r="R55" s="45"/>
      <c r="S55" s="45"/>
    </row>
    <row r="56" spans="3:19" x14ac:dyDescent="0.25">
      <c r="C56" t="s">
        <v>63</v>
      </c>
      <c r="D56" s="52">
        <v>22349</v>
      </c>
      <c r="E56" s="73">
        <f t="shared" si="0"/>
        <v>4.5113449758829053E-3</v>
      </c>
      <c r="F56" s="77">
        <f t="shared" si="1"/>
        <v>971.34350639236754</v>
      </c>
      <c r="G56" s="72"/>
      <c r="H56" s="72"/>
      <c r="I56" s="72"/>
      <c r="J56" s="72"/>
      <c r="K56" s="45"/>
      <c r="L56" s="45"/>
      <c r="M56" s="45"/>
      <c r="N56" s="45"/>
      <c r="O56" s="45"/>
      <c r="P56" s="45"/>
      <c r="Q56" s="45"/>
      <c r="R56" s="45"/>
      <c r="S56" s="45"/>
    </row>
    <row r="57" spans="3:19" x14ac:dyDescent="0.25">
      <c r="C57" t="s">
        <v>64</v>
      </c>
      <c r="D57" s="52">
        <v>0</v>
      </c>
      <c r="E57" s="73">
        <f t="shared" si="0"/>
        <v>0</v>
      </c>
      <c r="F57" s="77">
        <f t="shared" si="1"/>
        <v>0</v>
      </c>
      <c r="G57" s="72"/>
      <c r="H57" s="72"/>
      <c r="I57" s="72"/>
      <c r="J57" s="72"/>
      <c r="K57" s="45"/>
      <c r="L57" s="45"/>
      <c r="M57" s="45"/>
      <c r="N57" s="45"/>
      <c r="O57" s="45"/>
      <c r="P57" s="45"/>
      <c r="Q57" s="45"/>
      <c r="R57" s="45"/>
      <c r="S57" s="45"/>
    </row>
    <row r="58" spans="3:19" x14ac:dyDescent="0.25">
      <c r="C58" t="s">
        <v>65</v>
      </c>
      <c r="D58" s="52">
        <v>0</v>
      </c>
      <c r="E58" s="73">
        <f t="shared" si="0"/>
        <v>0</v>
      </c>
      <c r="F58" s="77">
        <f t="shared" si="1"/>
        <v>0</v>
      </c>
      <c r="G58" s="72"/>
      <c r="H58" s="72"/>
      <c r="I58" s="72"/>
      <c r="J58" s="72"/>
      <c r="K58" s="45"/>
      <c r="L58" s="45"/>
      <c r="M58" s="45"/>
      <c r="N58" s="45"/>
      <c r="O58" s="45"/>
      <c r="P58" s="45"/>
      <c r="Q58" s="45"/>
      <c r="R58" s="45"/>
      <c r="S58" s="45"/>
    </row>
    <row r="59" spans="3:19" x14ac:dyDescent="0.25">
      <c r="C59" s="56" t="s">
        <v>90</v>
      </c>
      <c r="D59" s="63">
        <f>SUM(D5:D58)</f>
        <v>4953955</v>
      </c>
      <c r="E59" s="63">
        <f>SUM(E5:E58)</f>
        <v>1</v>
      </c>
      <c r="F59" s="79">
        <f>SUM(F5:F58)</f>
        <v>215311.29</v>
      </c>
      <c r="G59" s="72"/>
      <c r="H59" s="72"/>
      <c r="I59" s="72"/>
      <c r="J59" s="72"/>
      <c r="K59" s="45"/>
      <c r="L59" s="45"/>
      <c r="M59" s="45"/>
      <c r="N59" s="45"/>
      <c r="O59" s="45"/>
      <c r="P59" s="45"/>
      <c r="Q59" s="45"/>
      <c r="R59" s="45"/>
      <c r="S59" s="45"/>
    </row>
    <row r="60" spans="3:19" x14ac:dyDescent="0.25">
      <c r="F60" s="77"/>
      <c r="G60" s="72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3:19" x14ac:dyDescent="0.25">
      <c r="F61" s="77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3:19" x14ac:dyDescent="0.25">
      <c r="E62" s="66"/>
      <c r="F62" s="80"/>
      <c r="G62" s="65"/>
      <c r="H62" s="65"/>
      <c r="I62" s="65"/>
      <c r="J62" s="65"/>
      <c r="K62" s="66"/>
      <c r="L62" s="66"/>
      <c r="M62" s="66"/>
      <c r="N62" s="66"/>
      <c r="O62" s="66"/>
      <c r="P62" s="66"/>
      <c r="Q62" s="66"/>
      <c r="R62" s="45"/>
      <c r="S62" s="45"/>
    </row>
    <row r="63" spans="3:19" x14ac:dyDescent="0.25">
      <c r="E63" s="66"/>
      <c r="F63" s="80"/>
      <c r="G63" s="67"/>
      <c r="H63" s="67"/>
      <c r="I63" s="67"/>
      <c r="J63" s="67"/>
      <c r="K63" s="66"/>
      <c r="L63" s="66"/>
      <c r="M63" s="66"/>
      <c r="N63" s="66"/>
      <c r="O63" s="66"/>
      <c r="P63" s="66"/>
      <c r="Q63" s="66"/>
      <c r="R63" s="45"/>
      <c r="S63" s="45"/>
    </row>
    <row r="64" spans="3:19" x14ac:dyDescent="0.25">
      <c r="E64" s="66"/>
      <c r="F64" s="80"/>
      <c r="G64" s="68"/>
      <c r="H64" s="68"/>
      <c r="I64" s="68"/>
      <c r="J64" s="68"/>
      <c r="K64" s="66"/>
      <c r="L64" s="66"/>
      <c r="M64" s="66"/>
      <c r="N64" s="66"/>
      <c r="O64" s="66"/>
      <c r="P64" s="66"/>
      <c r="Q64" s="66"/>
      <c r="R64" s="45"/>
      <c r="S64" s="45"/>
    </row>
    <row r="65" spans="5:19" x14ac:dyDescent="0.25">
      <c r="E65" s="66"/>
      <c r="F65" s="80"/>
      <c r="G65" s="68"/>
      <c r="H65" s="68"/>
      <c r="I65" s="68"/>
      <c r="J65" s="68"/>
      <c r="K65" s="66"/>
      <c r="L65" s="66"/>
      <c r="M65" s="66"/>
      <c r="N65" s="66"/>
      <c r="O65" s="66"/>
      <c r="P65" s="66"/>
      <c r="Q65" s="66"/>
      <c r="R65" s="45"/>
      <c r="S65" s="45"/>
    </row>
    <row r="66" spans="5:19" x14ac:dyDescent="0.25">
      <c r="E66" s="66"/>
      <c r="F66" s="80"/>
      <c r="G66" s="68"/>
      <c r="H66" s="68"/>
      <c r="I66" s="68"/>
      <c r="J66" s="68"/>
      <c r="K66" s="66"/>
      <c r="L66" s="66"/>
      <c r="M66" s="66"/>
      <c r="N66" s="66"/>
      <c r="O66" s="66"/>
      <c r="P66" s="66"/>
      <c r="Q66" s="66"/>
      <c r="R66" s="45"/>
      <c r="S66" s="45"/>
    </row>
    <row r="67" spans="5:19" x14ac:dyDescent="0.25">
      <c r="E67" s="66"/>
      <c r="F67" s="80"/>
      <c r="G67" s="68"/>
      <c r="H67" s="68"/>
      <c r="I67" s="68"/>
      <c r="J67" s="68"/>
      <c r="K67" s="66"/>
      <c r="L67" s="66"/>
      <c r="M67" s="66"/>
      <c r="N67" s="66"/>
      <c r="O67" s="66"/>
      <c r="P67" s="66"/>
      <c r="Q67" s="66"/>
      <c r="R67" s="45"/>
      <c r="S67" s="45"/>
    </row>
    <row r="68" spans="5:19" x14ac:dyDescent="0.25">
      <c r="E68" s="66"/>
      <c r="F68" s="80"/>
      <c r="G68" s="68"/>
      <c r="H68" s="68"/>
      <c r="I68" s="68"/>
      <c r="J68" s="68"/>
      <c r="K68" s="66"/>
      <c r="L68" s="66"/>
      <c r="M68" s="66"/>
      <c r="N68" s="66"/>
      <c r="O68" s="66"/>
      <c r="P68" s="66"/>
      <c r="Q68" s="66"/>
      <c r="R68" s="45"/>
      <c r="S68" s="45"/>
    </row>
    <row r="69" spans="5:19" x14ac:dyDescent="0.25">
      <c r="E69" s="66"/>
      <c r="F69" s="80"/>
      <c r="G69" s="68"/>
      <c r="H69" s="68"/>
      <c r="I69" s="68"/>
      <c r="J69" s="68"/>
      <c r="K69" s="66"/>
      <c r="L69" s="66"/>
      <c r="M69" s="66"/>
      <c r="N69" s="66"/>
      <c r="O69" s="66"/>
      <c r="P69" s="66"/>
      <c r="Q69" s="66"/>
      <c r="R69" s="45"/>
      <c r="S69" s="45"/>
    </row>
    <row r="70" spans="5:19" x14ac:dyDescent="0.25">
      <c r="E70" s="66"/>
      <c r="F70" s="80"/>
      <c r="G70" s="68"/>
      <c r="H70" s="68"/>
      <c r="I70" s="68"/>
      <c r="J70" s="68"/>
      <c r="K70" s="66"/>
      <c r="L70" s="66"/>
      <c r="M70" s="66"/>
      <c r="N70" s="66"/>
      <c r="O70" s="66"/>
      <c r="P70" s="66"/>
      <c r="Q70" s="66"/>
      <c r="R70" s="45"/>
      <c r="S70" s="45"/>
    </row>
    <row r="71" spans="5:19" x14ac:dyDescent="0.25">
      <c r="E71" s="66"/>
      <c r="F71" s="80"/>
      <c r="G71" s="68"/>
      <c r="H71" s="68"/>
      <c r="I71" s="68"/>
      <c r="J71" s="68"/>
      <c r="K71" s="66"/>
      <c r="L71" s="66"/>
      <c r="M71" s="66"/>
      <c r="N71" s="66"/>
      <c r="O71" s="66"/>
      <c r="P71" s="66"/>
      <c r="Q71" s="66"/>
      <c r="R71" s="45"/>
      <c r="S71" s="45"/>
    </row>
    <row r="72" spans="5:19" x14ac:dyDescent="0.25">
      <c r="E72" s="66"/>
      <c r="F72" s="80"/>
      <c r="G72" s="68"/>
      <c r="H72" s="68"/>
      <c r="I72" s="68"/>
      <c r="J72" s="68"/>
      <c r="K72" s="66"/>
      <c r="L72" s="66"/>
      <c r="M72" s="66"/>
      <c r="N72" s="66"/>
      <c r="O72" s="66"/>
      <c r="P72" s="66"/>
      <c r="Q72" s="66"/>
      <c r="R72" s="45"/>
      <c r="S72" s="45"/>
    </row>
    <row r="73" spans="5:19" x14ac:dyDescent="0.25">
      <c r="E73" s="66"/>
      <c r="F73" s="80"/>
      <c r="G73" s="68"/>
      <c r="H73" s="68"/>
      <c r="I73" s="68"/>
      <c r="J73" s="68"/>
      <c r="K73" s="66"/>
      <c r="L73" s="66"/>
      <c r="M73" s="66"/>
      <c r="N73" s="66"/>
      <c r="O73" s="66"/>
      <c r="P73" s="66"/>
      <c r="Q73" s="66"/>
      <c r="R73" s="45"/>
      <c r="S73" s="45"/>
    </row>
    <row r="74" spans="5:19" x14ac:dyDescent="0.25">
      <c r="E74" s="66"/>
      <c r="F74" s="80"/>
      <c r="G74" s="68"/>
      <c r="H74" s="68"/>
      <c r="I74" s="68"/>
      <c r="J74" s="68"/>
      <c r="K74" s="66"/>
      <c r="L74" s="66"/>
      <c r="M74" s="66"/>
      <c r="N74" s="66"/>
      <c r="O74" s="66"/>
      <c r="P74" s="66"/>
      <c r="Q74" s="66"/>
      <c r="R74" s="45"/>
      <c r="S74" s="45"/>
    </row>
    <row r="75" spans="5:19" x14ac:dyDescent="0.25">
      <c r="E75" s="66"/>
      <c r="F75" s="80"/>
      <c r="G75" s="68"/>
      <c r="H75" s="68"/>
      <c r="I75" s="68"/>
      <c r="J75" s="68"/>
      <c r="K75" s="66"/>
      <c r="L75" s="66"/>
      <c r="M75" s="66"/>
      <c r="N75" s="66"/>
      <c r="O75" s="66"/>
      <c r="P75" s="66"/>
      <c r="Q75" s="66"/>
      <c r="R75" s="45"/>
      <c r="S75" s="45"/>
    </row>
    <row r="76" spans="5:19" x14ac:dyDescent="0.25">
      <c r="E76" s="66"/>
      <c r="F76" s="80"/>
      <c r="G76" s="68"/>
      <c r="H76" s="68"/>
      <c r="I76" s="68"/>
      <c r="J76" s="68"/>
      <c r="K76" s="66"/>
      <c r="L76" s="66"/>
      <c r="M76" s="66"/>
      <c r="N76" s="66"/>
      <c r="O76" s="66"/>
      <c r="P76" s="66"/>
      <c r="Q76" s="66"/>
      <c r="R76" s="45"/>
      <c r="S76" s="45"/>
    </row>
    <row r="77" spans="5:19" x14ac:dyDescent="0.25">
      <c r="E77" s="66"/>
      <c r="F77" s="80"/>
      <c r="G77" s="68"/>
      <c r="H77" s="68"/>
      <c r="I77" s="68"/>
      <c r="J77" s="68"/>
      <c r="K77" s="66"/>
      <c r="L77" s="66"/>
      <c r="M77" s="66"/>
      <c r="N77" s="66"/>
      <c r="O77" s="66"/>
      <c r="P77" s="66"/>
      <c r="Q77" s="66"/>
      <c r="R77" s="45"/>
      <c r="S77" s="45"/>
    </row>
    <row r="78" spans="5:19" x14ac:dyDescent="0.25">
      <c r="E78" s="66"/>
      <c r="F78" s="80"/>
      <c r="G78" s="68"/>
      <c r="H78" s="68"/>
      <c r="I78" s="68"/>
      <c r="J78" s="68"/>
      <c r="K78" s="66"/>
      <c r="L78" s="66"/>
      <c r="M78" s="66"/>
      <c r="N78" s="66"/>
      <c r="O78" s="66"/>
      <c r="P78" s="66"/>
      <c r="Q78" s="66"/>
      <c r="R78" s="45"/>
      <c r="S78" s="45"/>
    </row>
    <row r="79" spans="5:19" x14ac:dyDescent="0.25">
      <c r="E79" s="66"/>
      <c r="F79" s="80"/>
      <c r="G79" s="68"/>
      <c r="H79" s="68"/>
      <c r="I79" s="68"/>
      <c r="J79" s="68"/>
      <c r="K79" s="66"/>
      <c r="L79" s="66"/>
      <c r="M79" s="66"/>
      <c r="N79" s="66"/>
      <c r="O79" s="66"/>
      <c r="P79" s="66"/>
      <c r="Q79" s="66"/>
      <c r="R79" s="45"/>
      <c r="S79" s="45"/>
    </row>
    <row r="80" spans="5:19" x14ac:dyDescent="0.25">
      <c r="E80" s="66"/>
      <c r="F80" s="80"/>
      <c r="G80" s="68"/>
      <c r="H80" s="68"/>
      <c r="I80" s="68"/>
      <c r="J80" s="68"/>
      <c r="K80" s="66"/>
      <c r="L80" s="66"/>
      <c r="M80" s="66"/>
      <c r="N80" s="66"/>
      <c r="O80" s="66"/>
      <c r="P80" s="66"/>
      <c r="Q80" s="66"/>
      <c r="R80" s="45"/>
      <c r="S80" s="45"/>
    </row>
    <row r="81" spans="5:19" x14ac:dyDescent="0.25">
      <c r="E81" s="66"/>
      <c r="F81" s="80"/>
      <c r="G81" s="68"/>
      <c r="H81" s="68"/>
      <c r="I81" s="68"/>
      <c r="J81" s="68"/>
      <c r="K81" s="66"/>
      <c r="L81" s="66"/>
      <c r="M81" s="66"/>
      <c r="N81" s="66"/>
      <c r="O81" s="66"/>
      <c r="P81" s="66"/>
      <c r="Q81" s="66"/>
      <c r="R81" s="45"/>
      <c r="S81" s="45"/>
    </row>
    <row r="82" spans="5:19" x14ac:dyDescent="0.25">
      <c r="E82" s="66"/>
      <c r="F82" s="80"/>
      <c r="G82" s="68"/>
      <c r="H82" s="68"/>
      <c r="I82" s="68"/>
      <c r="J82" s="68"/>
      <c r="K82" s="66"/>
      <c r="L82" s="66"/>
      <c r="M82" s="66"/>
      <c r="N82" s="66"/>
      <c r="O82" s="66"/>
      <c r="P82" s="66"/>
      <c r="Q82" s="66"/>
      <c r="R82" s="45"/>
      <c r="S82" s="45"/>
    </row>
    <row r="83" spans="5:19" x14ac:dyDescent="0.25">
      <c r="E83" s="66"/>
      <c r="F83" s="80"/>
      <c r="G83" s="68"/>
      <c r="H83" s="68"/>
      <c r="I83" s="68"/>
      <c r="J83" s="68"/>
      <c r="K83" s="66"/>
      <c r="L83" s="66"/>
      <c r="M83" s="66"/>
      <c r="N83" s="66"/>
      <c r="O83" s="66"/>
      <c r="P83" s="66"/>
      <c r="Q83" s="66"/>
      <c r="R83" s="45"/>
      <c r="S83" s="45"/>
    </row>
    <row r="84" spans="5:19" x14ac:dyDescent="0.25">
      <c r="E84" s="66"/>
      <c r="F84" s="80"/>
      <c r="G84" s="68"/>
      <c r="H84" s="68"/>
      <c r="I84" s="68"/>
      <c r="J84" s="68"/>
      <c r="K84" s="66"/>
      <c r="L84" s="66"/>
      <c r="M84" s="66"/>
      <c r="N84" s="66"/>
      <c r="O84" s="66"/>
      <c r="P84" s="66"/>
      <c r="Q84" s="66"/>
      <c r="R84" s="45"/>
      <c r="S84" s="45"/>
    </row>
    <row r="85" spans="5:19" x14ac:dyDescent="0.25">
      <c r="E85" s="66"/>
      <c r="F85" s="80"/>
      <c r="G85" s="68"/>
      <c r="H85" s="68"/>
      <c r="I85" s="68"/>
      <c r="J85" s="68"/>
      <c r="K85" s="66"/>
      <c r="L85" s="66"/>
      <c r="M85" s="66"/>
      <c r="N85" s="66"/>
      <c r="O85" s="66"/>
      <c r="P85" s="66"/>
      <c r="Q85" s="66"/>
      <c r="R85" s="45"/>
      <c r="S85" s="45"/>
    </row>
    <row r="86" spans="5:19" x14ac:dyDescent="0.25">
      <c r="E86" s="66"/>
      <c r="F86" s="80"/>
      <c r="G86" s="68"/>
      <c r="H86" s="68"/>
      <c r="I86" s="68"/>
      <c r="J86" s="68"/>
      <c r="K86" s="66"/>
      <c r="L86" s="66"/>
      <c r="M86" s="66"/>
      <c r="N86" s="66"/>
      <c r="O86" s="66"/>
      <c r="P86" s="66"/>
      <c r="Q86" s="66"/>
      <c r="R86" s="45"/>
      <c r="S86" s="45"/>
    </row>
    <row r="87" spans="5:19" x14ac:dyDescent="0.25">
      <c r="E87" s="66"/>
      <c r="F87" s="80"/>
      <c r="G87" s="68"/>
      <c r="H87" s="68"/>
      <c r="I87" s="68"/>
      <c r="J87" s="68"/>
      <c r="K87" s="66"/>
      <c r="L87" s="66"/>
      <c r="M87" s="66"/>
      <c r="N87" s="66"/>
      <c r="O87" s="66"/>
      <c r="P87" s="66"/>
      <c r="Q87" s="66"/>
      <c r="R87" s="45"/>
      <c r="S87" s="45"/>
    </row>
    <row r="88" spans="5:19" x14ac:dyDescent="0.25">
      <c r="E88" s="66"/>
      <c r="F88" s="80"/>
      <c r="G88" s="68"/>
      <c r="H88" s="68"/>
      <c r="I88" s="68"/>
      <c r="J88" s="68"/>
      <c r="K88" s="66"/>
      <c r="L88" s="66"/>
      <c r="M88" s="66"/>
      <c r="N88" s="66"/>
      <c r="O88" s="66"/>
      <c r="P88" s="66"/>
      <c r="Q88" s="66"/>
      <c r="R88" s="45"/>
      <c r="S88" s="45"/>
    </row>
    <row r="89" spans="5:19" x14ac:dyDescent="0.25">
      <c r="E89" s="66"/>
      <c r="F89" s="80"/>
      <c r="G89" s="68"/>
      <c r="H89" s="68"/>
      <c r="I89" s="68"/>
      <c r="J89" s="68"/>
      <c r="K89" s="66"/>
      <c r="L89" s="66"/>
      <c r="M89" s="66"/>
      <c r="N89" s="66"/>
      <c r="O89" s="66"/>
      <c r="P89" s="66"/>
      <c r="Q89" s="66"/>
      <c r="R89" s="45"/>
      <c r="S89" s="45"/>
    </row>
    <row r="90" spans="5:19" x14ac:dyDescent="0.25">
      <c r="E90" s="66"/>
      <c r="F90" s="80"/>
      <c r="G90" s="68"/>
      <c r="H90" s="68"/>
      <c r="I90" s="68"/>
      <c r="J90" s="68"/>
      <c r="K90" s="66"/>
      <c r="L90" s="66"/>
      <c r="M90" s="66"/>
      <c r="N90" s="66"/>
      <c r="O90" s="66"/>
      <c r="P90" s="66"/>
      <c r="Q90" s="66"/>
      <c r="R90" s="45"/>
      <c r="S90" s="45"/>
    </row>
    <row r="91" spans="5:19" x14ac:dyDescent="0.25">
      <c r="E91" s="66"/>
      <c r="F91" s="80"/>
      <c r="G91" s="68"/>
      <c r="H91" s="68"/>
      <c r="I91" s="68"/>
      <c r="J91" s="68"/>
      <c r="K91" s="66"/>
      <c r="L91" s="66"/>
      <c r="M91" s="66"/>
      <c r="N91" s="66"/>
      <c r="O91" s="66"/>
      <c r="P91" s="66"/>
      <c r="Q91" s="66"/>
      <c r="R91" s="45"/>
      <c r="S91" s="45"/>
    </row>
    <row r="92" spans="5:19" x14ac:dyDescent="0.25">
      <c r="E92" s="66"/>
      <c r="F92" s="80"/>
      <c r="G92" s="68"/>
      <c r="H92" s="68"/>
      <c r="I92" s="68"/>
      <c r="J92" s="68"/>
      <c r="K92" s="66"/>
      <c r="L92" s="66"/>
      <c r="M92" s="66"/>
      <c r="N92" s="66"/>
      <c r="O92" s="66"/>
      <c r="P92" s="66"/>
      <c r="Q92" s="66"/>
      <c r="R92" s="45"/>
      <c r="S92" s="45"/>
    </row>
    <row r="93" spans="5:19" x14ac:dyDescent="0.25">
      <c r="E93" s="66"/>
      <c r="F93" s="80"/>
      <c r="G93" s="68"/>
      <c r="H93" s="68"/>
      <c r="I93" s="68"/>
      <c r="J93" s="68"/>
      <c r="K93" s="66"/>
      <c r="L93" s="66"/>
      <c r="M93" s="66"/>
      <c r="N93" s="66"/>
      <c r="O93" s="66"/>
      <c r="P93" s="66"/>
      <c r="Q93" s="66"/>
      <c r="R93" s="45"/>
      <c r="S93" s="45"/>
    </row>
    <row r="94" spans="5:19" x14ac:dyDescent="0.25">
      <c r="E94" s="66"/>
      <c r="F94" s="80"/>
      <c r="G94" s="68"/>
      <c r="H94" s="68"/>
      <c r="I94" s="68"/>
      <c r="J94" s="68"/>
      <c r="K94" s="66"/>
      <c r="L94" s="66"/>
      <c r="M94" s="66"/>
      <c r="N94" s="66"/>
      <c r="O94" s="66"/>
      <c r="P94" s="66"/>
      <c r="Q94" s="66"/>
      <c r="R94" s="45"/>
      <c r="S94" s="45"/>
    </row>
    <row r="95" spans="5:19" x14ac:dyDescent="0.25">
      <c r="E95" s="66"/>
      <c r="F95" s="80"/>
      <c r="G95" s="68"/>
      <c r="H95" s="68"/>
      <c r="I95" s="68"/>
      <c r="J95" s="68"/>
      <c r="K95" s="66"/>
      <c r="L95" s="66"/>
      <c r="M95" s="66"/>
      <c r="N95" s="66"/>
      <c r="O95" s="66"/>
      <c r="P95" s="66"/>
      <c r="Q95" s="66"/>
      <c r="R95" s="45"/>
      <c r="S95" s="45"/>
    </row>
    <row r="96" spans="5:19" x14ac:dyDescent="0.25">
      <c r="E96" s="66"/>
      <c r="F96" s="80"/>
      <c r="G96" s="68"/>
      <c r="H96" s="68"/>
      <c r="I96" s="68"/>
      <c r="J96" s="68"/>
      <c r="K96" s="66"/>
      <c r="L96" s="66"/>
      <c r="M96" s="66"/>
      <c r="N96" s="66"/>
      <c r="O96" s="66"/>
      <c r="P96" s="66"/>
      <c r="Q96" s="66"/>
      <c r="R96" s="45"/>
      <c r="S96" s="45"/>
    </row>
    <row r="97" spans="5:19" x14ac:dyDescent="0.25">
      <c r="E97" s="66"/>
      <c r="F97" s="80"/>
      <c r="G97" s="68"/>
      <c r="H97" s="68"/>
      <c r="I97" s="68"/>
      <c r="J97" s="68"/>
      <c r="K97" s="66"/>
      <c r="L97" s="66"/>
      <c r="M97" s="66"/>
      <c r="N97" s="66"/>
      <c r="O97" s="66"/>
      <c r="P97" s="66"/>
      <c r="Q97" s="66"/>
      <c r="R97" s="45"/>
      <c r="S97" s="45"/>
    </row>
    <row r="98" spans="5:19" x14ac:dyDescent="0.25">
      <c r="E98" s="66"/>
      <c r="F98" s="80"/>
      <c r="G98" s="68"/>
      <c r="H98" s="68"/>
      <c r="I98" s="68"/>
      <c r="J98" s="68"/>
      <c r="K98" s="66"/>
      <c r="L98" s="66"/>
      <c r="M98" s="66"/>
      <c r="N98" s="66"/>
      <c r="O98" s="66"/>
      <c r="P98" s="66"/>
      <c r="Q98" s="66"/>
      <c r="R98" s="45"/>
      <c r="S98" s="45"/>
    </row>
    <row r="99" spans="5:19" x14ac:dyDescent="0.25">
      <c r="E99" s="66"/>
      <c r="F99" s="80"/>
      <c r="G99" s="68"/>
      <c r="H99" s="68"/>
      <c r="I99" s="68"/>
      <c r="J99" s="68"/>
      <c r="K99" s="66"/>
      <c r="L99" s="66"/>
      <c r="M99" s="66"/>
      <c r="N99" s="66"/>
      <c r="O99" s="66"/>
      <c r="P99" s="66"/>
      <c r="Q99" s="66"/>
      <c r="R99" s="45"/>
      <c r="S99" s="45"/>
    </row>
    <row r="100" spans="5:19" x14ac:dyDescent="0.25">
      <c r="E100" s="66"/>
      <c r="F100" s="80"/>
      <c r="G100" s="68"/>
      <c r="H100" s="68"/>
      <c r="I100" s="68"/>
      <c r="J100" s="68"/>
      <c r="K100" s="66"/>
      <c r="L100" s="66"/>
      <c r="M100" s="66"/>
      <c r="N100" s="66"/>
      <c r="O100" s="66"/>
      <c r="P100" s="66"/>
      <c r="Q100" s="66"/>
      <c r="R100" s="45"/>
      <c r="S100" s="45"/>
    </row>
    <row r="101" spans="5:19" x14ac:dyDescent="0.25">
      <c r="E101" s="66"/>
      <c r="F101" s="80"/>
      <c r="G101" s="68"/>
      <c r="H101" s="68"/>
      <c r="I101" s="68"/>
      <c r="J101" s="68"/>
      <c r="K101" s="66"/>
      <c r="L101" s="66"/>
      <c r="M101" s="66"/>
      <c r="N101" s="66"/>
      <c r="O101" s="66"/>
      <c r="P101" s="66"/>
      <c r="Q101" s="66"/>
      <c r="R101" s="45"/>
      <c r="S101" s="45"/>
    </row>
    <row r="102" spans="5:19" x14ac:dyDescent="0.25">
      <c r="E102" s="66"/>
      <c r="F102" s="80"/>
      <c r="G102" s="68"/>
      <c r="H102" s="68"/>
      <c r="I102" s="68"/>
      <c r="J102" s="68"/>
      <c r="K102" s="66"/>
      <c r="L102" s="66"/>
      <c r="M102" s="66"/>
      <c r="N102" s="66"/>
      <c r="O102" s="66"/>
      <c r="P102" s="66"/>
      <c r="Q102" s="66"/>
      <c r="R102" s="45"/>
      <c r="S102" s="45"/>
    </row>
    <row r="103" spans="5:19" x14ac:dyDescent="0.25">
      <c r="E103" s="66"/>
      <c r="F103" s="80"/>
      <c r="G103" s="68"/>
      <c r="H103" s="68"/>
      <c r="I103" s="68"/>
      <c r="J103" s="68"/>
      <c r="K103" s="66"/>
      <c r="L103" s="66"/>
      <c r="M103" s="66"/>
      <c r="N103" s="66"/>
      <c r="O103" s="66"/>
      <c r="P103" s="66"/>
      <c r="Q103" s="66"/>
      <c r="R103" s="45"/>
      <c r="S103" s="45"/>
    </row>
    <row r="104" spans="5:19" x14ac:dyDescent="0.25">
      <c r="E104" s="66"/>
      <c r="F104" s="80"/>
      <c r="G104" s="68"/>
      <c r="H104" s="68"/>
      <c r="I104" s="68"/>
      <c r="J104" s="68"/>
      <c r="K104" s="66"/>
      <c r="L104" s="66"/>
      <c r="M104" s="66"/>
      <c r="N104" s="66"/>
      <c r="O104" s="66"/>
      <c r="P104" s="66"/>
      <c r="Q104" s="66"/>
      <c r="R104" s="45"/>
      <c r="S104" s="45"/>
    </row>
    <row r="105" spans="5:19" x14ac:dyDescent="0.25">
      <c r="E105" s="66"/>
      <c r="F105" s="80"/>
      <c r="G105" s="68"/>
      <c r="H105" s="68"/>
      <c r="I105" s="68"/>
      <c r="J105" s="68"/>
      <c r="K105" s="66"/>
      <c r="L105" s="66"/>
      <c r="M105" s="66"/>
      <c r="N105" s="66"/>
      <c r="O105" s="66"/>
      <c r="P105" s="66"/>
      <c r="Q105" s="66"/>
      <c r="R105" s="45"/>
      <c r="S105" s="45"/>
    </row>
    <row r="106" spans="5:19" x14ac:dyDescent="0.25">
      <c r="E106" s="66"/>
      <c r="F106" s="80"/>
      <c r="G106" s="68"/>
      <c r="H106" s="68"/>
      <c r="I106" s="68"/>
      <c r="J106" s="68"/>
      <c r="K106" s="66"/>
      <c r="L106" s="66"/>
      <c r="M106" s="66"/>
      <c r="N106" s="66"/>
      <c r="O106" s="66"/>
      <c r="P106" s="66"/>
      <c r="Q106" s="66"/>
      <c r="R106" s="45"/>
      <c r="S106" s="45"/>
    </row>
    <row r="107" spans="5:19" x14ac:dyDescent="0.25">
      <c r="E107" s="66"/>
      <c r="F107" s="80"/>
      <c r="G107" s="68"/>
      <c r="H107" s="68"/>
      <c r="I107" s="68"/>
      <c r="J107" s="68"/>
      <c r="K107" s="66"/>
      <c r="L107" s="66"/>
      <c r="M107" s="66"/>
      <c r="N107" s="66"/>
      <c r="O107" s="66"/>
      <c r="P107" s="66"/>
      <c r="Q107" s="66"/>
      <c r="R107" s="45"/>
      <c r="S107" s="45"/>
    </row>
    <row r="108" spans="5:19" x14ac:dyDescent="0.25">
      <c r="E108" s="66"/>
      <c r="F108" s="80"/>
      <c r="G108" s="68"/>
      <c r="H108" s="68"/>
      <c r="I108" s="68"/>
      <c r="J108" s="68"/>
      <c r="K108" s="66"/>
      <c r="L108" s="66"/>
      <c r="M108" s="66"/>
      <c r="N108" s="66"/>
      <c r="O108" s="66"/>
      <c r="P108" s="66"/>
      <c r="Q108" s="66"/>
      <c r="R108" s="45"/>
      <c r="S108" s="45"/>
    </row>
    <row r="109" spans="5:19" x14ac:dyDescent="0.25">
      <c r="E109" s="66"/>
      <c r="F109" s="80"/>
      <c r="G109" s="68"/>
      <c r="H109" s="68"/>
      <c r="I109" s="68"/>
      <c r="J109" s="68"/>
      <c r="K109" s="66"/>
      <c r="L109" s="66"/>
      <c r="M109" s="66"/>
      <c r="N109" s="66"/>
      <c r="O109" s="66"/>
      <c r="P109" s="66"/>
      <c r="Q109" s="66"/>
      <c r="R109" s="45"/>
      <c r="S109" s="45"/>
    </row>
    <row r="110" spans="5:19" x14ac:dyDescent="0.25">
      <c r="E110" s="66"/>
      <c r="F110" s="80"/>
      <c r="G110" s="68"/>
      <c r="H110" s="68"/>
      <c r="I110" s="68"/>
      <c r="J110" s="68"/>
      <c r="K110" s="66"/>
      <c r="L110" s="66"/>
      <c r="M110" s="66"/>
      <c r="N110" s="66"/>
      <c r="O110" s="66"/>
      <c r="P110" s="66"/>
      <c r="Q110" s="66"/>
      <c r="R110" s="45"/>
      <c r="S110" s="45"/>
    </row>
    <row r="111" spans="5:19" x14ac:dyDescent="0.25">
      <c r="E111" s="66"/>
      <c r="F111" s="80"/>
      <c r="G111" s="68"/>
      <c r="H111" s="68"/>
      <c r="I111" s="68"/>
      <c r="J111" s="68"/>
      <c r="K111" s="66"/>
      <c r="L111" s="66"/>
      <c r="M111" s="66"/>
      <c r="N111" s="66"/>
      <c r="O111" s="66"/>
      <c r="P111" s="66"/>
      <c r="Q111" s="66"/>
      <c r="R111" s="45"/>
      <c r="S111" s="45"/>
    </row>
    <row r="112" spans="5:19" x14ac:dyDescent="0.25">
      <c r="E112" s="66"/>
      <c r="F112" s="80"/>
      <c r="G112" s="68"/>
      <c r="H112" s="68"/>
      <c r="I112" s="68"/>
      <c r="J112" s="68"/>
      <c r="K112" s="66"/>
      <c r="L112" s="66"/>
      <c r="M112" s="66"/>
      <c r="N112" s="66"/>
      <c r="O112" s="66"/>
      <c r="P112" s="66"/>
      <c r="Q112" s="66"/>
      <c r="R112" s="45"/>
      <c r="S112" s="45"/>
    </row>
    <row r="113" spans="5:19" x14ac:dyDescent="0.25">
      <c r="E113" s="66"/>
      <c r="F113" s="80"/>
      <c r="G113" s="68"/>
      <c r="H113" s="68"/>
      <c r="I113" s="68"/>
      <c r="J113" s="68"/>
      <c r="K113" s="66"/>
      <c r="L113" s="66"/>
      <c r="M113" s="66"/>
      <c r="N113" s="66"/>
      <c r="O113" s="66"/>
      <c r="P113" s="66"/>
      <c r="Q113" s="66"/>
      <c r="R113" s="45"/>
      <c r="S113" s="45"/>
    </row>
    <row r="114" spans="5:19" x14ac:dyDescent="0.25">
      <c r="E114" s="66"/>
      <c r="F114" s="80"/>
      <c r="G114" s="68"/>
      <c r="H114" s="68"/>
      <c r="I114" s="68"/>
      <c r="J114" s="68"/>
      <c r="K114" s="66"/>
      <c r="L114" s="66"/>
      <c r="M114" s="66"/>
      <c r="N114" s="66"/>
      <c r="O114" s="66"/>
      <c r="P114" s="66"/>
      <c r="Q114" s="66"/>
      <c r="R114" s="45"/>
      <c r="S114" s="45"/>
    </row>
    <row r="115" spans="5:19" x14ac:dyDescent="0.25">
      <c r="E115" s="66"/>
      <c r="F115" s="80"/>
      <c r="G115" s="68"/>
      <c r="H115" s="68"/>
      <c r="I115" s="68"/>
      <c r="J115" s="68"/>
      <c r="K115" s="66"/>
      <c r="L115" s="66"/>
      <c r="M115" s="66"/>
      <c r="N115" s="66"/>
      <c r="O115" s="66"/>
      <c r="P115" s="66"/>
      <c r="Q115" s="66"/>
      <c r="R115" s="45"/>
      <c r="S115" s="45"/>
    </row>
    <row r="116" spans="5:19" x14ac:dyDescent="0.25">
      <c r="E116" s="66"/>
      <c r="F116" s="80"/>
      <c r="G116" s="68"/>
      <c r="H116" s="68"/>
      <c r="I116" s="68"/>
      <c r="J116" s="68"/>
      <c r="K116" s="66"/>
      <c r="L116" s="66"/>
      <c r="M116" s="66"/>
      <c r="N116" s="66"/>
      <c r="O116" s="66"/>
      <c r="P116" s="66"/>
      <c r="Q116" s="66"/>
      <c r="R116" s="45"/>
      <c r="S116" s="45"/>
    </row>
    <row r="117" spans="5:19" x14ac:dyDescent="0.25">
      <c r="E117" s="66"/>
      <c r="F117" s="80"/>
      <c r="G117" s="68"/>
      <c r="H117" s="68"/>
      <c r="I117" s="68"/>
      <c r="J117" s="68"/>
      <c r="K117" s="66"/>
      <c r="L117" s="66"/>
      <c r="M117" s="66"/>
      <c r="N117" s="66"/>
      <c r="O117" s="66"/>
      <c r="P117" s="66"/>
      <c r="Q117" s="66"/>
      <c r="R117" s="45"/>
      <c r="S117" s="45"/>
    </row>
    <row r="118" spans="5:19" x14ac:dyDescent="0.25">
      <c r="E118" s="66"/>
      <c r="F118" s="80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45"/>
      <c r="S118" s="45"/>
    </row>
    <row r="119" spans="5:19" x14ac:dyDescent="0.25">
      <c r="E119" s="66"/>
      <c r="F119" s="80"/>
      <c r="G119" s="68"/>
      <c r="H119" s="68"/>
      <c r="I119" s="68"/>
      <c r="J119" s="68"/>
      <c r="K119" s="66"/>
      <c r="L119" s="66"/>
      <c r="M119" s="66"/>
      <c r="N119" s="66"/>
      <c r="O119" s="66"/>
      <c r="P119" s="66"/>
      <c r="Q119" s="66"/>
      <c r="R119" s="45"/>
      <c r="S119" s="45"/>
    </row>
    <row r="120" spans="5:19" x14ac:dyDescent="0.25">
      <c r="E120" s="66"/>
      <c r="F120" s="80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45"/>
      <c r="S120" s="45"/>
    </row>
    <row r="121" spans="5:19" x14ac:dyDescent="0.25">
      <c r="E121" s="66"/>
      <c r="F121" s="80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45"/>
      <c r="S121" s="45"/>
    </row>
    <row r="122" spans="5:19" x14ac:dyDescent="0.25">
      <c r="E122" s="66"/>
      <c r="F122" s="80"/>
      <c r="G122" s="68"/>
      <c r="H122" s="68"/>
      <c r="I122" s="68"/>
      <c r="J122" s="68"/>
      <c r="K122" s="66"/>
      <c r="L122" s="66"/>
      <c r="M122" s="66"/>
      <c r="N122" s="66"/>
      <c r="O122" s="66"/>
      <c r="P122" s="66"/>
      <c r="Q122" s="66"/>
      <c r="R122" s="45"/>
      <c r="S122" s="45"/>
    </row>
    <row r="123" spans="5:19" x14ac:dyDescent="0.25">
      <c r="E123" s="66"/>
      <c r="F123" s="80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45"/>
      <c r="S123" s="45"/>
    </row>
    <row r="124" spans="5:19" x14ac:dyDescent="0.25">
      <c r="E124" s="66"/>
      <c r="F124" s="80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45"/>
      <c r="S124" s="45"/>
    </row>
    <row r="125" spans="5:19" x14ac:dyDescent="0.25">
      <c r="E125" s="66"/>
      <c r="F125" s="80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45"/>
      <c r="S125" s="45"/>
    </row>
    <row r="126" spans="5:19" x14ac:dyDescent="0.25">
      <c r="E126" s="66"/>
      <c r="F126" s="80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45"/>
      <c r="S126" s="45"/>
    </row>
    <row r="127" spans="5:19" x14ac:dyDescent="0.25">
      <c r="E127" s="66"/>
      <c r="F127" s="80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45"/>
      <c r="S127" s="45"/>
    </row>
    <row r="128" spans="5:19" x14ac:dyDescent="0.25">
      <c r="E128" s="66"/>
      <c r="F128" s="80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45"/>
      <c r="S128" s="45"/>
    </row>
    <row r="129" spans="5:19" x14ac:dyDescent="0.25">
      <c r="E129" s="66"/>
      <c r="F129" s="80"/>
      <c r="G129" s="65"/>
      <c r="H129" s="65"/>
      <c r="I129" s="65"/>
      <c r="J129" s="65"/>
      <c r="K129" s="66"/>
      <c r="L129" s="66"/>
      <c r="M129" s="66"/>
      <c r="N129" s="66"/>
      <c r="O129" s="66"/>
      <c r="P129" s="66"/>
      <c r="Q129" s="66"/>
      <c r="R129" s="45"/>
      <c r="S129" s="45"/>
    </row>
    <row r="130" spans="5:19" x14ac:dyDescent="0.25">
      <c r="E130" s="66"/>
      <c r="F130" s="80"/>
      <c r="G130" s="67"/>
      <c r="H130" s="67"/>
      <c r="I130" s="67"/>
      <c r="J130" s="67"/>
      <c r="K130" s="66"/>
      <c r="L130" s="66"/>
      <c r="M130" s="66"/>
      <c r="N130" s="66"/>
      <c r="O130" s="66"/>
      <c r="P130" s="66"/>
      <c r="Q130" s="66"/>
      <c r="R130" s="45"/>
      <c r="S130" s="45"/>
    </row>
    <row r="131" spans="5:19" x14ac:dyDescent="0.25">
      <c r="E131" s="66"/>
      <c r="F131" s="80"/>
      <c r="G131" s="68"/>
      <c r="H131" s="68"/>
      <c r="I131" s="68"/>
      <c r="J131" s="68"/>
      <c r="K131" s="66"/>
      <c r="L131" s="66"/>
      <c r="M131" s="66"/>
      <c r="N131" s="66"/>
      <c r="O131" s="66"/>
      <c r="P131" s="66"/>
      <c r="Q131" s="66"/>
      <c r="R131" s="45"/>
      <c r="S131" s="45"/>
    </row>
    <row r="132" spans="5:19" x14ac:dyDescent="0.25">
      <c r="E132" s="66"/>
      <c r="F132" s="80"/>
      <c r="G132" s="68"/>
      <c r="H132" s="68"/>
      <c r="I132" s="68"/>
      <c r="J132" s="68"/>
      <c r="K132" s="66"/>
      <c r="L132" s="66"/>
      <c r="M132" s="66"/>
      <c r="N132" s="66"/>
      <c r="O132" s="66"/>
      <c r="P132" s="66"/>
      <c r="Q132" s="66"/>
      <c r="R132" s="45"/>
      <c r="S132" s="45"/>
    </row>
    <row r="133" spans="5:19" x14ac:dyDescent="0.25">
      <c r="E133" s="66"/>
      <c r="F133" s="80"/>
      <c r="G133" s="68"/>
      <c r="H133" s="68"/>
      <c r="I133" s="68"/>
      <c r="J133" s="68"/>
      <c r="K133" s="66"/>
      <c r="L133" s="66"/>
      <c r="M133" s="66"/>
      <c r="N133" s="66"/>
      <c r="O133" s="66"/>
      <c r="P133" s="66"/>
      <c r="Q133" s="66"/>
      <c r="R133" s="45"/>
      <c r="S133" s="45"/>
    </row>
    <row r="134" spans="5:19" x14ac:dyDescent="0.25">
      <c r="E134" s="66"/>
      <c r="F134" s="80"/>
      <c r="G134" s="68"/>
      <c r="H134" s="68"/>
      <c r="I134" s="68"/>
      <c r="J134" s="68"/>
      <c r="K134" s="66"/>
      <c r="L134" s="66"/>
      <c r="M134" s="66"/>
      <c r="N134" s="66"/>
      <c r="O134" s="66"/>
      <c r="P134" s="66"/>
      <c r="Q134" s="66"/>
      <c r="R134" s="45"/>
      <c r="S134" s="45"/>
    </row>
    <row r="135" spans="5:19" x14ac:dyDescent="0.25">
      <c r="E135" s="66"/>
      <c r="F135" s="80"/>
      <c r="G135" s="68"/>
      <c r="H135" s="68"/>
      <c r="I135" s="68"/>
      <c r="J135" s="68"/>
      <c r="K135" s="66"/>
      <c r="L135" s="66"/>
      <c r="M135" s="66"/>
      <c r="N135" s="66"/>
      <c r="O135" s="66"/>
      <c r="P135" s="66"/>
      <c r="Q135" s="66"/>
      <c r="R135" s="45"/>
      <c r="S135" s="45"/>
    </row>
    <row r="136" spans="5:19" x14ac:dyDescent="0.25">
      <c r="E136" s="66"/>
      <c r="F136" s="80"/>
      <c r="G136" s="68"/>
      <c r="H136" s="68"/>
      <c r="I136" s="68"/>
      <c r="J136" s="68"/>
      <c r="K136" s="66"/>
      <c r="L136" s="66"/>
      <c r="M136" s="66"/>
      <c r="N136" s="66"/>
      <c r="O136" s="66"/>
      <c r="P136" s="66"/>
      <c r="Q136" s="66"/>
      <c r="R136" s="45"/>
      <c r="S136" s="45"/>
    </row>
    <row r="137" spans="5:19" x14ac:dyDescent="0.25">
      <c r="E137" s="66"/>
      <c r="F137" s="80"/>
      <c r="G137" s="68"/>
      <c r="H137" s="68"/>
      <c r="I137" s="68"/>
      <c r="J137" s="68"/>
      <c r="K137" s="66"/>
      <c r="L137" s="66"/>
      <c r="M137" s="66"/>
      <c r="N137" s="66"/>
      <c r="O137" s="66"/>
      <c r="P137" s="66"/>
      <c r="Q137" s="66"/>
      <c r="R137" s="45"/>
      <c r="S137" s="45"/>
    </row>
    <row r="138" spans="5:19" x14ac:dyDescent="0.25">
      <c r="E138" s="66"/>
      <c r="F138" s="80"/>
      <c r="G138" s="68"/>
      <c r="H138" s="68"/>
      <c r="I138" s="68"/>
      <c r="J138" s="68"/>
      <c r="K138" s="66"/>
      <c r="L138" s="66"/>
      <c r="M138" s="66"/>
      <c r="N138" s="66"/>
      <c r="O138" s="66"/>
      <c r="P138" s="66"/>
      <c r="Q138" s="66"/>
      <c r="R138" s="45"/>
      <c r="S138" s="45"/>
    </row>
    <row r="139" spans="5:19" x14ac:dyDescent="0.25">
      <c r="E139" s="66"/>
      <c r="F139" s="80"/>
      <c r="G139" s="68"/>
      <c r="H139" s="68"/>
      <c r="I139" s="68"/>
      <c r="J139" s="68"/>
      <c r="K139" s="66"/>
      <c r="L139" s="66"/>
      <c r="M139" s="66"/>
      <c r="N139" s="66"/>
      <c r="O139" s="66"/>
      <c r="P139" s="66"/>
      <c r="Q139" s="66"/>
      <c r="R139" s="45"/>
      <c r="S139" s="45"/>
    </row>
    <row r="140" spans="5:19" x14ac:dyDescent="0.25">
      <c r="E140" s="66"/>
      <c r="F140" s="80"/>
      <c r="G140" s="68"/>
      <c r="H140" s="68"/>
      <c r="I140" s="68"/>
      <c r="J140" s="68"/>
      <c r="K140" s="66"/>
      <c r="L140" s="66"/>
      <c r="M140" s="66"/>
      <c r="N140" s="66"/>
      <c r="O140" s="66"/>
      <c r="P140" s="66"/>
      <c r="Q140" s="66"/>
      <c r="R140" s="45"/>
      <c r="S140" s="45"/>
    </row>
    <row r="141" spans="5:19" x14ac:dyDescent="0.25">
      <c r="E141" s="66"/>
      <c r="F141" s="80"/>
      <c r="G141" s="68"/>
      <c r="H141" s="68"/>
      <c r="I141" s="68"/>
      <c r="J141" s="68"/>
      <c r="K141" s="66"/>
      <c r="L141" s="66"/>
      <c r="M141" s="66"/>
      <c r="N141" s="66"/>
      <c r="O141" s="66"/>
      <c r="P141" s="66"/>
      <c r="Q141" s="66"/>
      <c r="R141" s="45"/>
      <c r="S141" s="45"/>
    </row>
    <row r="142" spans="5:19" x14ac:dyDescent="0.25">
      <c r="E142" s="66"/>
      <c r="F142" s="80"/>
      <c r="G142" s="68"/>
      <c r="H142" s="68"/>
      <c r="I142" s="68"/>
      <c r="J142" s="68"/>
      <c r="K142" s="66"/>
      <c r="L142" s="66"/>
      <c r="M142" s="66"/>
      <c r="N142" s="66"/>
      <c r="O142" s="66"/>
      <c r="P142" s="66"/>
      <c r="Q142" s="66"/>
      <c r="R142" s="45"/>
      <c r="S142" s="45"/>
    </row>
    <row r="143" spans="5:19" x14ac:dyDescent="0.25">
      <c r="E143" s="66"/>
      <c r="F143" s="80"/>
      <c r="G143" s="68"/>
      <c r="H143" s="68"/>
      <c r="I143" s="68"/>
      <c r="J143" s="68"/>
      <c r="K143" s="66"/>
      <c r="L143" s="66"/>
      <c r="M143" s="66"/>
      <c r="N143" s="66"/>
      <c r="O143" s="66"/>
      <c r="P143" s="66"/>
      <c r="Q143" s="66"/>
      <c r="R143" s="45"/>
      <c r="S143" s="45"/>
    </row>
    <row r="144" spans="5:19" x14ac:dyDescent="0.25">
      <c r="E144" s="66"/>
      <c r="F144" s="80"/>
      <c r="G144" s="68"/>
      <c r="H144" s="68"/>
      <c r="I144" s="68"/>
      <c r="J144" s="68"/>
      <c r="K144" s="66"/>
      <c r="L144" s="66"/>
      <c r="M144" s="66"/>
      <c r="N144" s="66"/>
      <c r="O144" s="66"/>
      <c r="P144" s="66"/>
      <c r="Q144" s="66"/>
      <c r="R144" s="45"/>
      <c r="S144" s="45"/>
    </row>
    <row r="145" spans="5:19" x14ac:dyDescent="0.25">
      <c r="E145" s="66"/>
      <c r="F145" s="80"/>
      <c r="G145" s="68"/>
      <c r="H145" s="68"/>
      <c r="I145" s="68"/>
      <c r="J145" s="68"/>
      <c r="K145" s="66"/>
      <c r="L145" s="66"/>
      <c r="M145" s="66"/>
      <c r="N145" s="66"/>
      <c r="O145" s="66"/>
      <c r="P145" s="66"/>
      <c r="Q145" s="66"/>
      <c r="R145" s="45"/>
      <c r="S145" s="45"/>
    </row>
    <row r="146" spans="5:19" x14ac:dyDescent="0.25">
      <c r="E146" s="66"/>
      <c r="F146" s="80"/>
      <c r="G146" s="68"/>
      <c r="H146" s="68"/>
      <c r="I146" s="68"/>
      <c r="J146" s="68"/>
      <c r="K146" s="66"/>
      <c r="L146" s="66"/>
      <c r="M146" s="66"/>
      <c r="N146" s="66"/>
      <c r="O146" s="66"/>
      <c r="P146" s="66"/>
      <c r="Q146" s="66"/>
      <c r="R146" s="45"/>
      <c r="S146" s="45"/>
    </row>
    <row r="147" spans="5:19" x14ac:dyDescent="0.25">
      <c r="E147" s="66"/>
      <c r="F147" s="80"/>
      <c r="G147" s="68"/>
      <c r="H147" s="68"/>
      <c r="I147" s="68"/>
      <c r="J147" s="68"/>
      <c r="K147" s="66"/>
      <c r="L147" s="66"/>
      <c r="M147" s="66"/>
      <c r="N147" s="66"/>
      <c r="O147" s="66"/>
      <c r="P147" s="66"/>
      <c r="Q147" s="66"/>
      <c r="R147" s="45"/>
      <c r="S147" s="45"/>
    </row>
    <row r="148" spans="5:19" x14ac:dyDescent="0.25">
      <c r="E148" s="66"/>
      <c r="F148" s="80"/>
      <c r="G148" s="68"/>
      <c r="H148" s="68"/>
      <c r="I148" s="68"/>
      <c r="J148" s="68"/>
      <c r="K148" s="66"/>
      <c r="L148" s="66"/>
      <c r="M148" s="66"/>
      <c r="N148" s="66"/>
      <c r="O148" s="66"/>
      <c r="P148" s="66"/>
      <c r="Q148" s="66"/>
      <c r="R148" s="45"/>
      <c r="S148" s="45"/>
    </row>
    <row r="149" spans="5:19" x14ac:dyDescent="0.25">
      <c r="E149" s="66"/>
      <c r="F149" s="80"/>
      <c r="G149" s="68"/>
      <c r="H149" s="68"/>
      <c r="I149" s="68"/>
      <c r="J149" s="68"/>
      <c r="K149" s="66"/>
      <c r="L149" s="66"/>
      <c r="M149" s="66"/>
      <c r="N149" s="66"/>
      <c r="O149" s="66"/>
      <c r="P149" s="66"/>
      <c r="Q149" s="66"/>
      <c r="R149" s="45"/>
      <c r="S149" s="45"/>
    </row>
    <row r="150" spans="5:19" x14ac:dyDescent="0.25">
      <c r="E150" s="66"/>
      <c r="F150" s="80"/>
      <c r="G150" s="68"/>
      <c r="H150" s="68"/>
      <c r="I150" s="68"/>
      <c r="J150" s="68"/>
      <c r="K150" s="66"/>
      <c r="L150" s="66"/>
      <c r="M150" s="66"/>
      <c r="N150" s="66"/>
      <c r="O150" s="66"/>
      <c r="P150" s="66"/>
      <c r="Q150" s="66"/>
      <c r="R150" s="45"/>
      <c r="S150" s="45"/>
    </row>
    <row r="151" spans="5:19" x14ac:dyDescent="0.25">
      <c r="E151" s="66"/>
      <c r="F151" s="80"/>
      <c r="G151" s="68"/>
      <c r="H151" s="68"/>
      <c r="I151" s="68"/>
      <c r="J151" s="68"/>
      <c r="K151" s="66"/>
      <c r="L151" s="66"/>
      <c r="M151" s="66"/>
      <c r="N151" s="66"/>
      <c r="O151" s="66"/>
      <c r="P151" s="66"/>
      <c r="Q151" s="66"/>
      <c r="R151" s="45"/>
      <c r="S151" s="45"/>
    </row>
    <row r="152" spans="5:19" x14ac:dyDescent="0.25">
      <c r="E152" s="66"/>
      <c r="F152" s="80"/>
      <c r="G152" s="68"/>
      <c r="H152" s="68"/>
      <c r="I152" s="68"/>
      <c r="J152" s="68"/>
      <c r="K152" s="66"/>
      <c r="L152" s="66"/>
      <c r="M152" s="66"/>
      <c r="N152" s="66"/>
      <c r="O152" s="66"/>
      <c r="P152" s="66"/>
      <c r="Q152" s="66"/>
      <c r="R152" s="45"/>
      <c r="S152" s="45"/>
    </row>
    <row r="153" spans="5:19" x14ac:dyDescent="0.25">
      <c r="E153" s="66"/>
      <c r="F153" s="80"/>
      <c r="G153" s="68"/>
      <c r="H153" s="68"/>
      <c r="I153" s="68"/>
      <c r="J153" s="68"/>
      <c r="K153" s="66"/>
      <c r="L153" s="66"/>
      <c r="M153" s="66"/>
      <c r="N153" s="66"/>
      <c r="O153" s="66"/>
      <c r="P153" s="66"/>
      <c r="Q153" s="66"/>
      <c r="R153" s="45"/>
      <c r="S153" s="45"/>
    </row>
    <row r="154" spans="5:19" x14ac:dyDescent="0.25">
      <c r="E154" s="66"/>
      <c r="F154" s="80"/>
      <c r="G154" s="68"/>
      <c r="H154" s="68"/>
      <c r="I154" s="68"/>
      <c r="J154" s="68"/>
      <c r="K154" s="66"/>
      <c r="L154" s="66"/>
      <c r="M154" s="66"/>
      <c r="N154" s="66"/>
      <c r="O154" s="66"/>
      <c r="P154" s="66"/>
      <c r="Q154" s="66"/>
      <c r="R154" s="45"/>
      <c r="S154" s="45"/>
    </row>
    <row r="155" spans="5:19" x14ac:dyDescent="0.25">
      <c r="E155" s="66"/>
      <c r="F155" s="80"/>
      <c r="G155" s="68"/>
      <c r="H155" s="68"/>
      <c r="I155" s="68"/>
      <c r="J155" s="68"/>
      <c r="K155" s="66"/>
      <c r="L155" s="66"/>
      <c r="M155" s="66"/>
      <c r="N155" s="66"/>
      <c r="O155" s="66"/>
      <c r="P155" s="66"/>
      <c r="Q155" s="66"/>
      <c r="R155" s="45"/>
      <c r="S155" s="45"/>
    </row>
    <row r="156" spans="5:19" x14ac:dyDescent="0.25">
      <c r="E156" s="66"/>
      <c r="F156" s="80"/>
      <c r="G156" s="68"/>
      <c r="H156" s="68"/>
      <c r="I156" s="68"/>
      <c r="J156" s="68"/>
      <c r="K156" s="66"/>
      <c r="L156" s="66"/>
      <c r="M156" s="66"/>
      <c r="N156" s="66"/>
      <c r="O156" s="66"/>
      <c r="P156" s="66"/>
      <c r="Q156" s="66"/>
      <c r="R156" s="45"/>
      <c r="S156" s="45"/>
    </row>
    <row r="157" spans="5:19" x14ac:dyDescent="0.25">
      <c r="E157" s="66"/>
      <c r="F157" s="80"/>
      <c r="G157" s="68"/>
      <c r="H157" s="68"/>
      <c r="I157" s="68"/>
      <c r="J157" s="68"/>
      <c r="K157" s="66"/>
      <c r="L157" s="66"/>
      <c r="M157" s="66"/>
      <c r="N157" s="66"/>
      <c r="O157" s="66"/>
      <c r="P157" s="66"/>
      <c r="Q157" s="66"/>
      <c r="R157" s="45"/>
      <c r="S157" s="45"/>
    </row>
    <row r="158" spans="5:19" x14ac:dyDescent="0.25">
      <c r="E158" s="66"/>
      <c r="F158" s="80"/>
      <c r="G158" s="68"/>
      <c r="H158" s="68"/>
      <c r="I158" s="68"/>
      <c r="J158" s="68"/>
      <c r="K158" s="66"/>
      <c r="L158" s="66"/>
      <c r="M158" s="66"/>
      <c r="N158" s="66"/>
      <c r="O158" s="66"/>
      <c r="P158" s="66"/>
      <c r="Q158" s="66"/>
      <c r="R158" s="45"/>
      <c r="S158" s="45"/>
    </row>
    <row r="159" spans="5:19" x14ac:dyDescent="0.25">
      <c r="E159" s="66"/>
      <c r="F159" s="80"/>
      <c r="G159" s="68"/>
      <c r="H159" s="68"/>
      <c r="I159" s="68"/>
      <c r="J159" s="68"/>
      <c r="K159" s="66"/>
      <c r="L159" s="66"/>
      <c r="M159" s="66"/>
      <c r="N159" s="66"/>
      <c r="O159" s="66"/>
      <c r="P159" s="66"/>
      <c r="Q159" s="66"/>
      <c r="R159" s="45"/>
      <c r="S159" s="45"/>
    </row>
    <row r="160" spans="5:19" x14ac:dyDescent="0.25">
      <c r="E160" s="66"/>
      <c r="F160" s="80"/>
      <c r="G160" s="68"/>
      <c r="H160" s="68"/>
      <c r="I160" s="68"/>
      <c r="J160" s="68"/>
      <c r="K160" s="66"/>
      <c r="L160" s="66"/>
      <c r="M160" s="66"/>
      <c r="N160" s="66"/>
      <c r="O160" s="66"/>
      <c r="P160" s="66"/>
      <c r="Q160" s="66"/>
      <c r="R160" s="45"/>
      <c r="S160" s="45"/>
    </row>
    <row r="161" spans="5:19" x14ac:dyDescent="0.25">
      <c r="E161" s="66"/>
      <c r="F161" s="80"/>
      <c r="G161" s="68"/>
      <c r="H161" s="68"/>
      <c r="I161" s="68"/>
      <c r="J161" s="68"/>
      <c r="K161" s="66"/>
      <c r="L161" s="66"/>
      <c r="M161" s="66"/>
      <c r="N161" s="66"/>
      <c r="O161" s="66"/>
      <c r="P161" s="66"/>
      <c r="Q161" s="66"/>
      <c r="R161" s="45"/>
      <c r="S161" s="45"/>
    </row>
    <row r="162" spans="5:19" x14ac:dyDescent="0.25">
      <c r="E162" s="66"/>
      <c r="F162" s="80"/>
      <c r="G162" s="68"/>
      <c r="H162" s="68"/>
      <c r="I162" s="68"/>
      <c r="J162" s="68"/>
      <c r="K162" s="66"/>
      <c r="L162" s="66"/>
      <c r="M162" s="66"/>
      <c r="N162" s="66"/>
      <c r="O162" s="66"/>
      <c r="P162" s="66"/>
      <c r="Q162" s="66"/>
      <c r="R162" s="45"/>
      <c r="S162" s="45"/>
    </row>
    <row r="163" spans="5:19" x14ac:dyDescent="0.25">
      <c r="E163" s="66"/>
      <c r="F163" s="80"/>
      <c r="G163" s="68"/>
      <c r="H163" s="68"/>
      <c r="I163" s="68"/>
      <c r="J163" s="68"/>
      <c r="K163" s="66"/>
      <c r="L163" s="66"/>
      <c r="M163" s="66"/>
      <c r="N163" s="66"/>
      <c r="O163" s="66"/>
      <c r="P163" s="66"/>
      <c r="Q163" s="66"/>
      <c r="R163" s="45"/>
      <c r="S163" s="45"/>
    </row>
    <row r="164" spans="5:19" x14ac:dyDescent="0.25">
      <c r="E164" s="66"/>
      <c r="F164" s="80"/>
      <c r="G164" s="68"/>
      <c r="H164" s="68"/>
      <c r="I164" s="68"/>
      <c r="J164" s="68"/>
      <c r="K164" s="66"/>
      <c r="L164" s="66"/>
      <c r="M164" s="66"/>
      <c r="N164" s="66"/>
      <c r="O164" s="66"/>
      <c r="P164" s="66"/>
      <c r="Q164" s="66"/>
      <c r="R164" s="45"/>
      <c r="S164" s="45"/>
    </row>
    <row r="165" spans="5:19" x14ac:dyDescent="0.25">
      <c r="E165" s="66"/>
      <c r="F165" s="80"/>
      <c r="G165" s="68"/>
      <c r="H165" s="68"/>
      <c r="I165" s="68"/>
      <c r="J165" s="68"/>
      <c r="K165" s="66"/>
      <c r="L165" s="66"/>
      <c r="M165" s="66"/>
      <c r="N165" s="66"/>
      <c r="O165" s="66"/>
      <c r="P165" s="66"/>
      <c r="Q165" s="66"/>
    </row>
    <row r="166" spans="5:19" x14ac:dyDescent="0.25">
      <c r="E166" s="66"/>
      <c r="F166" s="80"/>
      <c r="G166" s="68"/>
      <c r="H166" s="68"/>
      <c r="I166" s="68"/>
      <c r="J166" s="68"/>
      <c r="K166" s="66"/>
      <c r="L166" s="66"/>
      <c r="M166" s="66"/>
      <c r="N166" s="66"/>
      <c r="O166" s="66"/>
      <c r="P166" s="66"/>
      <c r="Q166" s="66"/>
    </row>
    <row r="167" spans="5:19" x14ac:dyDescent="0.25">
      <c r="E167" s="66"/>
      <c r="F167" s="80"/>
      <c r="G167" s="68"/>
      <c r="H167" s="68"/>
      <c r="I167" s="68"/>
      <c r="J167" s="68"/>
      <c r="K167" s="66"/>
      <c r="L167" s="66"/>
      <c r="M167" s="66"/>
      <c r="N167" s="66"/>
      <c r="O167" s="66"/>
      <c r="P167" s="66"/>
      <c r="Q167" s="66"/>
    </row>
    <row r="168" spans="5:19" x14ac:dyDescent="0.25">
      <c r="E168" s="66"/>
      <c r="F168" s="80"/>
      <c r="G168" s="68"/>
      <c r="H168" s="68"/>
      <c r="I168" s="68"/>
      <c r="J168" s="68"/>
      <c r="K168" s="66"/>
      <c r="L168" s="66"/>
      <c r="M168" s="66"/>
      <c r="N168" s="66"/>
      <c r="O168" s="66"/>
      <c r="P168" s="66"/>
      <c r="Q168" s="66"/>
    </row>
    <row r="169" spans="5:19" x14ac:dyDescent="0.25">
      <c r="E169" s="66"/>
      <c r="F169" s="80"/>
      <c r="G169" s="68"/>
      <c r="H169" s="68"/>
      <c r="I169" s="68"/>
      <c r="J169" s="68"/>
      <c r="K169" s="66"/>
      <c r="L169" s="66"/>
      <c r="M169" s="66"/>
      <c r="N169" s="66"/>
      <c r="O169" s="66"/>
      <c r="P169" s="66"/>
      <c r="Q169" s="66"/>
    </row>
    <row r="170" spans="5:19" x14ac:dyDescent="0.25">
      <c r="E170" s="66"/>
      <c r="F170" s="80"/>
      <c r="G170" s="68"/>
      <c r="H170" s="68"/>
      <c r="I170" s="68"/>
      <c r="J170" s="68"/>
      <c r="K170" s="66"/>
      <c r="L170" s="66"/>
      <c r="M170" s="66"/>
      <c r="N170" s="66"/>
      <c r="O170" s="66"/>
      <c r="P170" s="66"/>
      <c r="Q170" s="66"/>
    </row>
    <row r="171" spans="5:19" x14ac:dyDescent="0.25">
      <c r="E171" s="66"/>
      <c r="F171" s="80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5:19" x14ac:dyDescent="0.25">
      <c r="E172" s="66"/>
      <c r="F172" s="80"/>
      <c r="G172" s="68"/>
      <c r="H172" s="68"/>
      <c r="I172" s="68"/>
      <c r="J172" s="68"/>
      <c r="K172" s="66"/>
      <c r="L172" s="66"/>
      <c r="M172" s="66"/>
      <c r="N172" s="66"/>
      <c r="O172" s="66"/>
      <c r="P172" s="66"/>
      <c r="Q172" s="66"/>
    </row>
  </sheetData>
  <mergeCells count="1">
    <mergeCell ref="D3:E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2:AA79"/>
  <sheetViews>
    <sheetView tabSelected="1" zoomScale="80" zoomScaleNormal="80" workbookViewId="0">
      <pane xSplit="3" topLeftCell="D1" activePane="topRight" state="frozen"/>
      <selection pane="topRight" activeCell="V76" sqref="B1:V76"/>
    </sheetView>
  </sheetViews>
  <sheetFormatPr defaultRowHeight="15" x14ac:dyDescent="0.25"/>
  <cols>
    <col min="1" max="2" width="31.42578125" bestFit="1" customWidth="1"/>
    <col min="3" max="3" width="26.7109375" bestFit="1" customWidth="1"/>
    <col min="5" max="5" width="18.28515625" customWidth="1"/>
    <col min="6" max="6" width="10.7109375" bestFit="1" customWidth="1"/>
    <col min="11" max="11" width="12.7109375" hidden="1" customWidth="1"/>
    <col min="12" max="12" width="9.140625" hidden="1" customWidth="1"/>
    <col min="13" max="13" width="20" hidden="1" customWidth="1"/>
    <col min="14" max="15" width="12.42578125" hidden="1" customWidth="1"/>
    <col min="16" max="18" width="0" hidden="1" customWidth="1"/>
    <col min="19" max="19" width="14" hidden="1" customWidth="1"/>
    <col min="20" max="21" width="17.5703125" hidden="1" customWidth="1"/>
    <col min="25" max="25" width="14" customWidth="1"/>
    <col min="26" max="27" width="17.5703125" customWidth="1"/>
  </cols>
  <sheetData>
    <row r="2" spans="1:27" x14ac:dyDescent="0.25">
      <c r="C2" s="1"/>
      <c r="E2" s="2"/>
      <c r="L2" s="2"/>
      <c r="Q2" s="2"/>
      <c r="W2" s="2" t="s">
        <v>100</v>
      </c>
    </row>
    <row r="3" spans="1:27" x14ac:dyDescent="0.25">
      <c r="K3" s="3"/>
      <c r="L3" s="4"/>
      <c r="M3" s="5"/>
      <c r="N3" s="4"/>
      <c r="O3" s="6"/>
      <c r="Q3" s="3"/>
      <c r="R3" s="4"/>
      <c r="S3" s="5"/>
      <c r="T3" s="4"/>
      <c r="U3" s="6"/>
      <c r="W3" s="3" t="s">
        <v>7</v>
      </c>
      <c r="X3" s="4"/>
      <c r="Y3" s="5"/>
      <c r="Z3" s="4"/>
      <c r="AA3" s="6"/>
    </row>
    <row r="4" spans="1:27" x14ac:dyDescent="0.25">
      <c r="K4" s="7"/>
      <c r="L4" s="8"/>
      <c r="M4" s="9"/>
      <c r="N4" s="8"/>
      <c r="O4" s="6"/>
      <c r="Q4" s="7"/>
      <c r="R4" s="8"/>
      <c r="S4" s="9"/>
      <c r="T4" s="8"/>
      <c r="U4" s="6"/>
      <c r="W4" s="7" t="s">
        <v>8</v>
      </c>
      <c r="X4" s="8"/>
      <c r="Y4" s="9"/>
      <c r="Z4" s="8"/>
      <c r="AA4" s="6"/>
    </row>
    <row r="5" spans="1:27" x14ac:dyDescent="0.25">
      <c r="F5" s="12"/>
      <c r="G5" s="12"/>
      <c r="H5" s="12"/>
      <c r="I5" s="12"/>
      <c r="K5" s="10"/>
      <c r="L5" s="11"/>
      <c r="M5" s="13"/>
      <c r="N5" s="10"/>
      <c r="O5" s="14"/>
      <c r="Q5" s="10"/>
      <c r="R5" s="11"/>
      <c r="S5" s="15"/>
      <c r="T5" s="10"/>
      <c r="U5" s="14"/>
      <c r="W5" s="10"/>
      <c r="X5" s="11"/>
      <c r="Y5" s="15"/>
      <c r="Z5" s="10"/>
      <c r="AA5" s="14"/>
    </row>
    <row r="6" spans="1:27" ht="14.45" customHeight="1" x14ac:dyDescent="0.25">
      <c r="F6" s="12"/>
      <c r="G6" s="12"/>
      <c r="H6" s="12"/>
      <c r="I6" s="12"/>
      <c r="K6" s="16"/>
      <c r="L6" s="17"/>
      <c r="M6" s="18"/>
      <c r="N6" s="16"/>
      <c r="O6" s="14"/>
      <c r="Q6" s="16"/>
      <c r="R6" s="17"/>
      <c r="S6" s="18"/>
      <c r="T6" s="16"/>
      <c r="U6" s="14"/>
      <c r="W6" s="16"/>
      <c r="X6" s="17" t="s">
        <v>9</v>
      </c>
      <c r="Y6" s="18" t="s">
        <v>11</v>
      </c>
      <c r="Z6" s="16" t="s">
        <v>10</v>
      </c>
      <c r="AA6" s="14"/>
    </row>
    <row r="7" spans="1:27" x14ac:dyDescent="0.25">
      <c r="K7" s="19"/>
      <c r="L7" s="19"/>
      <c r="M7" s="20"/>
      <c r="N7" s="19"/>
      <c r="O7" s="21"/>
      <c r="Q7" s="19"/>
      <c r="R7" s="19"/>
      <c r="S7" s="20"/>
      <c r="T7" s="19"/>
      <c r="U7" s="21"/>
      <c r="W7" s="19" t="s">
        <v>12</v>
      </c>
      <c r="X7" s="19" t="s">
        <v>10</v>
      </c>
      <c r="Y7" s="20" t="s">
        <v>14</v>
      </c>
      <c r="Z7" s="19" t="s">
        <v>13</v>
      </c>
      <c r="AA7" s="21"/>
    </row>
    <row r="8" spans="1:27" ht="39" x14ac:dyDescent="0.25">
      <c r="A8" t="s">
        <v>15</v>
      </c>
      <c r="B8" t="s">
        <v>16</v>
      </c>
      <c r="C8" s="22" t="s">
        <v>17</v>
      </c>
      <c r="K8" s="23"/>
      <c r="L8" s="23"/>
      <c r="M8" s="24"/>
      <c r="N8" s="23"/>
      <c r="O8" s="23"/>
      <c r="Q8" s="23"/>
      <c r="R8" s="23"/>
      <c r="S8" s="24"/>
      <c r="T8" s="23"/>
      <c r="U8" s="23"/>
      <c r="W8" s="23" t="s">
        <v>18</v>
      </c>
      <c r="X8" s="23" t="s">
        <v>11</v>
      </c>
      <c r="Y8" s="24" t="s">
        <v>19</v>
      </c>
      <c r="Z8" s="23" t="s">
        <v>20</v>
      </c>
      <c r="AA8" s="23" t="s">
        <v>21</v>
      </c>
    </row>
    <row r="9" spans="1:27" x14ac:dyDescent="0.25">
      <c r="A9" s="25" t="s">
        <v>22</v>
      </c>
      <c r="B9" s="26" t="s">
        <v>22</v>
      </c>
      <c r="C9" s="22" t="str">
        <f>'[1]Emission Factors'!A11</f>
        <v>Aluminum Cans</v>
      </c>
      <c r="K9" s="27"/>
      <c r="L9" s="28"/>
      <c r="M9" s="27"/>
      <c r="N9" s="27"/>
      <c r="O9" s="29"/>
      <c r="P9" s="30"/>
      <c r="Q9" s="27"/>
      <c r="R9" s="28"/>
      <c r="S9" s="27"/>
      <c r="T9" s="28"/>
      <c r="U9" s="31"/>
      <c r="W9" s="40">
        <v>2.0254519141196047E-2</v>
      </c>
      <c r="X9" s="28">
        <v>0</v>
      </c>
      <c r="Y9" s="27">
        <f t="shared" ref="Y9:Y40" si="0">X9*(1-$F$21)</f>
        <v>0</v>
      </c>
      <c r="Z9" s="28">
        <v>0</v>
      </c>
      <c r="AA9" s="31">
        <f>SUM(W9,Y9,Z9)</f>
        <v>2.0254519141196047E-2</v>
      </c>
    </row>
    <row r="10" spans="1:27" x14ac:dyDescent="0.25">
      <c r="A10" s="32" t="s">
        <v>23</v>
      </c>
      <c r="B10" s="26" t="s">
        <v>23</v>
      </c>
      <c r="C10" s="22" t="str">
        <f>'[1]Emission Factors'!A12</f>
        <v>Steel Cans</v>
      </c>
      <c r="I10" s="34"/>
      <c r="K10" s="33"/>
      <c r="L10" s="28"/>
      <c r="M10" s="27"/>
      <c r="N10" s="27"/>
      <c r="O10" s="29"/>
      <c r="Q10" s="33"/>
      <c r="R10" s="28"/>
      <c r="S10" s="27"/>
      <c r="T10" s="35"/>
      <c r="U10" s="31"/>
      <c r="W10" s="40">
        <v>2.0254519141196047E-2</v>
      </c>
      <c r="X10" s="28">
        <v>0</v>
      </c>
      <c r="Y10" s="27">
        <f t="shared" si="0"/>
        <v>0</v>
      </c>
      <c r="Z10" s="35">
        <v>0</v>
      </c>
      <c r="AA10" s="31">
        <f t="shared" ref="AA10:AA62" si="1">SUM(W10,Y10,Z10)</f>
        <v>2.0254519141196047E-2</v>
      </c>
    </row>
    <row r="11" spans="1:27" x14ac:dyDescent="0.25">
      <c r="A11" s="32" t="s">
        <v>24</v>
      </c>
      <c r="B11" s="26" t="s">
        <v>24</v>
      </c>
      <c r="C11" s="22" t="str">
        <f>'[1]Emission Factors'!A13</f>
        <v>Copper Wire</v>
      </c>
      <c r="K11" s="33"/>
      <c r="L11" s="28"/>
      <c r="M11" s="27"/>
      <c r="N11" s="27"/>
      <c r="O11" s="29"/>
      <c r="Q11" s="33"/>
      <c r="R11" s="28"/>
      <c r="S11" s="27"/>
      <c r="T11" s="35"/>
      <c r="U11" s="31"/>
      <c r="W11" s="40">
        <v>2.0254519141196047E-2</v>
      </c>
      <c r="X11" s="28">
        <v>0</v>
      </c>
      <c r="Y11" s="27">
        <f t="shared" si="0"/>
        <v>0</v>
      </c>
      <c r="Z11" s="35">
        <v>0</v>
      </c>
      <c r="AA11" s="31">
        <f t="shared" si="1"/>
        <v>2.0254519141196047E-2</v>
      </c>
    </row>
    <row r="12" spans="1:27" x14ac:dyDescent="0.25">
      <c r="A12" s="32" t="s">
        <v>0</v>
      </c>
      <c r="B12" s="26" t="s">
        <v>0</v>
      </c>
      <c r="C12" s="22" t="str">
        <f>'[1]Emission Factors'!A14</f>
        <v>Glass</v>
      </c>
      <c r="K12" s="33"/>
      <c r="L12" s="28"/>
      <c r="M12" s="27"/>
      <c r="N12" s="27"/>
      <c r="O12" s="29"/>
      <c r="Q12" s="33"/>
      <c r="R12" s="28"/>
      <c r="S12" s="27"/>
      <c r="T12" s="35"/>
      <c r="U12" s="31"/>
      <c r="W12" s="40">
        <v>2.0254519141196047E-2</v>
      </c>
      <c r="X12" s="28">
        <v>0</v>
      </c>
      <c r="Y12" s="27">
        <f t="shared" si="0"/>
        <v>0</v>
      </c>
      <c r="Z12" s="35">
        <v>0</v>
      </c>
      <c r="AA12" s="31">
        <f t="shared" si="1"/>
        <v>2.0254519141196047E-2</v>
      </c>
    </row>
    <row r="13" spans="1:27" x14ac:dyDescent="0.25">
      <c r="A13" s="32" t="s">
        <v>25</v>
      </c>
      <c r="B13" s="26" t="s">
        <v>25</v>
      </c>
      <c r="C13" s="22" t="str">
        <f>'[1]Emission Factors'!A15</f>
        <v>HDPE</v>
      </c>
      <c r="I13" s="36"/>
      <c r="K13" s="33"/>
      <c r="L13" s="28"/>
      <c r="M13" s="27"/>
      <c r="N13" s="27"/>
      <c r="O13" s="29"/>
      <c r="Q13" s="33"/>
      <c r="R13" s="28"/>
      <c r="S13" s="27"/>
      <c r="T13" s="35"/>
      <c r="U13" s="31"/>
      <c r="W13" s="40">
        <v>2.0254519141196047E-2</v>
      </c>
      <c r="X13" s="28">
        <v>0</v>
      </c>
      <c r="Y13" s="27">
        <f t="shared" si="0"/>
        <v>0</v>
      </c>
      <c r="Z13" s="35">
        <v>0</v>
      </c>
      <c r="AA13" s="31">
        <f t="shared" si="1"/>
        <v>2.0254519141196047E-2</v>
      </c>
    </row>
    <row r="14" spans="1:27" x14ac:dyDescent="0.25">
      <c r="A14" s="32" t="s">
        <v>26</v>
      </c>
      <c r="B14" s="26" t="s">
        <v>26</v>
      </c>
      <c r="C14" s="22" t="str">
        <f>'[1]Emission Factors'!A16</f>
        <v>LDPE</v>
      </c>
      <c r="K14" s="33"/>
      <c r="L14" s="28"/>
      <c r="M14" s="27"/>
      <c r="N14" s="27"/>
      <c r="O14" s="29"/>
      <c r="Q14" s="33"/>
      <c r="R14" s="28"/>
      <c r="S14" s="27"/>
      <c r="T14" s="35"/>
      <c r="U14" s="31"/>
      <c r="W14" s="40">
        <v>2.0254519141196047E-2</v>
      </c>
      <c r="X14" s="28">
        <v>0</v>
      </c>
      <c r="Y14" s="27">
        <f t="shared" si="0"/>
        <v>0</v>
      </c>
      <c r="Z14" s="35">
        <v>0</v>
      </c>
      <c r="AA14" s="31">
        <f t="shared" si="1"/>
        <v>2.0254519141196047E-2</v>
      </c>
    </row>
    <row r="15" spans="1:27" x14ac:dyDescent="0.25">
      <c r="A15" s="32" t="s">
        <v>27</v>
      </c>
      <c r="B15" s="26" t="s">
        <v>27</v>
      </c>
      <c r="C15" s="22" t="str">
        <f>'[1]Emission Factors'!A17</f>
        <v>PET</v>
      </c>
      <c r="K15" s="33"/>
      <c r="L15" s="28"/>
      <c r="M15" s="27"/>
      <c r="N15" s="27"/>
      <c r="O15" s="29"/>
      <c r="Q15" s="33"/>
      <c r="R15" s="28"/>
      <c r="S15" s="27"/>
      <c r="T15" s="35"/>
      <c r="U15" s="31"/>
      <c r="W15" s="40">
        <v>2.0254519141196047E-2</v>
      </c>
      <c r="X15" s="28">
        <v>0</v>
      </c>
      <c r="Y15" s="27">
        <f t="shared" si="0"/>
        <v>0</v>
      </c>
      <c r="Z15" s="35">
        <v>0</v>
      </c>
      <c r="AA15" s="31">
        <f t="shared" si="1"/>
        <v>2.0254519141196047E-2</v>
      </c>
    </row>
    <row r="16" spans="1:27" x14ac:dyDescent="0.25">
      <c r="A16" s="32" t="s">
        <v>28</v>
      </c>
      <c r="B16" s="26" t="s">
        <v>29</v>
      </c>
      <c r="C16" s="22" t="str">
        <f>'[1]Emission Factors'!A18</f>
        <v>Corrugated Cardboard</v>
      </c>
      <c r="E16" s="2"/>
      <c r="K16" s="33"/>
      <c r="L16" s="28"/>
      <c r="M16" s="27"/>
      <c r="N16" s="27"/>
      <c r="O16" s="29"/>
      <c r="Q16" s="33"/>
      <c r="R16" s="28"/>
      <c r="S16" s="27"/>
      <c r="T16" s="35"/>
      <c r="U16" s="31"/>
      <c r="W16" s="40">
        <v>2.0254519141196047E-2</v>
      </c>
      <c r="X16" s="28">
        <v>2.3609434259317501</v>
      </c>
      <c r="Y16" s="27">
        <f t="shared" si="0"/>
        <v>0.59023585648293753</v>
      </c>
      <c r="Z16" s="35">
        <v>-0.71772644292928323</v>
      </c>
      <c r="AA16" s="31">
        <f t="shared" si="1"/>
        <v>-0.10723606730514967</v>
      </c>
    </row>
    <row r="17" spans="1:27" x14ac:dyDescent="0.25">
      <c r="A17" s="32" t="s">
        <v>30</v>
      </c>
      <c r="B17" s="26" t="s">
        <v>30</v>
      </c>
      <c r="C17" s="22" t="str">
        <f>'[1]Emission Factors'!A19</f>
        <v>Magazines/third-class mail</v>
      </c>
      <c r="K17" s="33"/>
      <c r="L17" s="28"/>
      <c r="M17" s="27"/>
      <c r="N17" s="27"/>
      <c r="O17" s="29"/>
      <c r="Q17" s="33"/>
      <c r="R17" s="28"/>
      <c r="S17" s="27"/>
      <c r="T17" s="35"/>
      <c r="U17" s="31"/>
      <c r="W17" s="40">
        <v>2.0254519141196047E-2</v>
      </c>
      <c r="X17" s="28">
        <v>1.07516133442025</v>
      </c>
      <c r="Y17" s="27">
        <f t="shared" si="0"/>
        <v>0.26879033360506249</v>
      </c>
      <c r="Z17" s="35">
        <v>-0.84689181420362059</v>
      </c>
      <c r="AA17" s="31">
        <f t="shared" si="1"/>
        <v>-0.55784696145736201</v>
      </c>
    </row>
    <row r="18" spans="1:27" x14ac:dyDescent="0.25">
      <c r="A18" s="32" t="s">
        <v>1</v>
      </c>
      <c r="B18" s="26" t="s">
        <v>1</v>
      </c>
      <c r="C18" s="22" t="str">
        <f>'[1]Emission Factors'!A20</f>
        <v>Newspaper</v>
      </c>
      <c r="K18" s="33"/>
      <c r="L18" s="28"/>
      <c r="M18" s="27"/>
      <c r="N18" s="27"/>
      <c r="O18" s="29"/>
      <c r="Q18" s="33"/>
      <c r="R18" s="28"/>
      <c r="S18" s="27"/>
      <c r="T18" s="35"/>
      <c r="U18" s="31"/>
      <c r="W18" s="40">
        <v>2.0254519141196047E-2</v>
      </c>
      <c r="X18" s="28">
        <v>0.94244992679475004</v>
      </c>
      <c r="Y18" s="27">
        <f t="shared" si="0"/>
        <v>0.23561248169868751</v>
      </c>
      <c r="Z18" s="35">
        <v>-1.1934316569631502</v>
      </c>
      <c r="AA18" s="31">
        <f t="shared" si="1"/>
        <v>-0.93756465612326667</v>
      </c>
    </row>
    <row r="19" spans="1:27" x14ac:dyDescent="0.25">
      <c r="A19" s="32" t="s">
        <v>31</v>
      </c>
      <c r="B19" s="26" t="s">
        <v>31</v>
      </c>
      <c r="C19" s="22" t="str">
        <f>'[1]Emission Factors'!A21</f>
        <v>Office Paper</v>
      </c>
      <c r="E19" s="37"/>
      <c r="K19" s="33" t="e">
        <f>(#REF!+$I$13)*$F$18</f>
        <v>#REF!</v>
      </c>
      <c r="L19" s="28">
        <v>1.5987119535540575</v>
      </c>
      <c r="M19" s="27" t="e">
        <f>L19*(1-#REF!)</f>
        <v>#REF!</v>
      </c>
      <c r="N19" s="27">
        <f>T19</f>
        <v>-0.11978164912046663</v>
      </c>
      <c r="O19" s="29" t="e">
        <f t="shared" ref="O19:O62" si="2">SUM(K19,M19,N19)</f>
        <v>#REF!</v>
      </c>
      <c r="Q19" s="33" t="e">
        <f>#REF!</f>
        <v>#REF!</v>
      </c>
      <c r="R19" s="28">
        <v>1.5987119535540575</v>
      </c>
      <c r="S19" s="27">
        <f t="shared" ref="S19:S62" si="3">R19*(1-$F$21)</f>
        <v>0.39967798838851437</v>
      </c>
      <c r="T19" s="35">
        <v>-0.11978164912046663</v>
      </c>
      <c r="U19" s="31" t="e">
        <f t="shared" ref="U19:U62" si="4">SUM(Q19,S19,T19)</f>
        <v>#REF!</v>
      </c>
      <c r="W19" s="40">
        <v>2.0254519141196047E-2</v>
      </c>
      <c r="X19" s="28">
        <v>3.4973332504110006</v>
      </c>
      <c r="Y19" s="27">
        <f t="shared" si="0"/>
        <v>0.87433331260275016</v>
      </c>
      <c r="Z19" s="35">
        <v>-0.11978164912046663</v>
      </c>
      <c r="AA19" s="31">
        <f t="shared" si="1"/>
        <v>0.77480618262347956</v>
      </c>
    </row>
    <row r="20" spans="1:27" x14ac:dyDescent="0.25">
      <c r="A20" s="32" t="s">
        <v>32</v>
      </c>
      <c r="B20" s="26" t="s">
        <v>32</v>
      </c>
      <c r="C20" s="22" t="str">
        <f>'[1]Emission Factors'!A22</f>
        <v>Phonebooks</v>
      </c>
      <c r="E20" s="2" t="s">
        <v>33</v>
      </c>
      <c r="K20" s="33" t="e">
        <f>(#REF!+$I$13)*$F$18</f>
        <v>#REF!</v>
      </c>
      <c r="L20" s="28">
        <v>0.42104306380534423</v>
      </c>
      <c r="M20" s="27" t="e">
        <f>L20*(1-#REF!)</f>
        <v>#REF!</v>
      </c>
      <c r="N20" s="27">
        <f t="shared" ref="N20:N62" si="5">T20</f>
        <v>-1.1934316569631502</v>
      </c>
      <c r="O20" s="29" t="e">
        <f t="shared" si="2"/>
        <v>#REF!</v>
      </c>
      <c r="Q20" s="33" t="e">
        <f>#REF!</f>
        <v>#REF!</v>
      </c>
      <c r="R20" s="28">
        <v>0.42104306380534423</v>
      </c>
      <c r="S20" s="27">
        <f t="shared" si="3"/>
        <v>0.10526076595133606</v>
      </c>
      <c r="T20" s="35">
        <v>-1.1934316569631502</v>
      </c>
      <c r="U20" s="31" t="e">
        <f>SUM(Q20,S20,T20)</f>
        <v>#REF!</v>
      </c>
      <c r="W20" s="40">
        <v>2.0254519141196047E-2</v>
      </c>
      <c r="X20" s="28">
        <v>0.94244992679475004</v>
      </c>
      <c r="Y20" s="27">
        <f t="shared" si="0"/>
        <v>0.23561248169868751</v>
      </c>
      <c r="Z20" s="35">
        <v>-1.1934316569631502</v>
      </c>
      <c r="AA20" s="31">
        <f>SUM(W20,Y20,Z20)</f>
        <v>-0.93756465612326667</v>
      </c>
    </row>
    <row r="21" spans="1:27" x14ac:dyDescent="0.25">
      <c r="A21" s="32" t="s">
        <v>34</v>
      </c>
      <c r="B21" s="26" t="s">
        <v>34</v>
      </c>
      <c r="C21" s="22" t="str">
        <f>'[1]Emission Factors'!A23</f>
        <v>Textbooks</v>
      </c>
      <c r="E21" t="s">
        <v>102</v>
      </c>
      <c r="F21" s="89">
        <v>0.75</v>
      </c>
      <c r="G21" t="s">
        <v>101</v>
      </c>
      <c r="K21" s="33" t="e">
        <f>(#REF!+$I$13)*$F$18</f>
        <v>#REF!</v>
      </c>
      <c r="L21" s="28">
        <v>1.5987119535540575</v>
      </c>
      <c r="M21" s="27" t="e">
        <f>L21*(1-#REF!)</f>
        <v>#REF!</v>
      </c>
      <c r="N21" s="27">
        <f t="shared" si="5"/>
        <v>-0.11978164912046663</v>
      </c>
      <c r="O21" s="29" t="e">
        <f t="shared" si="2"/>
        <v>#REF!</v>
      </c>
      <c r="Q21" s="33" t="e">
        <f>#REF!</f>
        <v>#REF!</v>
      </c>
      <c r="R21" s="28">
        <v>1.5987119535540575</v>
      </c>
      <c r="S21" s="27">
        <f t="shared" si="3"/>
        <v>0.39967798838851437</v>
      </c>
      <c r="T21" s="35">
        <v>-0.11978164912046663</v>
      </c>
      <c r="U21" s="31" t="e">
        <f t="shared" si="4"/>
        <v>#REF!</v>
      </c>
      <c r="W21" s="40">
        <v>2.0254519141196047E-2</v>
      </c>
      <c r="X21" s="28">
        <v>3.4973332504110006</v>
      </c>
      <c r="Y21" s="27">
        <f t="shared" si="0"/>
        <v>0.87433331260275016</v>
      </c>
      <c r="Z21" s="35">
        <v>-0.11978164912046663</v>
      </c>
      <c r="AA21" s="31">
        <f t="shared" si="1"/>
        <v>0.77480618262347956</v>
      </c>
    </row>
    <row r="22" spans="1:27" x14ac:dyDescent="0.25">
      <c r="A22" s="32" t="s">
        <v>2</v>
      </c>
      <c r="B22" s="26" t="s">
        <v>2</v>
      </c>
      <c r="C22" s="22" t="str">
        <f>'[1]Emission Factors'!A24</f>
        <v>Dimensional Lumber</v>
      </c>
      <c r="K22" s="33" t="e">
        <f>(#REF!+$I$13)*$F$18</f>
        <v>#REF!</v>
      </c>
      <c r="L22" s="28">
        <v>5.7348176980547026E-2</v>
      </c>
      <c r="M22" s="27" t="e">
        <f>L22*(1-#REF!)</f>
        <v>#REF!</v>
      </c>
      <c r="N22" s="27">
        <f t="shared" si="5"/>
        <v>-1.0893776752833335</v>
      </c>
      <c r="O22" s="29" t="e">
        <f t="shared" si="2"/>
        <v>#REF!</v>
      </c>
      <c r="Q22" s="33" t="e">
        <f>#REF!</f>
        <v>#REF!</v>
      </c>
      <c r="R22" s="28">
        <v>5.7348176980547026E-2</v>
      </c>
      <c r="S22" s="27">
        <f t="shared" si="3"/>
        <v>1.4337044245136757E-2</v>
      </c>
      <c r="T22" s="35">
        <v>-1.0893776752833335</v>
      </c>
      <c r="U22" s="31" t="e">
        <f t="shared" si="4"/>
        <v>#REF!</v>
      </c>
      <c r="W22" s="40">
        <v>2.0254519141196047E-2</v>
      </c>
      <c r="X22" s="28">
        <v>0.14980698005624998</v>
      </c>
      <c r="Y22" s="27">
        <f t="shared" si="0"/>
        <v>3.7451745014062496E-2</v>
      </c>
      <c r="Z22" s="35">
        <v>-1.0893776752833335</v>
      </c>
      <c r="AA22" s="31">
        <f t="shared" si="1"/>
        <v>-1.0316714111280749</v>
      </c>
    </row>
    <row r="23" spans="1:27" x14ac:dyDescent="0.25">
      <c r="A23" s="32" t="s">
        <v>35</v>
      </c>
      <c r="B23" s="26" t="s">
        <v>35</v>
      </c>
      <c r="C23" s="22" t="str">
        <f>'[1]Emission Factors'!A25</f>
        <v>Medium Density Fiberboard</v>
      </c>
      <c r="K23" s="33" t="e">
        <f>(#REF!+$I$13)*$F$18</f>
        <v>#REF!</v>
      </c>
      <c r="L23" s="28">
        <v>1.988397026539181E-2</v>
      </c>
      <c r="M23" s="27" t="e">
        <f>L23*(1-#REF!)</f>
        <v>#REF!</v>
      </c>
      <c r="N23" s="27">
        <f t="shared" si="5"/>
        <v>-0.92306047294999993</v>
      </c>
      <c r="O23" s="29" t="e">
        <f t="shared" si="2"/>
        <v>#REF!</v>
      </c>
      <c r="Q23" s="33" t="e">
        <f>#REF!</f>
        <v>#REF!</v>
      </c>
      <c r="R23" s="28">
        <v>1.988397026539181E-2</v>
      </c>
      <c r="S23" s="27">
        <f t="shared" si="3"/>
        <v>4.9709925663479525E-3</v>
      </c>
      <c r="T23" s="35">
        <v>-0.92306047294999993</v>
      </c>
      <c r="U23" s="31" t="e">
        <f t="shared" si="4"/>
        <v>#REF!</v>
      </c>
      <c r="W23" s="40">
        <v>2.0254519141196047E-2</v>
      </c>
      <c r="X23" s="28">
        <v>5.0300153887500011E-2</v>
      </c>
      <c r="Y23" s="27">
        <f t="shared" si="0"/>
        <v>1.2575038471875003E-2</v>
      </c>
      <c r="Z23" s="35">
        <v>-0.92306047294999993</v>
      </c>
      <c r="AA23" s="31">
        <f t="shared" si="1"/>
        <v>-0.89023091533692889</v>
      </c>
    </row>
    <row r="24" spans="1:27" x14ac:dyDescent="0.25">
      <c r="A24" s="32" t="s">
        <v>36</v>
      </c>
      <c r="B24" s="26" t="s">
        <v>37</v>
      </c>
      <c r="C24" s="22" t="str">
        <f>'[1]Emission Factors'!A26</f>
        <v>Food Scraps</v>
      </c>
      <c r="K24" s="33" t="e">
        <f>(#REF!+$I$13)*$F$18</f>
        <v>#REF!</v>
      </c>
      <c r="L24" s="28">
        <v>0.54793452008144916</v>
      </c>
      <c r="M24" s="27" t="e">
        <f>L24*(1-#REF!)</f>
        <v>#REF!</v>
      </c>
      <c r="N24" s="27">
        <f t="shared" si="5"/>
        <v>-8.6847687193783149E-2</v>
      </c>
      <c r="O24" s="29" t="e">
        <f t="shared" si="2"/>
        <v>#REF!</v>
      </c>
      <c r="Q24" s="33" t="e">
        <f>#REF!</f>
        <v>#REF!</v>
      </c>
      <c r="R24" s="28">
        <v>0.54793452008144916</v>
      </c>
      <c r="S24" s="27">
        <f t="shared" si="3"/>
        <v>0.13698363002036229</v>
      </c>
      <c r="T24" s="35">
        <v>-8.6847687193783149E-2</v>
      </c>
      <c r="U24" s="31" t="e">
        <f t="shared" si="4"/>
        <v>#REF!</v>
      </c>
      <c r="W24" s="40">
        <v>2.0254519141196047E-2</v>
      </c>
      <c r="X24" s="28">
        <v>1.4604355931627537</v>
      </c>
      <c r="Y24" s="27">
        <f t="shared" si="0"/>
        <v>0.36510889829068843</v>
      </c>
      <c r="Z24" s="35">
        <v>-8.6847687193783149E-2</v>
      </c>
      <c r="AA24" s="31">
        <f t="shared" si="1"/>
        <v>0.2985157302381013</v>
      </c>
    </row>
    <row r="25" spans="1:27" x14ac:dyDescent="0.25">
      <c r="B25" s="26" t="s">
        <v>38</v>
      </c>
      <c r="C25" s="22" t="str">
        <f>'[1]Emission Factors'!A27</f>
        <v>Yard Trimmings</v>
      </c>
      <c r="K25" s="33" t="e">
        <f>(#REF!+$I$13)*$F$18</f>
        <v>#REF!</v>
      </c>
      <c r="L25" s="28">
        <v>0.54793452008144916</v>
      </c>
      <c r="M25" s="27" t="e">
        <f>L25*(1-#REF!)</f>
        <v>#REF!</v>
      </c>
      <c r="N25" s="27">
        <f t="shared" si="5"/>
        <v>-8.6847687193783149E-2</v>
      </c>
      <c r="O25" s="29" t="e">
        <f t="shared" si="2"/>
        <v>#REF!</v>
      </c>
      <c r="Q25" s="33" t="e">
        <f>#REF!</f>
        <v>#REF!</v>
      </c>
      <c r="R25" s="28">
        <v>0.54793452008144916</v>
      </c>
      <c r="S25" s="27">
        <f t="shared" si="3"/>
        <v>0.13698363002036229</v>
      </c>
      <c r="T25" s="35">
        <v>-8.6847687193783149E-2</v>
      </c>
      <c r="U25" s="31" t="e">
        <f t="shared" si="4"/>
        <v>#REF!</v>
      </c>
      <c r="W25" s="40">
        <v>2.0254519141196047E-2</v>
      </c>
      <c r="X25" s="28">
        <v>1.4604355931627537</v>
      </c>
      <c r="Y25" s="27">
        <f t="shared" si="0"/>
        <v>0.36510889829068843</v>
      </c>
      <c r="Z25" s="35">
        <v>-8.6847687193783149E-2</v>
      </c>
      <c r="AA25" s="31">
        <f t="shared" si="1"/>
        <v>0.2985157302381013</v>
      </c>
    </row>
    <row r="26" spans="1:27" x14ac:dyDescent="0.25">
      <c r="B26" s="26" t="s">
        <v>39</v>
      </c>
      <c r="C26" s="22" t="str">
        <f>'[1]Emission Factors'!A28</f>
        <v xml:space="preserve">Grass </v>
      </c>
      <c r="K26" s="33" t="e">
        <f>(#REF!+$I$13)*$F$18</f>
        <v>#REF!</v>
      </c>
      <c r="L26" s="28">
        <v>0.54793452008144916</v>
      </c>
      <c r="M26" s="27" t="e">
        <f>L26*(1-#REF!)</f>
        <v>#REF!</v>
      </c>
      <c r="N26" s="27">
        <f t="shared" si="5"/>
        <v>-8.6847687193783149E-2</v>
      </c>
      <c r="O26" s="29" t="e">
        <f t="shared" si="2"/>
        <v>#REF!</v>
      </c>
      <c r="Q26" s="33" t="e">
        <f>#REF!</f>
        <v>#REF!</v>
      </c>
      <c r="R26" s="28">
        <v>0.54793452008144916</v>
      </c>
      <c r="S26" s="27">
        <f t="shared" si="3"/>
        <v>0.13698363002036229</v>
      </c>
      <c r="T26" s="35">
        <v>-8.6847687193783149E-2</v>
      </c>
      <c r="U26" s="31" t="e">
        <f t="shared" si="4"/>
        <v>#REF!</v>
      </c>
      <c r="W26" s="40">
        <v>2.0254519141196047E-2</v>
      </c>
      <c r="X26" s="28">
        <v>1.4604355931627537</v>
      </c>
      <c r="Y26" s="27">
        <f t="shared" si="0"/>
        <v>0.36510889829068843</v>
      </c>
      <c r="Z26" s="35">
        <v>-8.6847687193783149E-2</v>
      </c>
      <c r="AA26" s="31">
        <f t="shared" si="1"/>
        <v>0.2985157302381013</v>
      </c>
    </row>
    <row r="27" spans="1:27" x14ac:dyDescent="0.25">
      <c r="B27" t="s">
        <v>40</v>
      </c>
      <c r="C27" s="22" t="str">
        <f>'[1]Emission Factors'!A29</f>
        <v>Leaves</v>
      </c>
      <c r="K27" s="33" t="e">
        <f>(#REF!+$I$13)*$F$18</f>
        <v>#REF!</v>
      </c>
      <c r="L27" s="28">
        <v>0.54793452008144916</v>
      </c>
      <c r="M27" s="27" t="e">
        <f>L27*(1-#REF!)</f>
        <v>#REF!</v>
      </c>
      <c r="N27" s="27">
        <f t="shared" si="5"/>
        <v>-8.6847687193783149E-2</v>
      </c>
      <c r="O27" s="29" t="e">
        <f t="shared" si="2"/>
        <v>#REF!</v>
      </c>
      <c r="Q27" s="33" t="e">
        <f>#REF!</f>
        <v>#REF!</v>
      </c>
      <c r="R27" s="28">
        <v>0.54793452008144916</v>
      </c>
      <c r="S27" s="27">
        <f t="shared" si="3"/>
        <v>0.13698363002036229</v>
      </c>
      <c r="T27" s="35">
        <v>-8.6847687193783149E-2</v>
      </c>
      <c r="U27" s="31" t="e">
        <f t="shared" si="4"/>
        <v>#REF!</v>
      </c>
      <c r="W27" s="40">
        <v>2.0254519141196047E-2</v>
      </c>
      <c r="X27" s="28">
        <v>1.4604355931627537</v>
      </c>
      <c r="Y27" s="27">
        <f t="shared" si="0"/>
        <v>0.36510889829068843</v>
      </c>
      <c r="Z27" s="35">
        <v>-8.6847687193783149E-2</v>
      </c>
      <c r="AA27" s="31">
        <f t="shared" si="1"/>
        <v>0.2985157302381013</v>
      </c>
    </row>
    <row r="28" spans="1:27" x14ac:dyDescent="0.25">
      <c r="B28" s="26" t="s">
        <v>41</v>
      </c>
      <c r="C28" s="22" t="str">
        <f>'[1]Emission Factors'!A30</f>
        <v>Branches</v>
      </c>
      <c r="K28" s="33" t="e">
        <f>(#REF!+$I$13)*$F$18</f>
        <v>#REF!</v>
      </c>
      <c r="L28" s="28">
        <v>0.54793452008144916</v>
      </c>
      <c r="M28" s="27" t="e">
        <f>L28*(1-#REF!)</f>
        <v>#REF!</v>
      </c>
      <c r="N28" s="27">
        <f t="shared" si="5"/>
        <v>-8.6847687193783149E-2</v>
      </c>
      <c r="O28" s="29" t="e">
        <f t="shared" si="2"/>
        <v>#REF!</v>
      </c>
      <c r="Q28" s="33" t="e">
        <f>#REF!</f>
        <v>#REF!</v>
      </c>
      <c r="R28" s="28">
        <v>0.54793452008144916</v>
      </c>
      <c r="S28" s="27">
        <f t="shared" si="3"/>
        <v>0.13698363002036229</v>
      </c>
      <c r="T28" s="35">
        <v>-8.6847687193783149E-2</v>
      </c>
      <c r="U28" s="31" t="e">
        <f t="shared" si="4"/>
        <v>#REF!</v>
      </c>
      <c r="W28" s="40">
        <v>2.0254519141196047E-2</v>
      </c>
      <c r="X28" s="28">
        <v>1.4604355931627537</v>
      </c>
      <c r="Y28" s="27">
        <f t="shared" si="0"/>
        <v>0.36510889829068843</v>
      </c>
      <c r="Z28" s="35">
        <v>-8.6847687193783149E-2</v>
      </c>
      <c r="AA28" s="31">
        <f t="shared" si="1"/>
        <v>0.2985157302381013</v>
      </c>
    </row>
    <row r="29" spans="1:27" x14ac:dyDescent="0.25">
      <c r="B29" s="26" t="s">
        <v>42</v>
      </c>
      <c r="C29" s="22" t="str">
        <f>'[1]Emission Factors'!A32</f>
        <v xml:space="preserve">   Broad Definition</v>
      </c>
      <c r="K29" s="33" t="e">
        <f>(#REF!+$I$13)*$F$18</f>
        <v>#REF!</v>
      </c>
      <c r="L29" s="28">
        <v>0.54793452008144916</v>
      </c>
      <c r="M29" s="27" t="e">
        <f>L29*(1-#REF!)</f>
        <v>#REF!</v>
      </c>
      <c r="N29" s="27">
        <f t="shared" si="5"/>
        <v>-8.6847687193783149E-2</v>
      </c>
      <c r="O29" s="29" t="e">
        <f t="shared" si="2"/>
        <v>#REF!</v>
      </c>
      <c r="Q29" s="33" t="e">
        <f>#REF!</f>
        <v>#REF!</v>
      </c>
      <c r="R29" s="28">
        <v>0.54793452008144916</v>
      </c>
      <c r="S29" s="27">
        <f t="shared" si="3"/>
        <v>0.13698363002036229</v>
      </c>
      <c r="T29" s="35">
        <v>-8.6847687193783149E-2</v>
      </c>
      <c r="U29" s="31" t="e">
        <f t="shared" si="4"/>
        <v>#REF!</v>
      </c>
      <c r="W29" s="40">
        <v>2.0254519141196047E-2</v>
      </c>
      <c r="X29" s="28">
        <v>1.4604355931627537</v>
      </c>
      <c r="Y29" s="27">
        <f t="shared" si="0"/>
        <v>0.36510889829068843</v>
      </c>
      <c r="Z29" s="35">
        <v>-8.6847687193783149E-2</v>
      </c>
      <c r="AA29" s="31">
        <f t="shared" si="1"/>
        <v>0.2985157302381013</v>
      </c>
    </row>
    <row r="30" spans="1:27" x14ac:dyDescent="0.25">
      <c r="B30" s="26" t="s">
        <v>43</v>
      </c>
      <c r="C30" s="22" t="str">
        <f>'[1]Emission Factors'!A33</f>
        <v xml:space="preserve">   Residential Definition</v>
      </c>
      <c r="K30" s="33" t="e">
        <f>(#REF!+$I$13)*$F$18</f>
        <v>#REF!</v>
      </c>
      <c r="L30" s="28">
        <v>0.54793452008144916</v>
      </c>
      <c r="M30" s="27" t="e">
        <f>L30*(1-#REF!)</f>
        <v>#REF!</v>
      </c>
      <c r="N30" s="27">
        <f t="shared" si="5"/>
        <v>-8.6847687193783149E-2</v>
      </c>
      <c r="O30" s="29" t="e">
        <f t="shared" si="2"/>
        <v>#REF!</v>
      </c>
      <c r="Q30" s="33" t="e">
        <f>#REF!</f>
        <v>#REF!</v>
      </c>
      <c r="R30" s="28">
        <v>0.54793452008144916</v>
      </c>
      <c r="S30" s="27">
        <f t="shared" si="3"/>
        <v>0.13698363002036229</v>
      </c>
      <c r="T30" s="35">
        <v>-8.6847687193783149E-2</v>
      </c>
      <c r="U30" s="31" t="e">
        <f t="shared" si="4"/>
        <v>#REF!</v>
      </c>
      <c r="W30" s="40">
        <v>2.0254519141196047E-2</v>
      </c>
      <c r="X30" s="28">
        <v>1.4604355931627537</v>
      </c>
      <c r="Y30" s="27">
        <f t="shared" si="0"/>
        <v>0.36510889829068843</v>
      </c>
      <c r="Z30" s="35">
        <v>-8.6847687193783149E-2</v>
      </c>
      <c r="AA30" s="31">
        <f t="shared" si="1"/>
        <v>0.2985157302381013</v>
      </c>
    </row>
    <row r="31" spans="1:27" x14ac:dyDescent="0.25">
      <c r="B31" s="26" t="s">
        <v>44</v>
      </c>
      <c r="C31" s="22" t="str">
        <f>'[1]Emission Factors'!A34</f>
        <v xml:space="preserve">   Office Paper Definition</v>
      </c>
      <c r="K31" s="33" t="e">
        <f>(#REF!+$I$13)*$F$18</f>
        <v>#REF!</v>
      </c>
      <c r="L31" s="28">
        <v>0.54793452008144916</v>
      </c>
      <c r="M31" s="27" t="e">
        <f>L31*(1-#REF!)</f>
        <v>#REF!</v>
      </c>
      <c r="N31" s="27">
        <f t="shared" si="5"/>
        <v>-8.6847687193783149E-2</v>
      </c>
      <c r="O31" s="29" t="e">
        <f t="shared" si="2"/>
        <v>#REF!</v>
      </c>
      <c r="Q31" s="33" t="e">
        <f>#REF!</f>
        <v>#REF!</v>
      </c>
      <c r="R31" s="28">
        <v>0.54793452008144916</v>
      </c>
      <c r="S31" s="27">
        <f t="shared" si="3"/>
        <v>0.13698363002036229</v>
      </c>
      <c r="T31" s="35">
        <v>-8.6847687193783149E-2</v>
      </c>
      <c r="U31" s="31" t="e">
        <f t="shared" si="4"/>
        <v>#REF!</v>
      </c>
      <c r="W31" s="40">
        <v>2.0254519141196047E-2</v>
      </c>
      <c r="X31" s="28">
        <v>1.4604355931627537</v>
      </c>
      <c r="Y31" s="27">
        <f t="shared" si="0"/>
        <v>0.36510889829068843</v>
      </c>
      <c r="Z31" s="35">
        <v>-8.6847687193783149E-2</v>
      </c>
      <c r="AA31" s="31">
        <f t="shared" si="1"/>
        <v>0.2985157302381013</v>
      </c>
    </row>
    <row r="32" spans="1:27" ht="15.75" x14ac:dyDescent="0.25">
      <c r="B32" s="26" t="s">
        <v>45</v>
      </c>
      <c r="C32" s="22" t="str">
        <f>'[1]Emission Factors'!A35</f>
        <v>Mixed Metals</v>
      </c>
      <c r="E32" s="39"/>
      <c r="K32" s="33" t="e">
        <f>(#REF!+$I$13)*$F$18</f>
        <v>#REF!</v>
      </c>
      <c r="L32" s="28">
        <v>0.54793452008144916</v>
      </c>
      <c r="M32" s="27" t="e">
        <f>L32*(1-#REF!)</f>
        <v>#REF!</v>
      </c>
      <c r="N32" s="27">
        <f t="shared" si="5"/>
        <v>-8.6847687193783149E-2</v>
      </c>
      <c r="O32" s="29" t="e">
        <f t="shared" si="2"/>
        <v>#REF!</v>
      </c>
      <c r="Q32" s="33" t="e">
        <f>#REF!</f>
        <v>#REF!</v>
      </c>
      <c r="R32" s="28">
        <v>0.54793452008144916</v>
      </c>
      <c r="S32" s="27">
        <f t="shared" si="3"/>
        <v>0.13698363002036229</v>
      </c>
      <c r="T32" s="35">
        <v>-8.6847687193783149E-2</v>
      </c>
      <c r="U32" s="31" t="e">
        <f t="shared" si="4"/>
        <v>#REF!</v>
      </c>
      <c r="W32" s="40">
        <v>2.0254519141196047E-2</v>
      </c>
      <c r="X32" s="28">
        <v>1.4604355931627537</v>
      </c>
      <c r="Y32" s="27">
        <f t="shared" si="0"/>
        <v>0.36510889829068843</v>
      </c>
      <c r="Z32" s="35">
        <v>-8.6847687193783149E-2</v>
      </c>
      <c r="AA32" s="31">
        <f t="shared" si="1"/>
        <v>0.2985157302381013</v>
      </c>
    </row>
    <row r="33" spans="1:27" ht="15.75" x14ac:dyDescent="0.25">
      <c r="A33" s="32" t="s">
        <v>46</v>
      </c>
      <c r="B33" s="26" t="s">
        <v>46</v>
      </c>
      <c r="C33" s="22" t="str">
        <f>'[1]Emission Factors'!A36</f>
        <v>Mixed Plastics</v>
      </c>
      <c r="E33" s="39"/>
      <c r="K33" s="33" t="e">
        <f>(#REF!+$I$13)*$F$18</f>
        <v>#REF!</v>
      </c>
      <c r="L33" s="28">
        <v>0.30950702092312443</v>
      </c>
      <c r="M33" s="27" t="e">
        <f>L33*(1-#REF!)</f>
        <v>#REF!</v>
      </c>
      <c r="N33" s="27">
        <f t="shared" si="5"/>
        <v>-0.53546654877228339</v>
      </c>
      <c r="O33" s="29" t="e">
        <f t="shared" si="2"/>
        <v>#REF!</v>
      </c>
      <c r="Q33" s="33" t="e">
        <f>#REF!</f>
        <v>#REF!</v>
      </c>
      <c r="R33" s="28">
        <v>0.30950702092312443</v>
      </c>
      <c r="S33" s="27">
        <f t="shared" si="3"/>
        <v>7.7376755230781108E-2</v>
      </c>
      <c r="T33" s="35">
        <v>-0.53546654877228339</v>
      </c>
      <c r="U33" s="31" t="e">
        <f t="shared" si="4"/>
        <v>#REF!</v>
      </c>
      <c r="W33" s="40">
        <v>2.0254519141196047E-2</v>
      </c>
      <c r="X33" s="28">
        <v>0.7292880804478501</v>
      </c>
      <c r="Y33" s="27">
        <f t="shared" si="0"/>
        <v>0.18232202011196252</v>
      </c>
      <c r="Z33" s="35">
        <v>-0.53546654877228339</v>
      </c>
      <c r="AA33" s="31">
        <f t="shared" si="1"/>
        <v>-0.33289000951912484</v>
      </c>
    </row>
    <row r="34" spans="1:27" x14ac:dyDescent="0.25">
      <c r="A34" s="32" t="s">
        <v>47</v>
      </c>
      <c r="B34" s="26" t="s">
        <v>47</v>
      </c>
      <c r="C34" s="22" t="str">
        <f>'[1]Emission Factors'!A37</f>
        <v>Mixed Recyclables</v>
      </c>
      <c r="K34" s="33" t="e">
        <f>(#REF!+$I$13)*$F$18</f>
        <v>#REF!</v>
      </c>
      <c r="L34" s="28">
        <v>0.20940249184403972</v>
      </c>
      <c r="M34" s="27" t="e">
        <f>L34*(1-#REF!)</f>
        <v>#REF!</v>
      </c>
      <c r="N34" s="27">
        <f t="shared" si="5"/>
        <v>-0.14369806281600003</v>
      </c>
      <c r="O34" s="29" t="e">
        <f t="shared" si="2"/>
        <v>#REF!</v>
      </c>
      <c r="Q34" s="33" t="e">
        <f>#REF!</f>
        <v>#REF!</v>
      </c>
      <c r="R34" s="28">
        <v>0.20940249184403972</v>
      </c>
      <c r="S34" s="27">
        <f t="shared" si="3"/>
        <v>5.2350622961009931E-2</v>
      </c>
      <c r="T34" s="35">
        <v>-0.14369806281600003</v>
      </c>
      <c r="U34" s="31" t="e">
        <f t="shared" si="4"/>
        <v>#REF!</v>
      </c>
      <c r="W34" s="40">
        <v>2.0254519141196047E-2</v>
      </c>
      <c r="X34" s="28">
        <v>0.51192434878200022</v>
      </c>
      <c r="Y34" s="27">
        <f t="shared" si="0"/>
        <v>0.12798108719550005</v>
      </c>
      <c r="Z34" s="35">
        <v>-0.14369806281600003</v>
      </c>
      <c r="AA34" s="31">
        <f t="shared" si="1"/>
        <v>4.5375435206960746E-3</v>
      </c>
    </row>
    <row r="35" spans="1:27" x14ac:dyDescent="0.25">
      <c r="A35" s="32" t="s">
        <v>48</v>
      </c>
      <c r="B35" s="26" t="s">
        <v>48</v>
      </c>
      <c r="C35" s="22" t="str">
        <f>'[1]Emission Factors'!A38</f>
        <v>Mixed Organics</v>
      </c>
      <c r="K35" s="33" t="e">
        <f>(#REF!+$I$13)*$F$18</f>
        <v>#REF!</v>
      </c>
      <c r="L35" s="28">
        <v>0.22309207952759991</v>
      </c>
      <c r="M35" s="27" t="e">
        <f>L35*(1-#REF!)</f>
        <v>#REF!</v>
      </c>
      <c r="N35" s="27">
        <f t="shared" si="5"/>
        <v>-0.79143703902340001</v>
      </c>
      <c r="O35" s="29" t="e">
        <f t="shared" si="2"/>
        <v>#REF!</v>
      </c>
      <c r="Q35" s="33" t="e">
        <f>#REF!</f>
        <v>#REF!</v>
      </c>
      <c r="R35" s="28">
        <v>0.22309207952759991</v>
      </c>
      <c r="S35" s="27">
        <f t="shared" si="3"/>
        <v>5.5773019881899977E-2</v>
      </c>
      <c r="T35" s="35">
        <v>-0.79143703902340001</v>
      </c>
      <c r="U35" s="31" t="e">
        <f t="shared" si="4"/>
        <v>#REF!</v>
      </c>
      <c r="W35" s="40">
        <v>2.0254519141196047E-2</v>
      </c>
      <c r="X35" s="28">
        <v>0.58867217778600023</v>
      </c>
      <c r="Y35" s="27">
        <f t="shared" si="0"/>
        <v>0.14716804444650006</v>
      </c>
      <c r="Z35" s="35">
        <v>-0.79143703902340001</v>
      </c>
      <c r="AA35" s="31">
        <f t="shared" si="1"/>
        <v>-0.62401447543570387</v>
      </c>
    </row>
    <row r="36" spans="1:27" x14ac:dyDescent="0.25">
      <c r="A36" s="32" t="s">
        <v>49</v>
      </c>
      <c r="B36" s="26" t="s">
        <v>49</v>
      </c>
      <c r="C36" s="22" t="str">
        <f>'[1]Emission Factors'!A39</f>
        <v>Mixed MSW</v>
      </c>
      <c r="K36" s="33" t="e">
        <f>(#REF!+$I$13)*$F$18</f>
        <v>#REF!</v>
      </c>
      <c r="L36" s="28">
        <v>0.65298106988130067</v>
      </c>
      <c r="M36" s="27" t="e">
        <f>L36*(1-#REF!)</f>
        <v>#REF!</v>
      </c>
      <c r="N36" s="27">
        <f t="shared" si="5"/>
        <v>-1.0630330304337332</v>
      </c>
      <c r="O36" s="29" t="e">
        <f t="shared" si="2"/>
        <v>#REF!</v>
      </c>
      <c r="Q36" s="33" t="e">
        <f>#REF!</f>
        <v>#REF!</v>
      </c>
      <c r="R36" s="28">
        <v>0.65298106988130067</v>
      </c>
      <c r="S36" s="27">
        <f t="shared" si="3"/>
        <v>0.16324526747032517</v>
      </c>
      <c r="T36" s="35">
        <v>-1.0630330304337332</v>
      </c>
      <c r="U36" s="31" t="e">
        <f t="shared" si="4"/>
        <v>#REF!</v>
      </c>
      <c r="W36" s="40">
        <v>2.0254519141196047E-2</v>
      </c>
      <c r="X36" s="28">
        <v>1.3046314464413997</v>
      </c>
      <c r="Y36" s="27">
        <f t="shared" si="0"/>
        <v>0.32615786161034993</v>
      </c>
      <c r="Z36" s="35">
        <v>-1.0630330304337332</v>
      </c>
      <c r="AA36" s="31">
        <f t="shared" si="1"/>
        <v>-0.71662064968218719</v>
      </c>
    </row>
    <row r="37" spans="1:27" x14ac:dyDescent="0.25">
      <c r="A37" s="32" t="s">
        <v>50</v>
      </c>
      <c r="B37" s="26" t="s">
        <v>50</v>
      </c>
      <c r="C37" s="22" t="s">
        <v>5</v>
      </c>
      <c r="K37" s="33" t="e">
        <f>(#REF!+$I$13)*$F$18</f>
        <v>#REF!</v>
      </c>
      <c r="L37" s="28">
        <v>0.98845763800433295</v>
      </c>
      <c r="M37" s="27" t="e">
        <f>L37*(1-#REF!)</f>
        <v>#REF!</v>
      </c>
      <c r="N37" s="27">
        <f t="shared" si="5"/>
        <v>-0.72263996523759499</v>
      </c>
      <c r="O37" s="29" t="e">
        <f t="shared" si="2"/>
        <v>#REF!</v>
      </c>
      <c r="Q37" s="33" t="e">
        <f>#REF!</f>
        <v>#REF!</v>
      </c>
      <c r="R37" s="28">
        <v>0.98845763800433295</v>
      </c>
      <c r="S37" s="27">
        <f t="shared" si="3"/>
        <v>0.24711440950108324</v>
      </c>
      <c r="T37" s="35">
        <v>-0.72263996523759499</v>
      </c>
      <c r="U37" s="31" t="e">
        <f t="shared" si="4"/>
        <v>#REF!</v>
      </c>
      <c r="W37" s="40">
        <v>2.0254519141196047E-2</v>
      </c>
      <c r="X37" s="28">
        <v>2.1449203837138002</v>
      </c>
      <c r="Y37" s="27">
        <f t="shared" si="0"/>
        <v>0.53623009592845006</v>
      </c>
      <c r="Z37" s="35">
        <v>-0.72263996523759499</v>
      </c>
      <c r="AA37" s="31">
        <f t="shared" si="1"/>
        <v>-0.16615535016794891</v>
      </c>
    </row>
    <row r="38" spans="1:27" x14ac:dyDescent="0.25">
      <c r="A38" s="32" t="s">
        <v>51</v>
      </c>
      <c r="B38" s="26" t="s">
        <v>51</v>
      </c>
      <c r="C38" s="22" t="s">
        <v>52</v>
      </c>
      <c r="K38" s="33" t="e">
        <f>(#REF!+$I$13)*$F$18</f>
        <v>#REF!</v>
      </c>
      <c r="L38" s="28">
        <v>0.95127298372045666</v>
      </c>
      <c r="M38" s="27" t="e">
        <f>L38*(1-#REF!)</f>
        <v>#REF!</v>
      </c>
      <c r="N38" s="27">
        <f t="shared" si="5"/>
        <v>-0.75634290815127203</v>
      </c>
      <c r="O38" s="29" t="e">
        <f t="shared" si="2"/>
        <v>#REF!</v>
      </c>
      <c r="Q38" s="33" t="e">
        <f>#REF!</f>
        <v>#REF!</v>
      </c>
      <c r="R38" s="28">
        <v>0.95127298372045666</v>
      </c>
      <c r="S38" s="27">
        <f t="shared" si="3"/>
        <v>0.23781824593011416</v>
      </c>
      <c r="T38" s="35">
        <v>-0.75634290815127203</v>
      </c>
      <c r="U38" s="31" t="e">
        <f t="shared" si="4"/>
        <v>#REF!</v>
      </c>
      <c r="W38" s="40">
        <v>2.0254519141196047E-2</v>
      </c>
      <c r="X38" s="28">
        <v>2.0652062874061854</v>
      </c>
      <c r="Y38" s="27">
        <f t="shared" si="0"/>
        <v>0.51630157185154635</v>
      </c>
      <c r="Z38" s="35">
        <v>-0.75634290815127203</v>
      </c>
      <c r="AA38" s="31">
        <f t="shared" si="1"/>
        <v>-0.21978681715852966</v>
      </c>
    </row>
    <row r="39" spans="1:27" x14ac:dyDescent="0.25">
      <c r="A39" s="32" t="s">
        <v>53</v>
      </c>
      <c r="B39" s="26" t="s">
        <v>53</v>
      </c>
      <c r="C39" s="22" t="s">
        <v>54</v>
      </c>
      <c r="K39" s="33" t="e">
        <f>(#REF!+$I$13)*$F$18</f>
        <v>#REF!</v>
      </c>
      <c r="L39" s="28">
        <v>0.86651222854298782</v>
      </c>
      <c r="M39" s="27" t="e">
        <f>L39*(1-#REF!)</f>
        <v>#REF!</v>
      </c>
      <c r="N39" s="27">
        <f t="shared" si="5"/>
        <v>-0.63690504988780638</v>
      </c>
      <c r="O39" s="29" t="e">
        <f t="shared" si="2"/>
        <v>#REF!</v>
      </c>
      <c r="Q39" s="33" t="e">
        <f>#REF!</f>
        <v>#REF!</v>
      </c>
      <c r="R39" s="28">
        <v>0.86651222854298782</v>
      </c>
      <c r="S39" s="27">
        <f t="shared" si="3"/>
        <v>0.21662805713574695</v>
      </c>
      <c r="T39" s="35">
        <v>-0.63690504988780638</v>
      </c>
      <c r="U39" s="31" t="e">
        <f t="shared" si="4"/>
        <v>#REF!</v>
      </c>
      <c r="W39" s="40">
        <v>2.0254519141196047E-2</v>
      </c>
      <c r="X39" s="28">
        <v>2.0320063714709553</v>
      </c>
      <c r="Y39" s="27">
        <f t="shared" si="0"/>
        <v>0.50800159286773883</v>
      </c>
      <c r="Z39" s="35">
        <v>-0.63690504988780638</v>
      </c>
      <c r="AA39" s="31">
        <f t="shared" si="1"/>
        <v>-0.10864893787887153</v>
      </c>
    </row>
    <row r="40" spans="1:27" x14ac:dyDescent="0.25">
      <c r="A40" s="32" t="s">
        <v>55</v>
      </c>
      <c r="B40" s="26" t="s">
        <v>55</v>
      </c>
      <c r="C40" s="22" t="s">
        <v>3</v>
      </c>
      <c r="K40" s="33" t="e">
        <f>(#REF!+$I$13)*$F$18</f>
        <v>#REF!</v>
      </c>
      <c r="L40" s="28">
        <v>0</v>
      </c>
      <c r="M40" s="27" t="e">
        <f>L40*(1-#REF!)</f>
        <v>#REF!</v>
      </c>
      <c r="N40" s="27">
        <f t="shared" si="5"/>
        <v>0</v>
      </c>
      <c r="O40" s="29" t="e">
        <f t="shared" si="2"/>
        <v>#REF!</v>
      </c>
      <c r="Q40" s="33" t="e">
        <f>#REF!</f>
        <v>#REF!</v>
      </c>
      <c r="R40" s="28">
        <v>0</v>
      </c>
      <c r="S40" s="27">
        <f t="shared" si="3"/>
        <v>0</v>
      </c>
      <c r="T40" s="35">
        <v>0</v>
      </c>
      <c r="U40" s="31" t="e">
        <f t="shared" si="4"/>
        <v>#REF!</v>
      </c>
      <c r="W40" s="40">
        <v>2.0254519141196047E-2</v>
      </c>
      <c r="X40" s="28">
        <v>0</v>
      </c>
      <c r="Y40" s="27">
        <f t="shared" si="0"/>
        <v>0</v>
      </c>
      <c r="Z40" s="35">
        <v>0</v>
      </c>
      <c r="AA40" s="31">
        <f t="shared" si="1"/>
        <v>2.0254519141196047E-2</v>
      </c>
    </row>
    <row r="41" spans="1:27" x14ac:dyDescent="0.25">
      <c r="A41" s="32" t="s">
        <v>56</v>
      </c>
      <c r="B41" s="26" t="s">
        <v>56</v>
      </c>
      <c r="C41" s="22" t="s">
        <v>57</v>
      </c>
      <c r="K41" s="33" t="e">
        <f>(#REF!+$I$13)*$F$18</f>
        <v>#REF!</v>
      </c>
      <c r="L41" s="28">
        <v>0</v>
      </c>
      <c r="M41" s="27" t="e">
        <f>L41*(1-#REF!)</f>
        <v>#REF!</v>
      </c>
      <c r="N41" s="27">
        <f t="shared" si="5"/>
        <v>0</v>
      </c>
      <c r="O41" s="29" t="e">
        <f t="shared" si="2"/>
        <v>#REF!</v>
      </c>
      <c r="Q41" s="33" t="e">
        <f>#REF!</f>
        <v>#REF!</v>
      </c>
      <c r="R41" s="28">
        <v>0</v>
      </c>
      <c r="S41" s="27">
        <f t="shared" si="3"/>
        <v>0</v>
      </c>
      <c r="T41" s="35">
        <v>0</v>
      </c>
      <c r="U41" s="31" t="e">
        <f t="shared" si="4"/>
        <v>#REF!</v>
      </c>
      <c r="W41" s="40">
        <v>2.0254519141196047E-2</v>
      </c>
      <c r="X41" s="28">
        <v>0</v>
      </c>
      <c r="Y41" s="27">
        <f t="shared" ref="Y41:Y72" si="6">X41*(1-$F$21)</f>
        <v>0</v>
      </c>
      <c r="Z41" s="35">
        <v>0</v>
      </c>
      <c r="AA41" s="31">
        <f t="shared" si="1"/>
        <v>2.0254519141196047E-2</v>
      </c>
    </row>
    <row r="42" spans="1:27" x14ac:dyDescent="0.25">
      <c r="A42" s="32" t="s">
        <v>58</v>
      </c>
      <c r="B42" s="26" t="s">
        <v>58</v>
      </c>
      <c r="C42" s="22" t="s">
        <v>6</v>
      </c>
      <c r="K42" s="33" t="e">
        <f>(#REF!+$I$13)*$F$18</f>
        <v>#REF!</v>
      </c>
      <c r="L42" s="28">
        <v>0.97533748657109831</v>
      </c>
      <c r="M42" s="27" t="e">
        <f>L42*(1-#REF!)</f>
        <v>#REF!</v>
      </c>
      <c r="N42" s="27">
        <f t="shared" si="5"/>
        <v>-0.64855311190316445</v>
      </c>
      <c r="O42" s="29" t="e">
        <f t="shared" si="2"/>
        <v>#REF!</v>
      </c>
      <c r="Q42" s="33" t="e">
        <f>#REF!</f>
        <v>#REF!</v>
      </c>
      <c r="R42" s="28">
        <v>0.97533748657109831</v>
      </c>
      <c r="S42" s="27">
        <f t="shared" si="3"/>
        <v>0.24383437164277458</v>
      </c>
      <c r="T42" s="35">
        <v>-0.64855311190316445</v>
      </c>
      <c r="U42" s="31" t="e">
        <f t="shared" si="4"/>
        <v>#REF!</v>
      </c>
      <c r="W42" s="40">
        <v>2.0254519141196047E-2</v>
      </c>
      <c r="X42" s="28">
        <v>1.7760612719354518</v>
      </c>
      <c r="Y42" s="27">
        <f t="shared" si="6"/>
        <v>0.44401531798386296</v>
      </c>
      <c r="Z42" s="35">
        <v>-0.64855311190316445</v>
      </c>
      <c r="AA42" s="31">
        <f t="shared" si="1"/>
        <v>-0.18428327477810547</v>
      </c>
    </row>
    <row r="43" spans="1:27" x14ac:dyDescent="0.25">
      <c r="A43" s="32" t="s">
        <v>59</v>
      </c>
      <c r="B43" s="26" t="s">
        <v>59</v>
      </c>
      <c r="C43" s="22" t="s">
        <v>60</v>
      </c>
      <c r="K43" s="33" t="e">
        <f>(#REF!+$I$13)*$F$18</f>
        <v>#REF!</v>
      </c>
      <c r="L43" s="28">
        <v>0.44248591170567797</v>
      </c>
      <c r="M43" s="27" t="e">
        <f>L43*(1-#REF!)</f>
        <v>#REF!</v>
      </c>
      <c r="N43" s="27">
        <f t="shared" si="5"/>
        <v>-0.3021545222482977</v>
      </c>
      <c r="O43" s="29" t="e">
        <f t="shared" si="2"/>
        <v>#REF!</v>
      </c>
      <c r="Q43" s="33" t="e">
        <f>#REF!</f>
        <v>#REF!</v>
      </c>
      <c r="R43" s="28">
        <v>0.44248591170567797</v>
      </c>
      <c r="S43" s="27">
        <f t="shared" si="3"/>
        <v>0.11062147792641949</v>
      </c>
      <c r="T43" s="35">
        <v>-0.3021545222482977</v>
      </c>
      <c r="U43" s="31" t="e">
        <f t="shared" si="4"/>
        <v>#REF!</v>
      </c>
      <c r="W43" s="40">
        <v>2.0254519141196047E-2</v>
      </c>
      <c r="X43" s="28">
        <v>1.1095340364008999</v>
      </c>
      <c r="Y43" s="27">
        <f t="shared" si="6"/>
        <v>0.27738350910022497</v>
      </c>
      <c r="Z43" s="35">
        <v>-0.3021545222482977</v>
      </c>
      <c r="AA43" s="31">
        <f t="shared" si="1"/>
        <v>-4.5164940068767034E-3</v>
      </c>
    </row>
    <row r="44" spans="1:27" x14ac:dyDescent="0.25">
      <c r="A44" s="32" t="s">
        <v>61</v>
      </c>
      <c r="B44" s="26" t="s">
        <v>61</v>
      </c>
      <c r="C44" s="22" t="s">
        <v>4</v>
      </c>
      <c r="K44" s="33" t="e">
        <f>(#REF!+$I$13)*$F$18</f>
        <v>#REF!</v>
      </c>
      <c r="L44" s="28">
        <v>0.62825294508011098</v>
      </c>
      <c r="M44" s="27" t="e">
        <f>L44*(1-#REF!)</f>
        <v>#REF!</v>
      </c>
      <c r="N44" s="27">
        <f t="shared" si="5"/>
        <v>-0.20756386851200001</v>
      </c>
      <c r="O44" s="29" t="e">
        <f t="shared" si="2"/>
        <v>#REF!</v>
      </c>
      <c r="Q44" s="33" t="e">
        <f>#REF!</f>
        <v>#REF!</v>
      </c>
      <c r="R44" s="28">
        <v>0.62825294508011098</v>
      </c>
      <c r="S44" s="27">
        <f t="shared" si="3"/>
        <v>0.15706323627002775</v>
      </c>
      <c r="T44" s="35">
        <v>-0.20756386851200001</v>
      </c>
      <c r="U44" s="31" t="e">
        <f t="shared" si="4"/>
        <v>#REF!</v>
      </c>
      <c r="W44" s="40">
        <v>2.0254519141196047E-2</v>
      </c>
      <c r="X44" s="28">
        <v>1.457975475</v>
      </c>
      <c r="Y44" s="27">
        <f t="shared" si="6"/>
        <v>0.36449386875000001</v>
      </c>
      <c r="Z44" s="35">
        <v>-0.20756386851200001</v>
      </c>
      <c r="AA44" s="31">
        <f t="shared" si="1"/>
        <v>0.17718451937919602</v>
      </c>
    </row>
    <row r="45" spans="1:27" x14ac:dyDescent="0.25">
      <c r="A45" s="32" t="s">
        <v>5</v>
      </c>
      <c r="B45" s="26" t="s">
        <v>5</v>
      </c>
      <c r="C45" s="22" t="s">
        <v>62</v>
      </c>
      <c r="K45" s="33" t="e">
        <f>(#REF!+$I$13)*$F$18</f>
        <v>#REF!</v>
      </c>
      <c r="L45" s="40">
        <v>0</v>
      </c>
      <c r="M45" s="27" t="e">
        <f>L45*(1-#REF!)</f>
        <v>#REF!</v>
      </c>
      <c r="N45" s="27">
        <f t="shared" si="5"/>
        <v>0</v>
      </c>
      <c r="O45" s="29" t="e">
        <f t="shared" si="2"/>
        <v>#REF!</v>
      </c>
      <c r="Q45" s="33" t="e">
        <f>#REF!</f>
        <v>#REF!</v>
      </c>
      <c r="R45" s="40">
        <v>0</v>
      </c>
      <c r="S45" s="27">
        <f t="shared" si="3"/>
        <v>0</v>
      </c>
      <c r="T45" s="41">
        <v>0</v>
      </c>
      <c r="U45" s="31" t="e">
        <f t="shared" si="4"/>
        <v>#REF!</v>
      </c>
      <c r="W45" s="40">
        <v>2.0254519141196047E-2</v>
      </c>
      <c r="X45" s="40">
        <v>0</v>
      </c>
      <c r="Y45" s="27">
        <f t="shared" si="6"/>
        <v>0</v>
      </c>
      <c r="Z45" s="41">
        <v>0</v>
      </c>
      <c r="AA45" s="31">
        <f t="shared" si="1"/>
        <v>2.0254519141196047E-2</v>
      </c>
    </row>
    <row r="46" spans="1:27" x14ac:dyDescent="0.25">
      <c r="A46" s="32" t="s">
        <v>52</v>
      </c>
      <c r="B46" s="26" t="s">
        <v>52</v>
      </c>
      <c r="C46" s="22" t="s">
        <v>63</v>
      </c>
      <c r="K46" s="33" t="e">
        <f>(#REF!+$I$13)*$F$18</f>
        <v>#REF!</v>
      </c>
      <c r="L46" s="40">
        <v>0</v>
      </c>
      <c r="M46" s="27" t="e">
        <f>L46*(1-#REF!)</f>
        <v>#REF!</v>
      </c>
      <c r="N46" s="27">
        <f t="shared" si="5"/>
        <v>0</v>
      </c>
      <c r="O46" s="29" t="e">
        <f t="shared" si="2"/>
        <v>#REF!</v>
      </c>
      <c r="Q46" s="33" t="e">
        <f>#REF!</f>
        <v>#REF!</v>
      </c>
      <c r="R46" s="40">
        <v>0</v>
      </c>
      <c r="S46" s="27">
        <f t="shared" si="3"/>
        <v>0</v>
      </c>
      <c r="T46" s="41">
        <v>0</v>
      </c>
      <c r="U46" s="31" t="e">
        <f t="shared" si="4"/>
        <v>#REF!</v>
      </c>
      <c r="W46" s="40">
        <v>2.0254519141196047E-2</v>
      </c>
      <c r="X46" s="40">
        <v>0</v>
      </c>
      <c r="Y46" s="27">
        <f t="shared" si="6"/>
        <v>0</v>
      </c>
      <c r="Z46" s="41">
        <v>0</v>
      </c>
      <c r="AA46" s="31">
        <f t="shared" si="1"/>
        <v>2.0254519141196047E-2</v>
      </c>
    </row>
    <row r="47" spans="1:27" x14ac:dyDescent="0.25">
      <c r="A47" s="32" t="s">
        <v>54</v>
      </c>
      <c r="B47" s="26" t="s">
        <v>54</v>
      </c>
      <c r="C47" s="22" t="s">
        <v>64</v>
      </c>
      <c r="K47" s="33" t="e">
        <f>(#REF!+$I$13)*$F$18</f>
        <v>#REF!</v>
      </c>
      <c r="L47" s="40">
        <v>0</v>
      </c>
      <c r="M47" s="27" t="e">
        <f>L47*(1-#REF!)</f>
        <v>#REF!</v>
      </c>
      <c r="N47" s="27">
        <f t="shared" si="5"/>
        <v>0</v>
      </c>
      <c r="O47" s="29" t="e">
        <f t="shared" si="2"/>
        <v>#REF!</v>
      </c>
      <c r="Q47" s="33" t="e">
        <f>#REF!</f>
        <v>#REF!</v>
      </c>
      <c r="R47" s="40">
        <v>0</v>
      </c>
      <c r="S47" s="27">
        <f t="shared" si="3"/>
        <v>0</v>
      </c>
      <c r="T47" s="41">
        <v>0</v>
      </c>
      <c r="U47" s="31" t="e">
        <f t="shared" si="4"/>
        <v>#REF!</v>
      </c>
      <c r="W47" s="40">
        <v>2.0254519141196047E-2</v>
      </c>
      <c r="X47" s="40">
        <v>0</v>
      </c>
      <c r="Y47" s="27">
        <f t="shared" si="6"/>
        <v>0</v>
      </c>
      <c r="Z47" s="41">
        <v>0</v>
      </c>
      <c r="AA47" s="31">
        <f t="shared" si="1"/>
        <v>2.0254519141196047E-2</v>
      </c>
    </row>
    <row r="48" spans="1:27" x14ac:dyDescent="0.25">
      <c r="A48" s="32" t="s">
        <v>3</v>
      </c>
      <c r="B48" s="26" t="s">
        <v>3</v>
      </c>
      <c r="C48" s="22" t="s">
        <v>65</v>
      </c>
      <c r="K48" s="42" t="e">
        <f>(#REF!+$I$13)*$F$18</f>
        <v>#REF!</v>
      </c>
      <c r="L48" s="40">
        <v>0</v>
      </c>
      <c r="M48" s="27" t="e">
        <f>L48*(1-#REF!)</f>
        <v>#REF!</v>
      </c>
      <c r="N48" s="27">
        <f t="shared" si="5"/>
        <v>0</v>
      </c>
      <c r="O48" s="29" t="e">
        <f t="shared" si="2"/>
        <v>#REF!</v>
      </c>
      <c r="P48" s="43"/>
      <c r="Q48" s="42" t="e">
        <f>#REF!</f>
        <v>#REF!</v>
      </c>
      <c r="R48" s="40">
        <v>0</v>
      </c>
      <c r="S48" s="27">
        <f t="shared" si="3"/>
        <v>0</v>
      </c>
      <c r="T48" s="44">
        <v>0</v>
      </c>
      <c r="U48" s="31" t="e">
        <f t="shared" si="4"/>
        <v>#REF!</v>
      </c>
      <c r="W48" s="40">
        <v>2.0254519141196047E-2</v>
      </c>
      <c r="X48" s="40">
        <v>0</v>
      </c>
      <c r="Y48" s="27">
        <f t="shared" si="6"/>
        <v>0</v>
      </c>
      <c r="Z48" s="44">
        <v>0</v>
      </c>
      <c r="AA48" s="31">
        <f t="shared" si="1"/>
        <v>2.0254519141196047E-2</v>
      </c>
    </row>
    <row r="49" spans="1:27" x14ac:dyDescent="0.25">
      <c r="A49" s="32" t="s">
        <v>57</v>
      </c>
      <c r="B49" s="26" t="s">
        <v>57</v>
      </c>
      <c r="K49" s="42" t="e">
        <f>(#REF!+$I$13)*$F$18</f>
        <v>#REF!</v>
      </c>
      <c r="L49" s="40">
        <v>0</v>
      </c>
      <c r="M49" s="27" t="e">
        <f>L49*(1-#REF!)</f>
        <v>#REF!</v>
      </c>
      <c r="N49" s="27">
        <f t="shared" si="5"/>
        <v>0</v>
      </c>
      <c r="O49" s="29" t="e">
        <f t="shared" si="2"/>
        <v>#REF!</v>
      </c>
      <c r="P49" s="45"/>
      <c r="Q49" s="42" t="e">
        <f>#REF!</f>
        <v>#REF!</v>
      </c>
      <c r="R49" s="40">
        <v>0</v>
      </c>
      <c r="S49" s="27">
        <f t="shared" si="3"/>
        <v>0</v>
      </c>
      <c r="T49" s="46">
        <v>0</v>
      </c>
      <c r="U49" s="31" t="e">
        <f t="shared" si="4"/>
        <v>#REF!</v>
      </c>
      <c r="W49" s="40">
        <v>2.0254519141196047E-2</v>
      </c>
      <c r="X49" s="40">
        <v>0</v>
      </c>
      <c r="Y49" s="27">
        <f t="shared" si="6"/>
        <v>0</v>
      </c>
      <c r="Z49" s="46">
        <v>0</v>
      </c>
      <c r="AA49" s="31">
        <f t="shared" si="1"/>
        <v>2.0254519141196047E-2</v>
      </c>
    </row>
    <row r="50" spans="1:27" x14ac:dyDescent="0.25">
      <c r="A50" s="32" t="s">
        <v>6</v>
      </c>
      <c r="B50" s="26" t="s">
        <v>6</v>
      </c>
      <c r="K50" s="42" t="e">
        <f>(#REF!+$I$13)*$F$18</f>
        <v>#REF!</v>
      </c>
      <c r="L50" s="40">
        <v>0</v>
      </c>
      <c r="M50" s="27" t="e">
        <f>L50*(1-#REF!)</f>
        <v>#REF!</v>
      </c>
      <c r="N50" s="27">
        <f t="shared" si="5"/>
        <v>0</v>
      </c>
      <c r="O50" s="29" t="e">
        <f t="shared" si="2"/>
        <v>#REF!</v>
      </c>
      <c r="P50" s="45"/>
      <c r="Q50" s="42" t="e">
        <f>#REF!</f>
        <v>#REF!</v>
      </c>
      <c r="R50" s="40">
        <v>0</v>
      </c>
      <c r="S50" s="27">
        <f t="shared" si="3"/>
        <v>0</v>
      </c>
      <c r="T50" s="46">
        <v>0</v>
      </c>
      <c r="U50" s="31" t="e">
        <f t="shared" si="4"/>
        <v>#REF!</v>
      </c>
      <c r="W50" s="40">
        <v>2.0254519141196047E-2</v>
      </c>
      <c r="X50" s="40">
        <v>0</v>
      </c>
      <c r="Y50" s="27">
        <f t="shared" si="6"/>
        <v>0</v>
      </c>
      <c r="Z50" s="46">
        <v>0</v>
      </c>
      <c r="AA50" s="31">
        <f t="shared" si="1"/>
        <v>2.0254519141196047E-2</v>
      </c>
    </row>
    <row r="51" spans="1:27" x14ac:dyDescent="0.25">
      <c r="A51" s="25" t="s">
        <v>60</v>
      </c>
      <c r="B51" s="26" t="s">
        <v>60</v>
      </c>
      <c r="K51" s="42" t="e">
        <f>(#REF!+$I$13)*$F$18</f>
        <v>#REF!</v>
      </c>
      <c r="L51" s="40">
        <v>0</v>
      </c>
      <c r="M51" s="27" t="e">
        <f>L51*(1-#REF!)</f>
        <v>#REF!</v>
      </c>
      <c r="N51" s="27">
        <f t="shared" si="5"/>
        <v>0</v>
      </c>
      <c r="O51" s="29" t="e">
        <f t="shared" si="2"/>
        <v>#REF!</v>
      </c>
      <c r="P51" s="45"/>
      <c r="Q51" s="42" t="e">
        <f>#REF!</f>
        <v>#REF!</v>
      </c>
      <c r="R51" s="40">
        <v>0</v>
      </c>
      <c r="S51" s="27">
        <f t="shared" si="3"/>
        <v>0</v>
      </c>
      <c r="T51" s="46">
        <v>0</v>
      </c>
      <c r="U51" s="31" t="e">
        <f t="shared" si="4"/>
        <v>#REF!</v>
      </c>
      <c r="W51" s="40">
        <v>2.0254519141196047E-2</v>
      </c>
      <c r="X51" s="40">
        <v>0</v>
      </c>
      <c r="Y51" s="27">
        <f t="shared" si="6"/>
        <v>0</v>
      </c>
      <c r="Z51" s="46">
        <v>0</v>
      </c>
      <c r="AA51" s="31">
        <f t="shared" si="1"/>
        <v>2.0254519141196047E-2</v>
      </c>
    </row>
    <row r="52" spans="1:27" x14ac:dyDescent="0.25">
      <c r="A52" s="32" t="s">
        <v>4</v>
      </c>
      <c r="B52" s="26" t="s">
        <v>4</v>
      </c>
      <c r="K52" s="42" t="e">
        <f>(#REF!+$I$13)*$F$18</f>
        <v>#REF!</v>
      </c>
      <c r="L52" s="40">
        <v>0</v>
      </c>
      <c r="M52" s="27" t="e">
        <f>L52*(1-#REF!)</f>
        <v>#REF!</v>
      </c>
      <c r="N52" s="27">
        <f t="shared" si="5"/>
        <v>0</v>
      </c>
      <c r="O52" s="29" t="e">
        <f t="shared" si="2"/>
        <v>#REF!</v>
      </c>
      <c r="P52" s="45"/>
      <c r="Q52" s="42" t="e">
        <f>#REF!</f>
        <v>#REF!</v>
      </c>
      <c r="R52" s="40">
        <v>0</v>
      </c>
      <c r="S52" s="27">
        <f t="shared" si="3"/>
        <v>0</v>
      </c>
      <c r="T52" s="46">
        <v>0</v>
      </c>
      <c r="U52" s="31" t="e">
        <f t="shared" si="4"/>
        <v>#REF!</v>
      </c>
      <c r="W52" s="40">
        <v>2.0254519141196047E-2</v>
      </c>
      <c r="X52" s="40">
        <v>0</v>
      </c>
      <c r="Y52" s="27">
        <f t="shared" si="6"/>
        <v>0</v>
      </c>
      <c r="Z52" s="46">
        <v>0</v>
      </c>
      <c r="AA52" s="31">
        <f t="shared" si="1"/>
        <v>2.0254519141196047E-2</v>
      </c>
    </row>
    <row r="53" spans="1:27" x14ac:dyDescent="0.25">
      <c r="A53" s="32" t="s">
        <v>62</v>
      </c>
      <c r="B53" s="26" t="s">
        <v>62</v>
      </c>
      <c r="K53" s="42" t="e">
        <f>(#REF!+$I$13)*$F$18</f>
        <v>#REF!</v>
      </c>
      <c r="L53" s="28">
        <v>0</v>
      </c>
      <c r="M53" s="27" t="e">
        <f>L53*(1-#REF!)</f>
        <v>#REF!</v>
      </c>
      <c r="N53" s="27">
        <f t="shared" si="5"/>
        <v>-8.1295848500533341E-2</v>
      </c>
      <c r="O53" s="29" t="e">
        <f t="shared" si="2"/>
        <v>#REF!</v>
      </c>
      <c r="P53" s="45"/>
      <c r="Q53" s="42" t="e">
        <f>#REF!</f>
        <v>#REF!</v>
      </c>
      <c r="R53" s="28">
        <v>0</v>
      </c>
      <c r="S53" s="27">
        <f t="shared" si="3"/>
        <v>0</v>
      </c>
      <c r="T53" s="47">
        <v>-8.1295848500533341E-2</v>
      </c>
      <c r="U53" s="31" t="e">
        <f t="shared" si="4"/>
        <v>#REF!</v>
      </c>
      <c r="W53" s="40">
        <v>2.0254519141196047E-2</v>
      </c>
      <c r="X53" s="28">
        <v>0</v>
      </c>
      <c r="Y53" s="27">
        <f t="shared" si="6"/>
        <v>0</v>
      </c>
      <c r="Z53" s="47">
        <v>-8.1295848500533341E-2</v>
      </c>
      <c r="AA53" s="31">
        <f t="shared" si="1"/>
        <v>-6.1041329359337294E-2</v>
      </c>
    </row>
    <row r="54" spans="1:27" x14ac:dyDescent="0.25">
      <c r="A54" s="32" t="s">
        <v>63</v>
      </c>
      <c r="B54" s="26" t="s">
        <v>63</v>
      </c>
      <c r="K54" s="42" t="e">
        <f>(#REF!+$I$13)*$F$18</f>
        <v>#REF!</v>
      </c>
      <c r="L54" s="40">
        <v>0</v>
      </c>
      <c r="M54" s="27" t="e">
        <f>L54*(1-#REF!)</f>
        <v>#REF!</v>
      </c>
      <c r="N54" s="27">
        <f t="shared" si="5"/>
        <v>0</v>
      </c>
      <c r="O54" s="29" t="e">
        <f t="shared" si="2"/>
        <v>#REF!</v>
      </c>
      <c r="P54" s="45"/>
      <c r="Q54" s="42" t="e">
        <f>#REF!</f>
        <v>#REF!</v>
      </c>
      <c r="R54" s="40">
        <v>0</v>
      </c>
      <c r="S54" s="27">
        <f t="shared" si="3"/>
        <v>0</v>
      </c>
      <c r="T54" s="46">
        <v>0</v>
      </c>
      <c r="U54" s="31" t="e">
        <f t="shared" si="4"/>
        <v>#REF!</v>
      </c>
      <c r="W54" s="40">
        <v>2.0254519141196047E-2</v>
      </c>
      <c r="X54" s="40">
        <v>0</v>
      </c>
      <c r="Y54" s="27">
        <f t="shared" si="6"/>
        <v>0</v>
      </c>
      <c r="Z54" s="46">
        <v>0</v>
      </c>
      <c r="AA54" s="31">
        <f t="shared" si="1"/>
        <v>2.0254519141196047E-2</v>
      </c>
    </row>
    <row r="55" spans="1:27" x14ac:dyDescent="0.25">
      <c r="A55" s="32" t="s">
        <v>64</v>
      </c>
      <c r="B55" s="26" t="s">
        <v>64</v>
      </c>
      <c r="K55" s="42" t="e">
        <f>(#REF!+$I$13)*$F$18</f>
        <v>#REF!</v>
      </c>
      <c r="L55" s="40">
        <v>0</v>
      </c>
      <c r="M55" s="27" t="e">
        <f>L55*(1-#REF!)</f>
        <v>#REF!</v>
      </c>
      <c r="N55" s="27">
        <f t="shared" si="5"/>
        <v>0</v>
      </c>
      <c r="O55" s="29" t="e">
        <f t="shared" si="2"/>
        <v>#REF!</v>
      </c>
      <c r="P55" s="45"/>
      <c r="Q55" s="42" t="e">
        <f>#REF!</f>
        <v>#REF!</v>
      </c>
      <c r="R55" s="40">
        <v>0</v>
      </c>
      <c r="S55" s="27">
        <f t="shared" si="3"/>
        <v>0</v>
      </c>
      <c r="T55" s="46">
        <v>0</v>
      </c>
      <c r="U55" s="31" t="e">
        <f t="shared" si="4"/>
        <v>#REF!</v>
      </c>
      <c r="W55" s="40">
        <v>2.0254519141196047E-2</v>
      </c>
      <c r="X55" s="40">
        <v>0</v>
      </c>
      <c r="Y55" s="27">
        <f t="shared" si="6"/>
        <v>0</v>
      </c>
      <c r="Z55" s="46">
        <v>0</v>
      </c>
      <c r="AA55" s="31">
        <f t="shared" si="1"/>
        <v>2.0254519141196047E-2</v>
      </c>
    </row>
    <row r="56" spans="1:27" x14ac:dyDescent="0.25">
      <c r="A56" s="48" t="s">
        <v>65</v>
      </c>
      <c r="B56" s="26" t="s">
        <v>65</v>
      </c>
      <c r="K56" s="42" t="e">
        <f>(#REF!+$I$13)*$F$18</f>
        <v>#REF!</v>
      </c>
      <c r="L56" s="28">
        <v>0.16329325320000032</v>
      </c>
      <c r="M56" s="27" t="e">
        <f>L56*(1-#REF!)</f>
        <v>#REF!</v>
      </c>
      <c r="N56" s="27">
        <f t="shared" si="5"/>
        <v>-1.0428088586299999</v>
      </c>
      <c r="O56" s="29" t="e">
        <f t="shared" si="2"/>
        <v>#REF!</v>
      </c>
      <c r="P56" s="45"/>
      <c r="Q56" s="42" t="e">
        <f>#REF!</f>
        <v>#REF!</v>
      </c>
      <c r="R56" s="28">
        <v>0.16329325320000032</v>
      </c>
      <c r="S56" s="27">
        <f t="shared" si="3"/>
        <v>4.082331330000008E-2</v>
      </c>
      <c r="T56" s="47">
        <v>-1.0428088586299999</v>
      </c>
      <c r="U56" s="31" t="e">
        <f t="shared" si="4"/>
        <v>#REF!</v>
      </c>
      <c r="W56" s="40">
        <v>2.0254519141196047E-2</v>
      </c>
      <c r="X56" s="28">
        <v>0.16329325320000032</v>
      </c>
      <c r="Y56" s="27">
        <f t="shared" si="6"/>
        <v>4.082331330000008E-2</v>
      </c>
      <c r="Z56" s="47">
        <v>-1.0428088586299999</v>
      </c>
      <c r="AA56" s="31">
        <f t="shared" si="1"/>
        <v>-0.98173102618880381</v>
      </c>
    </row>
    <row r="57" spans="1:27" x14ac:dyDescent="0.25">
      <c r="A57" s="49"/>
      <c r="B57" s="26" t="s">
        <v>66</v>
      </c>
      <c r="K57" s="42" t="e">
        <f>(#REF!+$I$13)*$F$18</f>
        <v>#REF!</v>
      </c>
      <c r="L57" s="40">
        <v>0</v>
      </c>
      <c r="M57" s="27" t="e">
        <f>L57*(1-#REF!)</f>
        <v>#REF!</v>
      </c>
      <c r="N57" s="27">
        <f t="shared" si="5"/>
        <v>0</v>
      </c>
      <c r="O57" s="29" t="e">
        <f t="shared" si="2"/>
        <v>#REF!</v>
      </c>
      <c r="P57" s="45"/>
      <c r="Q57" s="42" t="e">
        <f>#REF!</f>
        <v>#REF!</v>
      </c>
      <c r="R57" s="40">
        <v>0</v>
      </c>
      <c r="S57" s="27">
        <f t="shared" si="3"/>
        <v>0</v>
      </c>
      <c r="T57" s="46">
        <v>0</v>
      </c>
      <c r="U57" s="31" t="e">
        <f t="shared" si="4"/>
        <v>#REF!</v>
      </c>
      <c r="W57" s="40">
        <v>2.0254519141196047E-2</v>
      </c>
      <c r="X57" s="40">
        <v>0</v>
      </c>
      <c r="Y57" s="27">
        <f t="shared" si="6"/>
        <v>0</v>
      </c>
      <c r="Z57" s="46">
        <v>0</v>
      </c>
      <c r="AA57" s="31">
        <f t="shared" si="1"/>
        <v>2.0254519141196047E-2</v>
      </c>
    </row>
    <row r="58" spans="1:27" x14ac:dyDescent="0.25">
      <c r="A58" s="50"/>
      <c r="B58" s="26" t="s">
        <v>67</v>
      </c>
      <c r="K58" s="42" t="e">
        <f>(#REF!+$I$13)*$F$18</f>
        <v>#REF!</v>
      </c>
      <c r="L58" s="40">
        <v>0</v>
      </c>
      <c r="M58" s="27" t="e">
        <f>L58*(1-#REF!)</f>
        <v>#REF!</v>
      </c>
      <c r="N58" s="27">
        <f t="shared" si="5"/>
        <v>-1.66286962842</v>
      </c>
      <c r="O58" s="29" t="e">
        <f t="shared" si="2"/>
        <v>#REF!</v>
      </c>
      <c r="P58" s="45"/>
      <c r="Q58" s="42" t="e">
        <f>#REF!</f>
        <v>#REF!</v>
      </c>
      <c r="R58" s="40">
        <v>0</v>
      </c>
      <c r="S58" s="27">
        <f t="shared" si="3"/>
        <v>0</v>
      </c>
      <c r="T58" s="47">
        <v>-1.66286962842</v>
      </c>
      <c r="U58" s="31" t="e">
        <f t="shared" si="4"/>
        <v>#REF!</v>
      </c>
      <c r="W58" s="40">
        <v>2.0254519141196047E-2</v>
      </c>
      <c r="X58" s="40">
        <v>0</v>
      </c>
      <c r="Y58" s="27">
        <f t="shared" si="6"/>
        <v>0</v>
      </c>
      <c r="Z58" s="47">
        <v>-1.66286962842</v>
      </c>
      <c r="AA58" s="31">
        <f t="shared" si="1"/>
        <v>-1.6426151092788039</v>
      </c>
    </row>
    <row r="59" spans="1:27" x14ac:dyDescent="0.25">
      <c r="A59" s="50"/>
      <c r="B59" s="26" t="s">
        <v>68</v>
      </c>
      <c r="K59" s="42" t="e">
        <f>(#REF!+$I$13)*$F$18</f>
        <v>#REF!</v>
      </c>
      <c r="L59" s="40">
        <v>0</v>
      </c>
      <c r="M59" s="27" t="e">
        <f>L59*(1-#REF!)</f>
        <v>#REF!</v>
      </c>
      <c r="N59" s="27">
        <f t="shared" si="5"/>
        <v>0</v>
      </c>
      <c r="O59" s="29" t="e">
        <f t="shared" si="2"/>
        <v>#REF!</v>
      </c>
      <c r="P59" s="45"/>
      <c r="Q59" s="42" t="e">
        <f>#REF!</f>
        <v>#REF!</v>
      </c>
      <c r="R59" s="40">
        <v>0</v>
      </c>
      <c r="S59" s="27">
        <f t="shared" si="3"/>
        <v>0</v>
      </c>
      <c r="T59" s="46">
        <v>0</v>
      </c>
      <c r="U59" s="31" t="e">
        <f t="shared" si="4"/>
        <v>#REF!</v>
      </c>
      <c r="W59" s="40">
        <v>2.0254519141196047E-2</v>
      </c>
      <c r="X59" s="40">
        <v>0</v>
      </c>
      <c r="Y59" s="27">
        <f t="shared" si="6"/>
        <v>0</v>
      </c>
      <c r="Z59" s="46">
        <v>0</v>
      </c>
      <c r="AA59" s="31">
        <f t="shared" si="1"/>
        <v>2.0254519141196047E-2</v>
      </c>
    </row>
    <row r="60" spans="1:27" x14ac:dyDescent="0.25">
      <c r="A60" s="49"/>
      <c r="B60" s="26" t="s">
        <v>69</v>
      </c>
      <c r="K60" s="42" t="e">
        <f>(#REF!+$I$13)*$F$18</f>
        <v>#REF!</v>
      </c>
      <c r="L60" s="40">
        <v>0</v>
      </c>
      <c r="M60" s="27" t="e">
        <f>L60*(1-#REF!)</f>
        <v>#REF!</v>
      </c>
      <c r="N60" s="27">
        <f t="shared" si="5"/>
        <v>0</v>
      </c>
      <c r="O60" s="29" t="e">
        <f t="shared" si="2"/>
        <v>#REF!</v>
      </c>
      <c r="P60" s="45"/>
      <c r="Q60" s="42" t="e">
        <f>#REF!</f>
        <v>#REF!</v>
      </c>
      <c r="R60" s="40">
        <v>0</v>
      </c>
      <c r="S60" s="27">
        <f t="shared" si="3"/>
        <v>0</v>
      </c>
      <c r="T60" s="46">
        <v>0</v>
      </c>
      <c r="U60" s="31" t="e">
        <f t="shared" si="4"/>
        <v>#REF!</v>
      </c>
      <c r="W60" s="40">
        <v>2.0254519141196047E-2</v>
      </c>
      <c r="X60" s="40">
        <v>0</v>
      </c>
      <c r="Y60" s="27">
        <f t="shared" si="6"/>
        <v>0</v>
      </c>
      <c r="Z60" s="46">
        <v>0</v>
      </c>
      <c r="AA60" s="31">
        <f t="shared" si="1"/>
        <v>2.0254519141196047E-2</v>
      </c>
    </row>
    <row r="61" spans="1:27" x14ac:dyDescent="0.25">
      <c r="A61" s="49"/>
      <c r="B61" s="26" t="s">
        <v>70</v>
      </c>
      <c r="K61" s="42" t="e">
        <f>(#REF!+$I$13)*$F$18</f>
        <v>#REF!</v>
      </c>
      <c r="L61" s="40">
        <v>0</v>
      </c>
      <c r="M61" s="27" t="e">
        <f>L61*(1-#REF!)</f>
        <v>#REF!</v>
      </c>
      <c r="N61" s="27">
        <f t="shared" si="5"/>
        <v>0</v>
      </c>
      <c r="O61" s="29" t="e">
        <f t="shared" si="2"/>
        <v>#REF!</v>
      </c>
      <c r="P61" s="45"/>
      <c r="Q61" s="42" t="e">
        <f>#REF!</f>
        <v>#REF!</v>
      </c>
      <c r="R61" s="40">
        <v>0</v>
      </c>
      <c r="S61" s="27">
        <f t="shared" si="3"/>
        <v>0</v>
      </c>
      <c r="T61" s="46">
        <v>0</v>
      </c>
      <c r="U61" s="31" t="e">
        <f t="shared" si="4"/>
        <v>#REF!</v>
      </c>
      <c r="W61" s="40">
        <v>2.0254519141196047E-2</v>
      </c>
      <c r="X61" s="40">
        <v>0</v>
      </c>
      <c r="Y61" s="27">
        <f t="shared" si="6"/>
        <v>0</v>
      </c>
      <c r="Z61" s="46">
        <v>0</v>
      </c>
      <c r="AA61" s="31">
        <f t="shared" si="1"/>
        <v>2.0254519141196047E-2</v>
      </c>
    </row>
    <row r="62" spans="1:27" ht="15.75" thickBot="1" x14ac:dyDescent="0.3">
      <c r="A62" s="51"/>
      <c r="B62" s="26" t="s">
        <v>71</v>
      </c>
      <c r="K62" s="42" t="e">
        <f>(#REF!+$I$13)*$F$18</f>
        <v>#REF!</v>
      </c>
      <c r="L62" s="40">
        <v>0</v>
      </c>
      <c r="M62" s="27" t="e">
        <f>L62*(1-#REF!)</f>
        <v>#REF!</v>
      </c>
      <c r="N62" s="27">
        <f t="shared" si="5"/>
        <v>0</v>
      </c>
      <c r="O62" s="29" t="e">
        <f t="shared" si="2"/>
        <v>#REF!</v>
      </c>
      <c r="P62" s="45"/>
      <c r="Q62" s="42" t="e">
        <f>#REF!</f>
        <v>#REF!</v>
      </c>
      <c r="R62" s="40">
        <v>0</v>
      </c>
      <c r="S62" s="27">
        <f t="shared" si="3"/>
        <v>0</v>
      </c>
      <c r="T62" s="46">
        <v>0</v>
      </c>
      <c r="U62" s="31" t="e">
        <f t="shared" si="4"/>
        <v>#REF!</v>
      </c>
      <c r="W62" s="40">
        <v>2.0254519141196047E-2</v>
      </c>
      <c r="X62" s="40">
        <v>0</v>
      </c>
      <c r="Y62" s="27">
        <f t="shared" si="6"/>
        <v>0</v>
      </c>
      <c r="Z62" s="46">
        <v>0</v>
      </c>
      <c r="AA62" s="31">
        <f t="shared" si="1"/>
        <v>2.0254519141196047E-2</v>
      </c>
    </row>
    <row r="63" spans="1:27" x14ac:dyDescent="0.25">
      <c r="K63" s="38"/>
      <c r="L63" s="38"/>
      <c r="M63" s="29"/>
      <c r="N63" s="38"/>
      <c r="O63" s="38"/>
      <c r="P63" s="45"/>
      <c r="Q63" s="38"/>
      <c r="R63" s="38"/>
      <c r="S63" s="38"/>
      <c r="T63" s="38"/>
      <c r="U63" s="38"/>
      <c r="W63" s="38"/>
      <c r="X63" s="38"/>
      <c r="Y63" s="38"/>
      <c r="Z63" s="38"/>
      <c r="AA63" s="38"/>
    </row>
    <row r="65" spans="3:8" x14ac:dyDescent="0.25">
      <c r="C65" t="s">
        <v>72</v>
      </c>
    </row>
    <row r="66" spans="3:8" x14ac:dyDescent="0.25">
      <c r="C66" t="s">
        <v>73</v>
      </c>
    </row>
    <row r="67" spans="3:8" x14ac:dyDescent="0.25">
      <c r="C67" t="s">
        <v>74</v>
      </c>
    </row>
    <row r="71" spans="3:8" ht="15.75" x14ac:dyDescent="0.25">
      <c r="C71" s="39" t="s">
        <v>75</v>
      </c>
      <c r="D71" s="75"/>
      <c r="E71" t="s">
        <v>76</v>
      </c>
      <c r="G71" t="s">
        <v>77</v>
      </c>
    </row>
    <row r="72" spans="3:8" ht="15.75" x14ac:dyDescent="0.25">
      <c r="C72" s="39" t="s">
        <v>78</v>
      </c>
      <c r="D72" t="s">
        <v>79</v>
      </c>
      <c r="E72" s="52">
        <v>2651.4313844231006</v>
      </c>
      <c r="F72" s="53" t="s">
        <v>80</v>
      </c>
      <c r="G72" t="e">
        <f>#REF!*E72/1000000</f>
        <v>#REF!</v>
      </c>
      <c r="H72" t="s">
        <v>81</v>
      </c>
    </row>
    <row r="73" spans="3:8" ht="15.75" x14ac:dyDescent="0.25">
      <c r="C73" s="39" t="s">
        <v>82</v>
      </c>
      <c r="D73" t="s">
        <v>79</v>
      </c>
      <c r="E73" s="54">
        <f>E72*0.43</f>
        <v>1140.1154953019332</v>
      </c>
      <c r="F73" s="53" t="s">
        <v>80</v>
      </c>
      <c r="G73" t="e">
        <f>#REF!*E73/1000000</f>
        <v>#REF!</v>
      </c>
      <c r="H73" t="s">
        <v>81</v>
      </c>
    </row>
    <row r="74" spans="3:8" ht="15.75" x14ac:dyDescent="0.25">
      <c r="C74" s="39" t="s">
        <v>83</v>
      </c>
      <c r="D74" t="s">
        <v>79</v>
      </c>
      <c r="E74">
        <f>[2]!efgasoline05</f>
        <v>2316.7587808637468</v>
      </c>
      <c r="F74" s="53" t="s">
        <v>80</v>
      </c>
      <c r="G74" t="e">
        <f>#REF!*E74/1000000</f>
        <v>#REF!</v>
      </c>
      <c r="H74" t="s">
        <v>81</v>
      </c>
    </row>
    <row r="75" spans="3:8" x14ac:dyDescent="0.25">
      <c r="G75" s="2" t="e">
        <f>SUM(G72:G74)</f>
        <v>#REF!</v>
      </c>
      <c r="H75" s="2" t="s">
        <v>81</v>
      </c>
    </row>
    <row r="77" spans="3:8" ht="15.75" x14ac:dyDescent="0.25">
      <c r="C77" s="39" t="s">
        <v>84</v>
      </c>
    </row>
    <row r="79" spans="3:8" x14ac:dyDescent="0.25">
      <c r="C79" t="s">
        <v>85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WARM emissions</vt:lpstr>
      <vt:lpstr>WARM categorized waste</vt:lpstr>
      <vt:lpstr>WasteEFs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Harmon</dc:creator>
  <cp:lastModifiedBy>Brian Harmon</cp:lastModifiedBy>
  <dcterms:created xsi:type="dcterms:W3CDTF">2017-06-06T20:55:59Z</dcterms:created>
  <dcterms:modified xsi:type="dcterms:W3CDTF">2017-06-26T20:32:24Z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603603f5-e850-4893-b979-75d1977b96c1</vt:lpwstr>
  </property>
</Properties>
</file>