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9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59.xml" ContentType="application/vnd.openxmlformats-officedocument.spreadsheetml.revisionLog+xml"/>
  <Override PartName="/xl/revisions/revisionLog170.xml" ContentType="application/vnd.openxmlformats-officedocument.spreadsheetml.revisionLog+xml"/>
  <Override PartName="/xl/revisions/revisionLog191.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149.xml" ContentType="application/vnd.openxmlformats-officedocument.spreadsheetml.revisionLog+xml"/>
  <Override PartName="/xl/revisions/revisionLog5.xml" ContentType="application/vnd.openxmlformats-officedocument.spreadsheetml.revisionLog+xml"/>
  <Override PartName="/xl/revisions/revisionLog95.xml" ContentType="application/vnd.openxmlformats-officedocument.spreadsheetml.revisionLog+xml"/>
  <Override PartName="/xl/revisions/revisionLog160.xml" ContentType="application/vnd.openxmlformats-officedocument.spreadsheetml.revisionLog+xml"/>
  <Override PartName="/xl/revisions/revisionLog181.xml" ContentType="application/vnd.openxmlformats-officedocument.spreadsheetml.revisionLog+xml"/>
  <Override PartName="/xl/revisions/revisionLog22.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85.xml" ContentType="application/vnd.openxmlformats-officedocument.spreadsheetml.revisionLog+xml"/>
  <Override PartName="/xl/revisions/revisionLog150.xml" ContentType="application/vnd.openxmlformats-officedocument.spreadsheetml.revisionLog+xml"/>
  <Override PartName="/xl/revisions/revisionLog171.xml" ContentType="application/vnd.openxmlformats-officedocument.spreadsheetml.revisionLog+xml"/>
  <Override PartName="/xl/revisions/revisionLog12.xml" ContentType="application/vnd.openxmlformats-officedocument.spreadsheetml.revisionLog+xml"/>
  <Override PartName="/xl/revisions/revisionLog33.xml" ContentType="application/vnd.openxmlformats-officedocument.spreadsheetml.revisionLog+xml"/>
  <Override PartName="/xl/revisions/revisionLog108.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61.xml" ContentType="application/vnd.openxmlformats-officedocument.spreadsheetml.revisionLog+xml"/>
  <Override PartName="/xl/revisions/revisionLog182.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51.xml" ContentType="application/vnd.openxmlformats-officedocument.spreadsheetml.revisionLog+xml"/>
  <Override PartName="/xl/revisions/revisionLog172.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6.xml" ContentType="application/vnd.openxmlformats-officedocument.spreadsheetml.revisionLog+xml"/>
  <Override PartName="/xl/revisions/revisionLog167.xml" ContentType="application/vnd.openxmlformats-officedocument.spreadsheetml.revisionLog+xml"/>
  <Override PartName="/xl/revisions/revisionLog188.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162.xml" ContentType="application/vnd.openxmlformats-officedocument.spreadsheetml.revisionLog+xml"/>
  <Override PartName="/xl/revisions/revisionLog183.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157.xml" ContentType="application/vnd.openxmlformats-officedocument.spreadsheetml.revisionLog+xml"/>
  <Override PartName="/xl/revisions/revisionLog178.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52.xml" ContentType="application/vnd.openxmlformats-officedocument.spreadsheetml.revisionLog+xml"/>
  <Override PartName="/xl/revisions/revisionLog173.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168.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163.xml" ContentType="application/vnd.openxmlformats-officedocument.spreadsheetml.revisionLog+xml"/>
  <Override PartName="/xl/revisions/revisionLog184.xml" ContentType="application/vnd.openxmlformats-officedocument.spreadsheetml.revisionLog+xml"/>
  <Override PartName="/xl/revisions/revisionLog189.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58.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3.xml" ContentType="application/vnd.openxmlformats-officedocument.spreadsheetml.revisionLog+xml"/>
  <Override PartName="/xl/revisions/revisionLog174.xml" ContentType="application/vnd.openxmlformats-officedocument.spreadsheetml.revisionLog+xml"/>
  <Override PartName="/xl/revisions/revisionLog179.xml" ContentType="application/vnd.openxmlformats-officedocument.spreadsheetml.revisionLog+xml"/>
  <Override PartName="/xl/revisions/revisionLog190.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48.xml" ContentType="application/vnd.openxmlformats-officedocument.spreadsheetml.revisionLog+xml"/>
  <Override PartName="/xl/revisions/revisionLog164.xml" ContentType="application/vnd.openxmlformats-officedocument.spreadsheetml.revisionLog+xml"/>
  <Override PartName="/xl/revisions/revisionLog169.xml" ContentType="application/vnd.openxmlformats-officedocument.spreadsheetml.revisionLog+xml"/>
  <Override PartName="/xl/revisions/revisionLog18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80.xml" ContentType="application/vnd.openxmlformats-officedocument.spreadsheetml.revisionLog+xml"/>
  <Override PartName="/xl/revisions/revisionLog2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54.xml" ContentType="application/vnd.openxmlformats-officedocument.spreadsheetml.revisionLog+xml"/>
  <Override PartName="/xl/revisions/revisionLog175.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Override PartName="/xl/revisions/revisionLog90.xml" ContentType="application/vnd.openxmlformats-officedocument.spreadsheetml.revisionLog+xml"/>
  <Override PartName="/xl/revisions/revisionLog165.xml" ContentType="application/vnd.openxmlformats-officedocument.spreadsheetml.revisionLog+xml"/>
  <Override PartName="/xl/revisions/revisionLog186.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80.xml" ContentType="application/vnd.openxmlformats-officedocument.spreadsheetml.revisionLog+xml"/>
  <Override PartName="/xl/revisions/revisionLog155.xml" ContentType="application/vnd.openxmlformats-officedocument.spreadsheetml.revisionLog+xml"/>
  <Override PartName="/xl/revisions/revisionLog176.xml" ContentType="application/vnd.openxmlformats-officedocument.spreadsheetml.revisionLog+xml"/>
  <Override PartName="/xl/revisions/revisionLog17.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24.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45.xml" ContentType="application/vnd.openxmlformats-officedocument.spreadsheetml.revisionLog+xml"/>
  <Override PartName="/xl/revisions/revisionLog166.xml" ContentType="application/vnd.openxmlformats-officedocument.spreadsheetml.revisionLog+xml"/>
  <Override PartName="/xl/revisions/revisionLog187.xml" ContentType="application/vnd.openxmlformats-officedocument.spreadsheetml.revisionLog+xml"/>
  <Override PartName="/xl/revisions/revisionLog1.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35.xml" ContentType="application/vnd.openxmlformats-officedocument.spreadsheetml.revisionLog+xml"/>
  <Override PartName="/xl/revisions/revisionLog156.xml" ContentType="application/vnd.openxmlformats-officedocument.spreadsheetml.revisionLog+xml"/>
  <Override PartName="/xl/revisions/revisionLog17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autoCompressPictures="0"/>
  <mc:AlternateContent xmlns:mc="http://schemas.openxmlformats.org/markup-compatibility/2006">
    <mc:Choice Requires="x15">
      <x15ac:absPath xmlns:x15ac="http://schemas.microsoft.com/office/spreadsheetml/2010/11/ac" url="C:\Users\bharmon\Dropbox (Cascadia)\KC 2015 GHG Inventory\KC_2015_GHGInventory\"/>
    </mc:Choice>
  </mc:AlternateContent>
  <bookViews>
    <workbookView xWindow="0" yWindow="0" windowWidth="19200" windowHeight="6720" firstSheet="13" activeTab="16"/>
  </bookViews>
  <sheets>
    <sheet name="03-08_ReportTbl" sheetId="1" state="hidden" r:id="rId1"/>
    <sheet name="03-08_SectorTbl" sheetId="2" state="hidden" r:id="rId2"/>
    <sheet name="10_Trk_FW" sheetId="3" state="hidden" r:id="rId3"/>
    <sheet name="frontmatter" sheetId="4" r:id="rId4"/>
    <sheet name="revs" sheetId="5" state="hidden" r:id="rId5"/>
    <sheet name="USGPC_Scope" sheetId="6" r:id="rId6"/>
    <sheet name="Summary_RptTbls" sheetId="7" r:id="rId7"/>
    <sheet name="QC Tracker" sheetId="8" r:id="rId8"/>
    <sheet name="Electricity" sheetId="9" r:id="rId9"/>
    <sheet name="Res-Heat &amp; Hot Water" sheetId="10" r:id="rId10"/>
    <sheet name="Commercial- Heat &amp; Hot Water" sheetId="11" r:id="rId11"/>
    <sheet name="Commercial- Equip" sheetId="12" r:id="rId12"/>
    <sheet name="Res- Garden &amp; Rec" sheetId="13" r:id="rId13"/>
    <sheet name="Ind- Operations" sheetId="14" r:id="rId14"/>
    <sheet name="Ind- Process" sheetId="15" r:id="rId15"/>
    <sheet name="Ind- Small Equip" sheetId="16" r:id="rId16"/>
    <sheet name="Ind- Fug. Gases" sheetId="17" r:id="rId17"/>
    <sheet name="Trans- Road" sheetId="18" r:id="rId18"/>
    <sheet name="Trans- Marine" sheetId="19" r:id="rId19"/>
    <sheet name="Trans-Rail" sheetId="20" r:id="rId20"/>
    <sheet name="Trans- Air" sheetId="21" state="hidden" r:id="rId21"/>
    <sheet name="Waste- Management" sheetId="22" r:id="rId22"/>
    <sheet name="Waste- Landfills" sheetId="23" r:id="rId23"/>
    <sheet name="Water-Potable" sheetId="24" r:id="rId24"/>
    <sheet name="Water-Waste" sheetId="25" r:id="rId25"/>
    <sheet name="Agr" sheetId="26" r:id="rId26"/>
    <sheet name="Land_Use" sheetId="27" r:id="rId27"/>
    <sheet name="Emission Factors" sheetId="28" r:id="rId28"/>
    <sheet name="Emission Factors-mobile" sheetId="29" r:id="rId29"/>
    <sheet name="ref" sheetId="30" r:id="rId30"/>
    <sheet name="units" sheetId="31" r:id="rId31"/>
  </sheets>
  <definedNames>
    <definedName name="___pop05">ref!$C$106</definedName>
    <definedName name="__pop08">ref!$C$107</definedName>
    <definedName name="_2009">'Emission Factors'!$B$51</definedName>
    <definedName name="_xlnm._FilterDatabase" localSheetId="6" hidden="1">Summary_RptTbls!$A$5:$A$42</definedName>
    <definedName name="_xlnm._FilterDatabase" localSheetId="5" hidden="1">USGPC_Scope!$A$4:$D$55</definedName>
    <definedName name="_pop90">ref!$C$103</definedName>
    <definedName name="acreftTOgal">units!$D$65</definedName>
    <definedName name="acreftTOm3">units!$D$66</definedName>
    <definedName name="acreinTOgal">units!$D$67</definedName>
    <definedName name="acreTOft2">units!$D$45</definedName>
    <definedName name="acreTOha">units!$D$46</definedName>
    <definedName name="acreTOkm2">units!$D$47</definedName>
    <definedName name="acreTOm2">units!$D$48</definedName>
    <definedName name="acreTOmi2">units!$D$49</definedName>
    <definedName name="airArfraction">ref!$C$61</definedName>
    <definedName name="airCO2fraction">ref!$C$62</definedName>
    <definedName name="airN2fraction">ref!$C$59</definedName>
    <definedName name="airO2fraction">ref!$C$60</definedName>
    <definedName name="airotherfraction">ref!$C$63</definedName>
    <definedName name="atmTObar">units!$D$91</definedName>
    <definedName name="atmTOpsi">units!$D$92</definedName>
    <definedName name="barTOPa">units!$D$93</definedName>
    <definedName name="barTOpsi">units!$D$94</definedName>
    <definedName name="bblTOgal">units!$D$68</definedName>
    <definedName name="bblTOL">units!$D$69</definedName>
    <definedName name="Btu.ft3TOMJ.m3">units!$D$196</definedName>
    <definedName name="Btu.hphTOmmBtu.MWh">units!$D$164</definedName>
    <definedName name="Btu.lbTOMJ.kg">units!$D$187</definedName>
    <definedName name="Btu.lbTOmmBtu.ton">units!$D$188</definedName>
    <definedName name="BtuTOcal">units!$D$98</definedName>
    <definedName name="BtuTOJ">units!$D$99</definedName>
    <definedName name="BtuTOkJ">units!$D$100</definedName>
    <definedName name="BtuTOkWh">units!$D$101</definedName>
    <definedName name="BtuTOMJ">units!$D$102</definedName>
    <definedName name="BtuTOWh">units!$D$103</definedName>
    <definedName name="calTOBtu">units!$D$104</definedName>
    <definedName name="calTOJ">units!$D$105</definedName>
    <definedName name="CH4.C">ref!$C$6</definedName>
    <definedName name="cmpIndKC14">ref!$C$138</definedName>
    <definedName name="cmpIndKC15">ref!$C$138</definedName>
    <definedName name="cmTOin">units!$D$6</definedName>
    <definedName name="CO2.C">ref!$C$4</definedName>
    <definedName name="CO2perCH4">ref!$C$5</definedName>
    <definedName name="cruisecalls05">ref!$C$94</definedName>
    <definedName name="cruisecalls08">ref!$C$95</definedName>
    <definedName name="dayTOmin">units!$D$30</definedName>
    <definedName name="dayTOyr">units!$D$31</definedName>
    <definedName name="densityC3H8">ref!$C$41</definedName>
    <definedName name="densityC3H8at60degF">ref!$C$50</definedName>
    <definedName name="densityCH4">ref!$C$42</definedName>
    <definedName name="densityCH4at60degF">ref!$C$51</definedName>
    <definedName name="densityCO">ref!$C$43</definedName>
    <definedName name="densityCO2">ref!$C$44</definedName>
    <definedName name="densityCO2at60degF">ref!$C$53</definedName>
    <definedName name="densityCOat60degF">ref!$C$52</definedName>
    <definedName name="densityN2O">ref!$C$45</definedName>
    <definedName name="densityN2Oat60degF">ref!$C$54</definedName>
    <definedName name="densityNO2">ref!$C$46</definedName>
    <definedName name="densityNO2at60degF">ref!$C$55</definedName>
    <definedName name="densitySO2">ref!$C$47</definedName>
    <definedName name="densitySO2at60degF">ref!$C$56</definedName>
    <definedName name="efavgas">'Emission Factors'!$C$143</definedName>
    <definedName name="efCNG">#REF!</definedName>
    <definedName name="efCNGmobile">'Emission Factors'!$C$113</definedName>
    <definedName name="efcoal">'Emission Factors'!$C$149</definedName>
    <definedName name="efdistillate">'Emission Factors'!$C$87</definedName>
    <definedName name="efdistillate.res.ch4">#REF!</definedName>
    <definedName name="effgasoline90">'Emission Factors'!$C$80</definedName>
    <definedName name="efgas">'Emission Factors'!#REF!</definedName>
    <definedName name="efgas.com.ch4">'Emission Factors'!#REF!</definedName>
    <definedName name="efgas.com.n2o">'Emission Factors'!#REF!</definedName>
    <definedName name="efgas.res.ch4">'Emission Factors'!$E$114</definedName>
    <definedName name="efgas.res.n2o">'Emission Factors'!$E$115</definedName>
    <definedName name="efgas2">'Emission Factors'!#REF!</definedName>
    <definedName name="efgasoline00">'Emission Factors'!$C$60</definedName>
    <definedName name="efgasoline01">'Emission Factors'!$C$59</definedName>
    <definedName name="efgasoline02">'Emission Factors'!$C$58</definedName>
    <definedName name="efgasoline03">'Emission Factors'!$C$57</definedName>
    <definedName name="efgasoline04">'Emission Factors'!$C$56</definedName>
    <definedName name="efgasoline05">'Emission Factors'!$C$55</definedName>
    <definedName name="efgasoline06">'Emission Factors'!$C$54</definedName>
    <definedName name="efgasoline07">'Emission Factors'!$C$53</definedName>
    <definedName name="efgasoline08">'Emission Factors'!$C$52</definedName>
    <definedName name="efgasoline09">'Emission Factors'!$C$51</definedName>
    <definedName name="efgasoline10">'Emission Factors'!$C$50</definedName>
    <definedName name="efgasoline11">'Emission Factors'!$C$49</definedName>
    <definedName name="efgasoline12">'Emission Factors'!$C$48</definedName>
    <definedName name="efgasoline13">'Emission Factors'!$C$47</definedName>
    <definedName name="efgasoline14">'Emission Factors'!$C$46</definedName>
    <definedName name="efgasoline15">'Emission Factors'!$C$45</definedName>
    <definedName name="efgasoline90">'Emission Factors'!$C$61</definedName>
    <definedName name="efgavgas">'Emission Factors'!$C$144</definedName>
    <definedName name="efgdistillate">'Emission Factors'!$C$88</definedName>
    <definedName name="efgdistillate.com.ch4">'Emission Factors'!$E$91</definedName>
    <definedName name="efgdistillate.com.n2o">'Emission Factors'!$E$92</definedName>
    <definedName name="efgdistillate.ind.ch4">'Emission Factors'!$E$93</definedName>
    <definedName name="efgdistillate.ind.n2o">'Emission Factors'!$E$94</definedName>
    <definedName name="efgdistillate.res.ch4">'Emission Factors'!$E$89</definedName>
    <definedName name="efgdistillate.res.n2o">'Emission Factors'!$E$90</definedName>
    <definedName name="efggas">#REF!</definedName>
    <definedName name="efggasoline0">'Emission Factors'!$C$78</definedName>
    <definedName name="efggasoline1">'Emission Factors'!$C$77</definedName>
    <definedName name="efggasoline10">'Emission Factors'!$C$68</definedName>
    <definedName name="efggasoline11">'Emission Factors'!$C$67</definedName>
    <definedName name="efggasoline12">'Emission Factors'!$C$66</definedName>
    <definedName name="efggasoline13">'Emission Factors'!$C$65</definedName>
    <definedName name="efggasoline14">'Emission Factors'!$C$64</definedName>
    <definedName name="efggasoline15">'Emission Factors'!$C$63</definedName>
    <definedName name="efggasoline2">'Emission Factors'!$C$76</definedName>
    <definedName name="efggasoline3">'Emission Factors'!$C$75</definedName>
    <definedName name="efggasoline4">'Emission Factors'!$C$74</definedName>
    <definedName name="efggasoline5">'Emission Factors'!$C$73</definedName>
    <definedName name="efggasoline6">'Emission Factors'!$C$72</definedName>
    <definedName name="efggasoline7">'Emission Factors'!$C$71</definedName>
    <definedName name="efggasoline8">'Emission Factors'!$C$70</definedName>
    <definedName name="efggasoline9">'Emission Factors'!$C$69</definedName>
    <definedName name="efggasoline95">'Emission Factors'!$C$79</definedName>
    <definedName name="efgjetfuel">'Emission Factors'!$C$137</definedName>
    <definedName name="efgLPG">'Emission Factors'!$C$123</definedName>
    <definedName name="efgresidual">'Emission Factors'!$C$102</definedName>
    <definedName name="efgresidual.com.ch4">'Emission Factors'!$E$105</definedName>
    <definedName name="efgresidual.com.n2o">'Emission Factors'!$E$106</definedName>
    <definedName name="efgresidual.ind.ch4">'Emission Factors'!$E$107</definedName>
    <definedName name="efgresidual.ind.n2o">'Emission Factors'!$E$108</definedName>
    <definedName name="efgresidual.res.ch4">'Emission Factors'!$E$103</definedName>
    <definedName name="efgresidual.res.n2o">'Emission Factors'!$E$104</definedName>
    <definedName name="efjetfuel">'Emission Factors'!$C$136</definedName>
    <definedName name="efLPG">'Emission Factors'!$C$122</definedName>
    <definedName name="efresidual">'Emission Factors'!$C$101</definedName>
    <definedName name="efTDF">'Emission Factors'!$C$152</definedName>
    <definedName name="efTDF_previous">'Emission Factors'!$C$151</definedName>
    <definedName name="EJTOTWh">units!$D$106</definedName>
    <definedName name="empCom04">ref!$C$110</definedName>
    <definedName name="empCom08">ref!$C$112</definedName>
    <definedName name="empComKC03">ref!$C$132</definedName>
    <definedName name="empComKC08">ref!$C$134</definedName>
    <definedName name="empComKC10">ref!$C$136</definedName>
    <definedName name="empComKC14">ref!$C$139</definedName>
    <definedName name="empComKC15">ref!$C$139</definedName>
    <definedName name="empComUS08">ref!#REF!</definedName>
    <definedName name="empComWA03">ref!$C$141</definedName>
    <definedName name="empComWA08">ref!$C$143</definedName>
    <definedName name="empComWA10">ref!$C$145</definedName>
    <definedName name="empComWA14">ref!$C$147</definedName>
    <definedName name="empComWA15">ref!$C$147</definedName>
    <definedName name="empInd04">ref!$C$111</definedName>
    <definedName name="empInd08">ref!$C$113</definedName>
    <definedName name="empIndKC03">ref!$C$133</definedName>
    <definedName name="empIndKC08">ref!$C$135</definedName>
    <definedName name="empIndKC10">ref!$C$137</definedName>
    <definedName name="empIndWA03">ref!$C$142</definedName>
    <definedName name="empIndWA08">ref!$C$144</definedName>
    <definedName name="empIndWA10">ref!$C$146</definedName>
    <definedName name="empIndWA14">ref!$C$148</definedName>
    <definedName name="empIndWA15">ref!$C$148</definedName>
    <definedName name="F.C">ref!$C$11</definedName>
    <definedName name="freezeC">ref!$C$13</definedName>
    <definedName name="freezeF">ref!$C$12</definedName>
    <definedName name="ft2TOm2">units!$D$50</definedName>
    <definedName name="ft2TOyd2">units!$D$51</definedName>
    <definedName name="ft3TOgal">units!$D$70</definedName>
    <definedName name="ft3TOL">units!$D$71</definedName>
    <definedName name="ft3TOm3">units!$D$72</definedName>
    <definedName name="ftTOm">units!$D$7</definedName>
    <definedName name="g.hphTOlb.MWh">units!$D$172</definedName>
    <definedName name="g.kWhTOlb.MWh">units!$D$173</definedName>
    <definedName name="galTOacreft">units!$D$73</definedName>
    <definedName name="galTOacrein">units!$D$74</definedName>
    <definedName name="galTObbl">units!$D$75</definedName>
    <definedName name="galTOL">units!$D$76</definedName>
    <definedName name="galTOliter">units!$D$76</definedName>
    <definedName name="galTOm3">units!$D$77</definedName>
    <definedName name="gasconstant">ref!$C$32</definedName>
    <definedName name="ggeTOMJ">units!$D$107</definedName>
    <definedName name="GJ.hrTOMW">units!$D$146</definedName>
    <definedName name="GJTOmmBtu">units!$D$109</definedName>
    <definedName name="GJTOMWh">units!$D$108</definedName>
    <definedName name="GJTOtherm">units!$D$110</definedName>
    <definedName name="gpmTOliter.s">units!$D$159</definedName>
    <definedName name="gTOlb">units!$D$15</definedName>
    <definedName name="GWPCH4">ref!$C$66</definedName>
    <definedName name="GWPHFC125">ref!$C$70</definedName>
    <definedName name="GWPHFC134a">ref!$C$71</definedName>
    <definedName name="GWPHFC143a">ref!$C$72</definedName>
    <definedName name="GWPHFC152a">ref!$C$73</definedName>
    <definedName name="GWPHFC227ea">ref!$C$74</definedName>
    <definedName name="GWPHFC23">ref!$C$68</definedName>
    <definedName name="GWPHFC236fa">ref!$C$75</definedName>
    <definedName name="GWPHFC245ca">ref!$C$76</definedName>
    <definedName name="GWPHFC32">ref!$C$69</definedName>
    <definedName name="GWPN2O">ref!$C$67</definedName>
    <definedName name="GWPPFC116">ref!$C$77</definedName>
    <definedName name="GWPPFC218">ref!$C$78</definedName>
    <definedName name="GWPPFC410">ref!$C$79</definedName>
    <definedName name="GWPSF6">ref!$C$80</definedName>
    <definedName name="GWTOkW">units!$D$147</definedName>
    <definedName name="GWTOquad.yr">units!$D$148</definedName>
    <definedName name="GWTOTWh.yr">units!$D$149</definedName>
    <definedName name="H2.H2O">ref!$C$8</definedName>
    <definedName name="haTOacre">units!$D$52</definedName>
    <definedName name="haTOkm2">units!$D$53</definedName>
    <definedName name="HHVavgas">'Emission Factors'!$C$140</definedName>
    <definedName name="HHVcoal">'Emission Factors'!$C$146</definedName>
    <definedName name="HHVdistillate">'Emission Factors'!$C$84</definedName>
    <definedName name="HHVgas">'Emission Factors'!$C$111</definedName>
    <definedName name="HHVgasoline">'Emission Factors'!$C$6</definedName>
    <definedName name="HHVjetfuel">'Emission Factors'!$C$133</definedName>
    <definedName name="HHVLPG">'Emission Factors'!$C$119</definedName>
    <definedName name="HHVresidual">'Emission Factors'!$C$98</definedName>
    <definedName name="hpTOkW">units!$D$150</definedName>
    <definedName name="hrTOday">units!$D$32</definedName>
    <definedName name="hrTOs">units!$D$33</definedName>
    <definedName name="hrTOyr">units!$D$34</definedName>
    <definedName name="inTOcm">units!$D$8</definedName>
    <definedName name="inTOmm">units!$D$9</definedName>
    <definedName name="ISO5024volume">ref!$C$37</definedName>
    <definedName name="JTOBtu">units!$D$111</definedName>
    <definedName name="JTOcal">units!$D$112</definedName>
    <definedName name="JTOWh">units!$D$113</definedName>
    <definedName name="K0degC">ref!$C$33</definedName>
    <definedName name="K15degC">ref!$C$34</definedName>
    <definedName name="K60degF">ref!$C$35</definedName>
    <definedName name="kcalTOMJ">units!$D$114</definedName>
    <definedName name="kg.GJTOlb.MWh">units!$D$174</definedName>
    <definedName name="kgTOg">units!$D$16</definedName>
    <definedName name="kgTOlb">units!$D$17</definedName>
    <definedName name="kJ.kWhTOmmBtu.MWh">units!$D$165</definedName>
    <definedName name="kJTOBtu">units!$D$115</definedName>
    <definedName name="km.lTOmi.gal">units!$D$200</definedName>
    <definedName name="km2TOacre">units!$D$54</definedName>
    <definedName name="km2TOm2">units!$D$55</definedName>
    <definedName name="km2TOmi2">units!$D$56</definedName>
    <definedName name="kmTOmi">units!$D$10</definedName>
    <definedName name="kWh.tonTOMJ.kg">units!$D$189</definedName>
    <definedName name="kWhTOBtu">units!$D$116</definedName>
    <definedName name="kWhTOMJ">units!$D$117</definedName>
    <definedName name="kWTOhp">units!$D$151</definedName>
    <definedName name="L.sTOgpm">units!$D$160</definedName>
    <definedName name="lb.mmBtuTOMg.mmBtu">units!$D$175</definedName>
    <definedName name="lb.mmBtuTOng.J">units!$D$176</definedName>
    <definedName name="lb.mmBtuTOTg.quad">units!$D$177</definedName>
    <definedName name="lb.MWhTOg.hph">units!$D$178</definedName>
    <definedName name="lb.MWhTOg.kWh">units!$D$179</definedName>
    <definedName name="lb.MWhTOkg.GJ">units!$D$180</definedName>
    <definedName name="lb.MWhTOton.GWh">units!$D$181</definedName>
    <definedName name="lbTOg">units!$D$18</definedName>
    <definedName name="lbTOkg">units!$D$19</definedName>
    <definedName name="lbTOMg">units!$D$20</definedName>
    <definedName name="lbTON">units!$D$88</definedName>
    <definedName name="lbTOoz">units!$D$23</definedName>
    <definedName name="lbTOton">units!$D$21</definedName>
    <definedName name="LTOft3">units!$D$78</definedName>
    <definedName name="LTOgal">units!$D$79</definedName>
    <definedName name="LTOm3">units!$D$80</definedName>
    <definedName name="m2TOacre">units!$D$57</definedName>
    <definedName name="m2TOft2">units!$D$58</definedName>
    <definedName name="m2TOkm2">units!$D$59</definedName>
    <definedName name="m3.dayTOgpm">units!$D$161</definedName>
    <definedName name="m3TOacreft">units!$D$81</definedName>
    <definedName name="m3TOft3">units!$D$82</definedName>
    <definedName name="m3TOgal">units!$D$83</definedName>
    <definedName name="m3TOliter">units!$D$84</definedName>
    <definedName name="massC">ref!$C$16</definedName>
    <definedName name="massC3H8">ref!$C$23</definedName>
    <definedName name="massCH4">ref!$C$24</definedName>
    <definedName name="massCO">ref!$C$25</definedName>
    <definedName name="massCO2">ref!$C$26</definedName>
    <definedName name="massH">ref!$C$17</definedName>
    <definedName name="massN">ref!$C$18</definedName>
    <definedName name="massN2O">ref!$C$27</definedName>
    <definedName name="massNO2">ref!$C$28</definedName>
    <definedName name="massO">ref!$C$19</definedName>
    <definedName name="massS">ref!$C$20</definedName>
    <definedName name="massSO2">ref!$C$29</definedName>
    <definedName name="Mg.hayrTOton.acreyr">units!$D$203</definedName>
    <definedName name="MgTOton">units!$D$22</definedName>
    <definedName name="mi2TOacre">units!$D$60</definedName>
    <definedName name="mi2TOkm2">units!$D$62</definedName>
    <definedName name="minTOday">units!$D$35</definedName>
    <definedName name="miTOkm">units!$D$11</definedName>
    <definedName name="MJ.hrTOkW">units!$D$152</definedName>
    <definedName name="MJ.kgTOBtu.lb">units!$D$190</definedName>
    <definedName name="MJ.kgTOkWh.ton">units!$D$191</definedName>
    <definedName name="MJ.kgTOmmBtu.ton">units!$D$192</definedName>
    <definedName name="MJ.kWhTOmmBtu.MWh">units!$D$166</definedName>
    <definedName name="MJ.m3TOBtu.ft3">units!$D$197</definedName>
    <definedName name="MJTOBtu">units!$D$118</definedName>
    <definedName name="MJTOkcal">units!$D$120</definedName>
    <definedName name="MJTOkWh">units!$D$119</definedName>
    <definedName name="MJTOMWh">units!$D$121</definedName>
    <definedName name="MJTOtherm">units!$D$122</definedName>
    <definedName name="mmBtu.MWhTOBtu.hph">units!$D$167</definedName>
    <definedName name="mmBtu.MWhTOkJ.kWh">units!$D$168</definedName>
    <definedName name="mmBtu.MWhTOMJ.kWh">units!$D$169</definedName>
    <definedName name="mmBtu.tonTOBtu.lb">units!$D$193</definedName>
    <definedName name="mmBtuTOMJ">units!$D$123</definedName>
    <definedName name="mmBtuTOMWh">units!$D$124</definedName>
    <definedName name="mmBtuTOtherm">units!$D$125</definedName>
    <definedName name="mmBtuTOTJ">units!$D$126</definedName>
    <definedName name="mmTOin">units!$D$12</definedName>
    <definedName name="molVol0degC">ref!$C$36</definedName>
    <definedName name="molVol15degC">ref!$C$37</definedName>
    <definedName name="molVol60degF">ref!$C$38</definedName>
    <definedName name="moTOday">units!$D$36</definedName>
    <definedName name="moTOyr">units!$D$37</definedName>
    <definedName name="MtoeTOGWh">units!$D$127</definedName>
    <definedName name="MtoeTOmmBtu">units!$D$128</definedName>
    <definedName name="MtoeTOTJ">units!$D$129</definedName>
    <definedName name="MWhTOGJ">units!$D$130</definedName>
    <definedName name="MWhTOmmBtu">units!$D$131</definedName>
    <definedName name="MWhTOTJ">units!$D$132</definedName>
    <definedName name="MWTOGJ.hr">units!$D$153</definedName>
    <definedName name="MWTOkW">units!$D$154</definedName>
    <definedName name="ng.JTOlb.mmBtu">units!$D$182</definedName>
    <definedName name="ozTOkg">units!$D$24</definedName>
    <definedName name="pop00">ref!$C$104</definedName>
    <definedName name="popKC00">ref!$C$115</definedName>
    <definedName name="popKC01">ref!$C$116</definedName>
    <definedName name="popKC02">ref!$C$117</definedName>
    <definedName name="popKC03">ref!$C$118</definedName>
    <definedName name="popKC04">ref!$C$119</definedName>
    <definedName name="popKC05">ref!$C$120</definedName>
    <definedName name="popKC06">ref!$C$121</definedName>
    <definedName name="popKC07">ref!$C$122</definedName>
    <definedName name="popKC08">ref!$C$123</definedName>
    <definedName name="popKC09">ref!$C$124</definedName>
    <definedName name="popKC10">ref!$C$125</definedName>
    <definedName name="popKC11">ref!$C$126</definedName>
    <definedName name="popKC12">ref!$C$127</definedName>
    <definedName name="popKC13">ref!$C$128</definedName>
    <definedName name="popKC14">ref!$C$129</definedName>
    <definedName name="popKC15">ref!$C$130</definedName>
    <definedName name="popKC90">ref!#REF!</definedName>
    <definedName name="popSea00">ref!$C$104</definedName>
    <definedName name="popSea03">ref!$C$105</definedName>
    <definedName name="popSea05">ref!$C$106</definedName>
    <definedName name="popSea08">ref!$C$107</definedName>
    <definedName name="popSea15">ref!$C$108</definedName>
    <definedName name="popSea2005">ref!$C$106</definedName>
    <definedName name="popSea2008">ref!$C$107</definedName>
    <definedName name="popSea90">ref!$C$103</definedName>
    <definedName name="popUS03">ref!$C$160</definedName>
    <definedName name="popUS04">ref!$C$161</definedName>
    <definedName name="popUS05">ref!$C$162</definedName>
    <definedName name="popUS06">ref!$C$163</definedName>
    <definedName name="popUS07">ref!$C$164</definedName>
    <definedName name="popUS08">ref!$C$165</definedName>
    <definedName name="popUS09">ref!$C$166</definedName>
    <definedName name="popUS15">ref!$C$167</definedName>
    <definedName name="popUS90">ref!#REF!</definedName>
    <definedName name="popWA03">ref!$C$149</definedName>
    <definedName name="popWA07">ref!$C$150</definedName>
    <definedName name="popWA08">ref!$C$151</definedName>
    <definedName name="popWA10">ref!$C$152</definedName>
    <definedName name="popWA11">ref!$C$153</definedName>
    <definedName name="popWA12">ref!$C$154</definedName>
    <definedName name="popWA13">ref!$C$155</definedName>
    <definedName name="popWA14">ref!$C$156</definedName>
    <definedName name="popWA15">ref!$C$157</definedName>
    <definedName name="portcalls05">ref!$C$90</definedName>
    <definedName name="portcalls08">ref!$C$91</definedName>
    <definedName name="portton05">ref!$C$83</definedName>
    <definedName name="portton08">ref!$C$84</definedName>
    <definedName name="psiTOPa">units!$D$95</definedName>
    <definedName name="quad.yrTOGW">units!$D$155</definedName>
    <definedName name="quadTOEJ">units!$D$133</definedName>
    <definedName name="quadTOTWh">units!$D$134</definedName>
    <definedName name="shorepow05">ref!$C$98</definedName>
    <definedName name="shorepow08">ref!$C$99</definedName>
    <definedName name="SO2.S">ref!$C$7</definedName>
    <definedName name="sTOday">units!$D$38</definedName>
    <definedName name="sTOhr">units!$D$39</definedName>
    <definedName name="STPvolume">ref!$C$36</definedName>
    <definedName name="Tg.quadTOlb.mmBtu">units!$D$183</definedName>
    <definedName name="thermTOBtu">units!$D$135</definedName>
    <definedName name="thermTOGJ">units!$D$136</definedName>
    <definedName name="thermTOkWh">units!$D$137</definedName>
    <definedName name="thermTOMJ">units!$D$138</definedName>
    <definedName name="thermTOTJ">units!$D$139</definedName>
    <definedName name="ton.GWhTOlb.MWh">units!$D$184</definedName>
    <definedName name="tonTOkg">units!$D$26</definedName>
    <definedName name="tonTOlb">units!$D$25</definedName>
    <definedName name="tonTOMg">units!$D$27</definedName>
    <definedName name="TWh.yrTOGW">units!$D$156</definedName>
    <definedName name="TWhTOEJ">units!$D$140</definedName>
    <definedName name="TWhTOquad">units!$D$141</definedName>
    <definedName name="WhTOBtu">units!$D$142</definedName>
    <definedName name="WhTOJ">units!$D$143</definedName>
    <definedName name="yd2TOft2">units!$D$61</definedName>
    <definedName name="yd3TOm3">units!$D$85</definedName>
    <definedName name="yrTOday">units!$D$40</definedName>
    <definedName name="yrTOhr">units!$D$41</definedName>
    <definedName name="yrTOmo">units!$D$42</definedName>
    <definedName name="Z_0347A67A_6027_4907_965C_6EA2A8295536_.wvu.Cols" localSheetId="1" hidden="1">'03-08_SectorTbl'!$BD:$BF,'03-08_SectorTbl'!$BO:$BO</definedName>
    <definedName name="Z_0347A67A_6027_4907_965C_6EA2A8295536_.wvu.FilterData" localSheetId="6" hidden="1">Summary_RptTbls!$A$5:$A$42</definedName>
    <definedName name="Z_0347A67A_6027_4907_965C_6EA2A8295536_.wvu.FilterData" localSheetId="5" hidden="1">USGPC_Scope!$A$4:$D$55</definedName>
    <definedName name="Z_0347A67A_6027_4907_965C_6EA2A8295536_.wvu.Rows" localSheetId="1" hidden="1">'03-08_SectorTbl'!$104:$104</definedName>
    <definedName name="Z_0347A67A_6027_4907_965C_6EA2A8295536_.wvu.Rows" localSheetId="3" hidden="1">frontmatter!$20:$20</definedName>
    <definedName name="Z_148807DA_DC7F_48F6_900B_8E648294F675_.wvu.FilterData" localSheetId="6" hidden="1">Summary_RptTbls!$A$5:$A$42</definedName>
    <definedName name="Z_15CC7F3D_99AB_49C1_AC00_E04D3FE3FBC1_.wvu.Cols" localSheetId="1" hidden="1">'03-08_SectorTbl'!$BD:$BF,'03-08_SectorTbl'!$BO:$BO</definedName>
    <definedName name="Z_15CC7F3D_99AB_49C1_AC00_E04D3FE3FBC1_.wvu.FilterData" localSheetId="6" hidden="1">Summary_RptTbls!$A$5:$A$42</definedName>
    <definedName name="Z_15CC7F3D_99AB_49C1_AC00_E04D3FE3FBC1_.wvu.FilterData" localSheetId="5" hidden="1">USGPC_Scope!$A$4:$D$55</definedName>
    <definedName name="Z_15CC7F3D_99AB_49C1_AC00_E04D3FE3FBC1_.wvu.Rows" localSheetId="1" hidden="1">'03-08_SectorTbl'!$104:$104</definedName>
    <definedName name="Z_15CC7F3D_99AB_49C1_AC00_E04D3FE3FBC1_.wvu.Rows" localSheetId="3" hidden="1">frontmatter!$20:$20</definedName>
    <definedName name="Z_4237B1B3_F4A7_4B81_B1DB_AE68C49ABC17_.wvu.FilterData" localSheetId="6" hidden="1">Summary_RptTbls!$A$5:$A$42</definedName>
    <definedName name="Z_9BEC6399_AE85_4D88_8FBA_3674E2F30307_.wvu.Cols" localSheetId="1" hidden="1">'03-08_SectorTbl'!$BD:$BF,'03-08_SectorTbl'!$BO:$BO</definedName>
    <definedName name="Z_9BEC6399_AE85_4D88_8FBA_3674E2F30307_.wvu.FilterData" localSheetId="6" hidden="1">Summary_RptTbls!$A$5:$A$42</definedName>
    <definedName name="Z_9BEC6399_AE85_4D88_8FBA_3674E2F30307_.wvu.FilterData" localSheetId="5" hidden="1">USGPC_Scope!$A$4:$D$55</definedName>
    <definedName name="Z_9BEC6399_AE85_4D88_8FBA_3674E2F30307_.wvu.Rows" localSheetId="1" hidden="1">'03-08_SectorTbl'!$104:$104</definedName>
    <definedName name="Z_9BEC6399_AE85_4D88_8FBA_3674E2F30307_.wvu.Rows" localSheetId="3" hidden="1">frontmatter!$20:$20</definedName>
  </definedNames>
  <calcPr calcId="171027"/>
  <customWorkbookViews>
    <customWorkbookView name="Brian Harmon - Personal View" guid="{9BEC6399-AE85-4D88-8FBA-3674E2F30307}" mergeInterval="0" personalView="1" maximized="1" xWindow="-8" yWindow="-8" windowWidth="1696" windowHeight="1026" activeSheetId="17" showComments="commIndAndComment"/>
    <customWorkbookView name="Kirstin Hervin - Personal View" guid="{0347A67A-6027-4907-965C-6EA2A8295536}" mergeInterval="0" personalView="1" maximized="1" xWindow="-8" yWindow="-8" windowWidth="1936" windowHeight="1056" activeSheetId="23"/>
    <customWorkbookView name="Andrea Martin - Personal View" guid="{15CC7F3D-99AB-49C1-AC00-E04D3FE3FBC1}" autoUpdate="1" mergeInterval="15" personalView="1" maximized="1" xWindow="1912" yWindow="-8" windowWidth="1936" windowHeight="1056" activeSheetId="9"/>
  </customWorkbookViews>
</workbook>
</file>

<file path=xl/calcChain.xml><?xml version="1.0" encoding="utf-8"?>
<calcChain xmlns="http://schemas.openxmlformats.org/spreadsheetml/2006/main">
  <c r="J26" i="17" l="1"/>
  <c r="F26" i="17"/>
  <c r="J23" i="17"/>
  <c r="J24" i="17" s="1"/>
  <c r="F23" i="17"/>
  <c r="F24" i="17" s="1"/>
  <c r="B23" i="17"/>
  <c r="B24" i="17" s="1"/>
  <c r="N94" i="9" l="1"/>
  <c r="B8" i="9" l="1"/>
  <c r="B123" i="9" s="1"/>
  <c r="E123" i="9"/>
  <c r="D123" i="9"/>
  <c r="C123" i="9"/>
  <c r="S35" i="7"/>
  <c r="K81" i="23" l="1"/>
  <c r="E42" i="22" l="1"/>
  <c r="E41" i="22"/>
  <c r="D42" i="22"/>
  <c r="D41" i="22"/>
  <c r="C42" i="22"/>
  <c r="C41" i="22"/>
  <c r="B42" i="22"/>
  <c r="B41" i="22"/>
  <c r="E37" i="22" l="1"/>
  <c r="D37" i="22"/>
  <c r="C37" i="22"/>
  <c r="B37" i="22"/>
  <c r="E122" i="9"/>
  <c r="D122" i="9"/>
  <c r="C122" i="9"/>
  <c r="B122" i="9"/>
  <c r="W26" i="7" l="1"/>
  <c r="W9" i="7"/>
  <c r="B56" i="9" l="1"/>
  <c r="B80" i="9" s="1"/>
  <c r="B81" i="9" s="1"/>
  <c r="B82" i="9" s="1"/>
  <c r="B22" i="9" l="1"/>
  <c r="F92" i="9"/>
  <c r="B21" i="9"/>
  <c r="B42" i="9" l="1"/>
  <c r="B43" i="9" s="1"/>
  <c r="B44" i="9" s="1"/>
  <c r="F8" i="9"/>
  <c r="F39" i="25"/>
  <c r="J40" i="25"/>
  <c r="J39" i="25"/>
  <c r="J38" i="25"/>
  <c r="F40" i="25"/>
  <c r="F38" i="25"/>
  <c r="E27" i="7" l="1"/>
  <c r="B48" i="18"/>
  <c r="B52" i="18" s="1"/>
  <c r="B56" i="18" s="1"/>
  <c r="E25" i="7"/>
  <c r="D30" i="7"/>
  <c r="R50" i="7"/>
  <c r="Q50" i="7"/>
  <c r="P50" i="7"/>
  <c r="O50" i="7"/>
  <c r="K122" i="26" l="1"/>
  <c r="F122" i="26"/>
  <c r="B122" i="26"/>
  <c r="F33" i="22"/>
  <c r="O33" i="22"/>
  <c r="K33" i="22"/>
  <c r="B33" i="22"/>
  <c r="B32" i="22"/>
  <c r="O32" i="22"/>
  <c r="K32" i="22"/>
  <c r="F32" i="22"/>
  <c r="O29" i="22"/>
  <c r="K29" i="22"/>
  <c r="F29" i="22"/>
  <c r="H58" i="20" l="1"/>
  <c r="H57" i="20"/>
  <c r="H49" i="20"/>
  <c r="V48" i="20"/>
  <c r="V45" i="20"/>
  <c r="O48" i="20"/>
  <c r="O45" i="20"/>
  <c r="AC54" i="20"/>
  <c r="O58" i="20"/>
  <c r="O57" i="20"/>
  <c r="AC51" i="20"/>
  <c r="V46" i="20"/>
  <c r="V58" i="20"/>
  <c r="AC58" i="20"/>
  <c r="AC62" i="20" s="1"/>
  <c r="AC49" i="20"/>
  <c r="AC46" i="20"/>
  <c r="O45" i="18"/>
  <c r="O44" i="18"/>
  <c r="O38" i="18"/>
  <c r="O43" i="18" s="1"/>
  <c r="J37" i="18"/>
  <c r="F7" i="27"/>
  <c r="H62" i="20" l="1"/>
  <c r="H51" i="20"/>
  <c r="H52" i="20" s="1"/>
  <c r="H46" i="20"/>
  <c r="V49" i="20"/>
  <c r="O51" i="20"/>
  <c r="O52" i="20" s="1"/>
  <c r="O49" i="20"/>
  <c r="O46" i="20"/>
  <c r="O61" i="20"/>
  <c r="V51" i="20"/>
  <c r="V52" i="20" s="1"/>
  <c r="V62" i="20"/>
  <c r="AC52" i="20"/>
  <c r="O62" i="20" l="1"/>
  <c r="H61" i="20"/>
  <c r="H63" i="20" s="1"/>
  <c r="H64" i="20" s="1"/>
  <c r="H66" i="20" s="1"/>
  <c r="B28" i="7" s="1"/>
  <c r="O63" i="20"/>
  <c r="O64" i="20" s="1"/>
  <c r="O66" i="20" s="1"/>
  <c r="C28" i="7" s="1"/>
  <c r="V10" i="24" l="1"/>
  <c r="V9" i="24"/>
  <c r="R71" i="24"/>
  <c r="J39" i="24"/>
  <c r="B39" i="24"/>
  <c r="N12" i="24"/>
  <c r="F12" i="24"/>
  <c r="N10" i="24"/>
  <c r="B71" i="24"/>
  <c r="J71" i="24" l="1"/>
  <c r="J73" i="24" s="1"/>
  <c r="N9" i="24"/>
  <c r="J22" i="24" s="1"/>
  <c r="F10" i="24"/>
  <c r="F9" i="24"/>
  <c r="B22" i="24" s="1"/>
  <c r="B71" i="18" l="1"/>
  <c r="B70" i="18"/>
  <c r="B73" i="18" s="1"/>
  <c r="B64" i="18"/>
  <c r="B63" i="18"/>
  <c r="O10" i="18"/>
  <c r="J10" i="18"/>
  <c r="F10" i="18"/>
  <c r="B10" i="18"/>
  <c r="B13" i="18" s="1"/>
  <c r="B19" i="18"/>
  <c r="B21" i="18" s="1"/>
  <c r="B22" i="18" s="1"/>
  <c r="B23" i="18" s="1"/>
  <c r="F19" i="18"/>
  <c r="J19" i="18"/>
  <c r="O22" i="18"/>
  <c r="O23" i="18" s="1"/>
  <c r="F21" i="18"/>
  <c r="F22" i="18" s="1"/>
  <c r="F23" i="18" s="1"/>
  <c r="J21" i="18"/>
  <c r="J22" i="18" s="1"/>
  <c r="J23" i="18" s="1"/>
  <c r="F73" i="18"/>
  <c r="C26" i="7" s="1"/>
  <c r="F66" i="18"/>
  <c r="J73" i="18"/>
  <c r="D26" i="7" s="1"/>
  <c r="J66" i="18"/>
  <c r="F14" i="18"/>
  <c r="J14" i="18"/>
  <c r="O14" i="18"/>
  <c r="O73" i="18"/>
  <c r="E26" i="7" s="1"/>
  <c r="O66" i="18"/>
  <c r="B66" i="18" l="1"/>
  <c r="B26" i="7" s="1"/>
  <c r="B12" i="18"/>
  <c r="B14" i="18" s="1"/>
  <c r="F18" i="15" l="1"/>
  <c r="B18" i="15"/>
  <c r="J13" i="24" l="1"/>
  <c r="K112" i="14"/>
  <c r="F112" i="14"/>
  <c r="F15" i="17"/>
  <c r="J15" i="17"/>
  <c r="S36" i="20" l="1"/>
  <c r="B29" i="19" l="1"/>
  <c r="J8" i="9" l="1"/>
  <c r="N8" i="9"/>
  <c r="B8" i="17"/>
  <c r="F8" i="17"/>
  <c r="J8" i="17"/>
  <c r="AC57" i="20" l="1"/>
  <c r="AC61" i="20" s="1"/>
  <c r="AC63" i="20" s="1"/>
  <c r="AC64" i="20" s="1"/>
  <c r="AC66" i="20" s="1"/>
  <c r="E28" i="7" s="1"/>
  <c r="R28" i="7" s="1"/>
  <c r="V57" i="20"/>
  <c r="V61" i="20" s="1"/>
  <c r="V63" i="20" s="1"/>
  <c r="V64" i="20" s="1"/>
  <c r="V66" i="20" s="1"/>
  <c r="D28" i="7" s="1"/>
  <c r="Q28" i="7" s="1"/>
  <c r="O40" i="11"/>
  <c r="O17" i="11"/>
  <c r="B35" i="11" l="1"/>
  <c r="F17" i="11"/>
  <c r="B17" i="11"/>
  <c r="B19" i="11" s="1"/>
  <c r="K77" i="23" l="1"/>
  <c r="K78" i="23" s="1"/>
  <c r="B43" i="23"/>
  <c r="B14" i="23"/>
  <c r="B23" i="23" s="1"/>
  <c r="B46" i="23" l="1"/>
  <c r="K88" i="23"/>
  <c r="E40" i="7" s="1"/>
  <c r="K82" i="23"/>
  <c r="B32" i="23"/>
  <c r="B64" i="9" l="1"/>
  <c r="B60" i="9"/>
  <c r="B61" i="9" s="1"/>
  <c r="B27" i="9"/>
  <c r="B24" i="9"/>
  <c r="B94" i="9" l="1"/>
  <c r="B28" i="9"/>
  <c r="B65" i="9"/>
  <c r="B66" i="9" s="1"/>
  <c r="B102" i="9"/>
  <c r="E30" i="7"/>
  <c r="C30" i="7"/>
  <c r="B30" i="7"/>
  <c r="E11" i="7"/>
  <c r="D11" i="7"/>
  <c r="C11" i="7"/>
  <c r="C11" i="13"/>
  <c r="B11" i="7"/>
  <c r="B27" i="16" l="1"/>
  <c r="F27" i="16"/>
  <c r="J27" i="16"/>
  <c r="N27" i="16"/>
  <c r="N22" i="16"/>
  <c r="J22" i="16"/>
  <c r="F22" i="16"/>
  <c r="B22" i="16"/>
  <c r="N16" i="16"/>
  <c r="J16" i="16"/>
  <c r="F16" i="16"/>
  <c r="B16" i="16"/>
  <c r="N10" i="16"/>
  <c r="J10" i="16"/>
  <c r="F10" i="16"/>
  <c r="B10" i="16"/>
  <c r="J20" i="12"/>
  <c r="J16" i="12"/>
  <c r="D17" i="7" s="1"/>
  <c r="J12" i="12"/>
  <c r="F12" i="12"/>
  <c r="F16" i="12"/>
  <c r="F20" i="12"/>
  <c r="B20" i="12"/>
  <c r="B16" i="12"/>
  <c r="B22" i="12" s="1"/>
  <c r="B12" i="12"/>
  <c r="B8" i="12"/>
  <c r="B15" i="7" s="1"/>
  <c r="F8" i="12"/>
  <c r="J8" i="12"/>
  <c r="D15" i="7" s="1"/>
  <c r="N8" i="12"/>
  <c r="N12" i="12"/>
  <c r="N16" i="12"/>
  <c r="N20" i="12"/>
  <c r="E15" i="7" s="1"/>
  <c r="L18" i="19"/>
  <c r="E18" i="19"/>
  <c r="B19" i="13"/>
  <c r="F19" i="13"/>
  <c r="J19" i="13"/>
  <c r="B15" i="13"/>
  <c r="F15" i="13"/>
  <c r="J15" i="13"/>
  <c r="B11" i="13"/>
  <c r="F11" i="13"/>
  <c r="J11" i="13"/>
  <c r="B21" i="13"/>
  <c r="N19" i="13"/>
  <c r="N15" i="13"/>
  <c r="N11" i="13"/>
  <c r="N21" i="13" s="1"/>
  <c r="B29" i="16" l="1"/>
  <c r="N29" i="16"/>
  <c r="E17" i="7"/>
  <c r="J29" i="16"/>
  <c r="F29" i="16"/>
  <c r="C17" i="7"/>
  <c r="J21" i="13"/>
  <c r="F22" i="12"/>
  <c r="J22" i="12"/>
  <c r="B17" i="7"/>
  <c r="F21" i="13"/>
  <c r="C15" i="7"/>
  <c r="N22" i="12"/>
  <c r="C113" i="28"/>
  <c r="N14" i="10"/>
  <c r="J14" i="10"/>
  <c r="F14" i="10"/>
  <c r="B14" i="10"/>
  <c r="F35" i="11"/>
  <c r="O35" i="11"/>
  <c r="J35" i="11"/>
  <c r="B99" i="14"/>
  <c r="F99" i="14"/>
  <c r="C112" i="28"/>
  <c r="K99" i="14"/>
  <c r="O36" i="11" l="1"/>
  <c r="F100" i="14"/>
  <c r="B36" i="11"/>
  <c r="F15" i="10"/>
  <c r="N15" i="10"/>
  <c r="B100" i="14"/>
  <c r="F36" i="11"/>
  <c r="B15" i="10"/>
  <c r="J36" i="11"/>
  <c r="K100" i="14"/>
  <c r="J15" i="10"/>
  <c r="B15" i="17" l="1"/>
  <c r="E93" i="28" l="1"/>
  <c r="E91" i="28"/>
  <c r="E94" i="28"/>
  <c r="E92" i="28"/>
  <c r="E90" i="28"/>
  <c r="E89" i="28"/>
  <c r="E108" i="28"/>
  <c r="E107" i="28"/>
  <c r="E106" i="28"/>
  <c r="E105" i="28"/>
  <c r="E104" i="28"/>
  <c r="E103" i="28"/>
  <c r="E125" i="28"/>
  <c r="E126" i="28"/>
  <c r="E127" i="28"/>
  <c r="E128" i="28"/>
  <c r="E129" i="28"/>
  <c r="E124" i="28"/>
  <c r="V12" i="16" l="1"/>
  <c r="K108" i="14" l="1"/>
  <c r="F108" i="14"/>
  <c r="B108" i="14"/>
  <c r="B47" i="14"/>
  <c r="F47" i="14"/>
  <c r="S18" i="19" l="1"/>
  <c r="B71" i="19" l="1"/>
  <c r="B66" i="19"/>
  <c r="B63" i="19"/>
  <c r="B73" i="19" s="1"/>
  <c r="B101" i="19"/>
  <c r="I101" i="19"/>
  <c r="I71" i="19"/>
  <c r="I66" i="19"/>
  <c r="I63" i="19"/>
  <c r="I73" i="19" s="1"/>
  <c r="P101" i="19"/>
  <c r="I64" i="19" l="1"/>
  <c r="B64" i="19"/>
  <c r="B65" i="19" s="1"/>
  <c r="B77" i="19" s="1"/>
  <c r="B78" i="19" s="1"/>
  <c r="I102" i="19"/>
  <c r="I104" i="19" s="1"/>
  <c r="I76" i="19"/>
  <c r="I65" i="19"/>
  <c r="I77" i="19" s="1"/>
  <c r="I78" i="19" s="1"/>
  <c r="J11" i="27"/>
  <c r="B102" i="19" l="1"/>
  <c r="B104" i="19" s="1"/>
  <c r="B107" i="19" s="1"/>
  <c r="B76" i="19"/>
  <c r="B103" i="19"/>
  <c r="B105" i="19" s="1"/>
  <c r="B113" i="19" s="1"/>
  <c r="I103" i="19"/>
  <c r="I105" i="19" s="1"/>
  <c r="B19" i="22"/>
  <c r="F18" i="22" l="1"/>
  <c r="K18" i="22"/>
  <c r="J52" i="15" l="1"/>
  <c r="O67" i="29" l="1"/>
  <c r="O57" i="18"/>
  <c r="O30" i="18"/>
  <c r="O54" i="18" s="1"/>
  <c r="O29" i="18"/>
  <c r="O52" i="18" s="1"/>
  <c r="J46" i="15" l="1"/>
  <c r="O19" i="11" l="1"/>
  <c r="O20" i="11" s="1"/>
  <c r="K106" i="14" l="1"/>
  <c r="K109" i="14" s="1"/>
  <c r="K110" i="14" s="1"/>
  <c r="P71" i="19" l="1"/>
  <c r="P63" i="19"/>
  <c r="P73" i="19" s="1"/>
  <c r="P66" i="19"/>
  <c r="B95" i="25" l="1"/>
  <c r="F95" i="25"/>
  <c r="B103" i="25" l="1"/>
  <c r="F103" i="25"/>
  <c r="J103" i="25"/>
  <c r="F16" i="9"/>
  <c r="F15" i="9"/>
  <c r="B15" i="9" s="1"/>
  <c r="B31" i="9" s="1"/>
  <c r="B32" i="9" s="1"/>
  <c r="N69" i="9"/>
  <c r="B82" i="25"/>
  <c r="F82" i="25"/>
  <c r="J69" i="25"/>
  <c r="F66" i="25" s="1"/>
  <c r="N70" i="9" l="1"/>
  <c r="N71" i="9" s="1"/>
  <c r="B33" i="9"/>
  <c r="B34" i="9" s="1"/>
  <c r="J16" i="9"/>
  <c r="J37" i="9" s="1"/>
  <c r="J38" i="9" s="1"/>
  <c r="B16" i="9"/>
  <c r="B37" i="9" s="1"/>
  <c r="B65" i="25"/>
  <c r="B66" i="25"/>
  <c r="F65" i="25"/>
  <c r="B95" i="9" l="1"/>
  <c r="J49" i="25"/>
  <c r="B46" i="25" s="1"/>
  <c r="J15" i="25"/>
  <c r="B55" i="25"/>
  <c r="B60" i="25" s="1"/>
  <c r="F55" i="25"/>
  <c r="F60" i="25" s="1"/>
  <c r="B35" i="25"/>
  <c r="B34" i="25"/>
  <c r="B33" i="25"/>
  <c r="B40" i="25" s="1"/>
  <c r="F35" i="25"/>
  <c r="F34" i="25"/>
  <c r="F33" i="25"/>
  <c r="B21" i="25"/>
  <c r="B20" i="25"/>
  <c r="B19" i="25"/>
  <c r="F21" i="25"/>
  <c r="F20" i="25"/>
  <c r="F19" i="25"/>
  <c r="F26" i="25" s="1"/>
  <c r="B30" i="27"/>
  <c r="B26" i="25" l="1"/>
  <c r="B11" i="25"/>
  <c r="F11" i="25"/>
  <c r="F25" i="25" s="1"/>
  <c r="F46" i="25"/>
  <c r="F59" i="25" s="1"/>
  <c r="B45" i="25"/>
  <c r="B58" i="25" s="1"/>
  <c r="F45" i="25"/>
  <c r="F58" i="25" s="1"/>
  <c r="F9" i="25"/>
  <c r="F24" i="25" s="1"/>
  <c r="B9" i="25"/>
  <c r="B59" i="25"/>
  <c r="F11" i="27"/>
  <c r="B25" i="25" l="1"/>
  <c r="B39" i="25"/>
  <c r="B38" i="25"/>
  <c r="B24" i="25"/>
  <c r="R21" i="24"/>
  <c r="R23" i="24" s="1"/>
  <c r="R33" i="24"/>
  <c r="R35" i="24" s="1"/>
  <c r="R51" i="24" s="1"/>
  <c r="B13" i="24" l="1"/>
  <c r="B38" i="24"/>
  <c r="B26" i="24"/>
  <c r="B27" i="24" s="1"/>
  <c r="J38" i="24"/>
  <c r="J26" i="24"/>
  <c r="J27" i="24" s="1"/>
  <c r="L33" i="20"/>
  <c r="L32" i="20"/>
  <c r="L31" i="20"/>
  <c r="L30" i="20"/>
  <c r="E36" i="20"/>
  <c r="E33" i="20"/>
  <c r="E32" i="20"/>
  <c r="E31" i="20"/>
  <c r="E30" i="20"/>
  <c r="Z30" i="20"/>
  <c r="J41" i="24" l="1"/>
  <c r="E39" i="20"/>
  <c r="E34" i="20"/>
  <c r="E38" i="20" s="1"/>
  <c r="B41" i="24"/>
  <c r="J33" i="24"/>
  <c r="B33" i="24"/>
  <c r="L34" i="20"/>
  <c r="L35" i="20"/>
  <c r="E35" i="20"/>
  <c r="E40" i="20" l="1"/>
  <c r="E41" i="20" s="1"/>
  <c r="B51" i="24"/>
  <c r="B52" i="24" s="1"/>
  <c r="B35" i="24"/>
  <c r="B64" i="24" s="1"/>
  <c r="B65" i="24" s="1"/>
  <c r="J35" i="24"/>
  <c r="J64" i="24" s="1"/>
  <c r="J65" i="24" s="1"/>
  <c r="J51" i="24"/>
  <c r="J52" i="24" s="1"/>
  <c r="J21" i="24"/>
  <c r="J6" i="24"/>
  <c r="B21" i="24"/>
  <c r="J74" i="24" l="1"/>
  <c r="B46" i="24"/>
  <c r="B23" i="24"/>
  <c r="B59" i="24" s="1"/>
  <c r="B73" i="24"/>
  <c r="B74" i="24" s="1"/>
  <c r="B6" i="24"/>
  <c r="J46" i="24"/>
  <c r="J23" i="24"/>
  <c r="J59" i="24" s="1"/>
  <c r="J60" i="24" l="1"/>
  <c r="J67" i="24" s="1"/>
  <c r="B60" i="24"/>
  <c r="B67" i="24" s="1"/>
  <c r="J47" i="24"/>
  <c r="J54" i="24" s="1"/>
  <c r="B47" i="24"/>
  <c r="B54" i="24" s="1"/>
  <c r="B27" i="10"/>
  <c r="F27" i="10"/>
  <c r="F28" i="10" s="1"/>
  <c r="F29" i="10" s="1"/>
  <c r="J27" i="10"/>
  <c r="B43" i="11"/>
  <c r="F43" i="11"/>
  <c r="J43" i="11"/>
  <c r="B76" i="24" l="1"/>
  <c r="B34" i="7" s="1"/>
  <c r="J76" i="24"/>
  <c r="C34" i="7" s="1"/>
  <c r="R6" i="24"/>
  <c r="I30" i="19"/>
  <c r="I31" i="19"/>
  <c r="I32" i="19"/>
  <c r="I29" i="19"/>
  <c r="I44" i="19" l="1"/>
  <c r="I50" i="19" s="1"/>
  <c r="I43" i="19"/>
  <c r="I49" i="19" s="1"/>
  <c r="I42" i="19"/>
  <c r="I48" i="19" s="1"/>
  <c r="I41" i="19"/>
  <c r="I47" i="19" s="1"/>
  <c r="I52" i="19" l="1"/>
  <c r="O43" i="11" l="1"/>
  <c r="J82" i="25" l="1"/>
  <c r="J55" i="25"/>
  <c r="J60" i="25" s="1"/>
  <c r="J35" i="25"/>
  <c r="J34" i="25"/>
  <c r="J33" i="25"/>
  <c r="J21" i="25"/>
  <c r="J20" i="25"/>
  <c r="J19" i="25"/>
  <c r="J24" i="25" l="1"/>
  <c r="J25" i="25"/>
  <c r="J26" i="25"/>
  <c r="J85" i="25"/>
  <c r="F87" i="25"/>
  <c r="F92" i="25" s="1"/>
  <c r="B87" i="25"/>
  <c r="B92" i="25" s="1"/>
  <c r="F86" i="25"/>
  <c r="F91" i="25" s="1"/>
  <c r="J87" i="25"/>
  <c r="B85" i="25"/>
  <c r="B90" i="25" s="1"/>
  <c r="B86" i="25"/>
  <c r="B91" i="25" s="1"/>
  <c r="F85" i="25"/>
  <c r="F90" i="25" s="1"/>
  <c r="J58" i="25"/>
  <c r="J59" i="25"/>
  <c r="J86" i="25"/>
  <c r="J90" i="25" l="1"/>
  <c r="J91" i="25"/>
  <c r="J92" i="25"/>
  <c r="K20" i="22"/>
  <c r="K19" i="22"/>
  <c r="D32" i="7" s="1"/>
  <c r="B3" i="7" l="1"/>
  <c r="Q42" i="7"/>
  <c r="Q41" i="7"/>
  <c r="Q38" i="7"/>
  <c r="Q37" i="7"/>
  <c r="Q35" i="7"/>
  <c r="P34" i="7"/>
  <c r="O34" i="7"/>
  <c r="Q32" i="7"/>
  <c r="Q31" i="7" s="1"/>
  <c r="Q43" i="7"/>
  <c r="Q22" i="7"/>
  <c r="Q21" i="7"/>
  <c r="Q20" i="7"/>
  <c r="Q19" i="7"/>
  <c r="I25" i="7"/>
  <c r="I27" i="7" s="1"/>
  <c r="I20" i="7"/>
  <c r="I13" i="7"/>
  <c r="I15" i="7" s="1"/>
  <c r="I8" i="7"/>
  <c r="I9" i="7" s="1"/>
  <c r="I10" i="7" s="1"/>
  <c r="Q30" i="7"/>
  <c r="Q29" i="7"/>
  <c r="R30" i="7"/>
  <c r="P30" i="7"/>
  <c r="O30" i="7"/>
  <c r="Z44" i="7" l="1"/>
  <c r="Q36" i="7"/>
  <c r="Y36" i="7" s="1"/>
  <c r="Y45" i="7"/>
  <c r="Y47" i="7"/>
  <c r="W30" i="7"/>
  <c r="Y30" i="7"/>
  <c r="Y31" i="7"/>
  <c r="Y44" i="7"/>
  <c r="X44" i="7"/>
  <c r="Y29" i="7"/>
  <c r="Y43" i="7"/>
  <c r="Y21" i="7"/>
  <c r="W34" i="7"/>
  <c r="Y37" i="7"/>
  <c r="Y20" i="7"/>
  <c r="X30" i="7"/>
  <c r="W44" i="7"/>
  <c r="Y22" i="7"/>
  <c r="Y32" i="7"/>
  <c r="Y38" i="7"/>
  <c r="X34" i="7"/>
  <c r="Y42" i="7"/>
  <c r="Z30" i="7"/>
  <c r="Y35" i="7"/>
  <c r="Y41" i="7"/>
  <c r="Y19" i="7"/>
  <c r="Y28" i="7"/>
  <c r="I26" i="7"/>
  <c r="I21" i="7"/>
  <c r="I22" i="7" s="1"/>
  <c r="I43" i="7" s="1"/>
  <c r="I14" i="7"/>
  <c r="I17" i="7" s="1"/>
  <c r="I16" i="7" s="1"/>
  <c r="I18" i="7" s="1"/>
  <c r="I11" i="7"/>
  <c r="O41" i="11" l="1"/>
  <c r="O44" i="11" s="1"/>
  <c r="O45" i="11" s="1"/>
  <c r="C100" i="30" l="1"/>
  <c r="I112" i="30" l="1"/>
  <c r="N27" i="10" l="1"/>
  <c r="N28" i="10" s="1"/>
  <c r="N29" i="10" s="1"/>
  <c r="J53" i="15" l="1"/>
  <c r="F52" i="15"/>
  <c r="F53" i="15" s="1"/>
  <c r="B52" i="15"/>
  <c r="B53" i="15" s="1"/>
  <c r="F47" i="15"/>
  <c r="B47" i="15"/>
  <c r="F46" i="15"/>
  <c r="B46" i="15"/>
  <c r="J44" i="15"/>
  <c r="J51" i="15" s="1"/>
  <c r="F44" i="15"/>
  <c r="J41" i="15"/>
  <c r="F41" i="15"/>
  <c r="J24" i="15"/>
  <c r="F24" i="15"/>
  <c r="B24" i="15"/>
  <c r="J23" i="15"/>
  <c r="F23" i="15"/>
  <c r="B23" i="15"/>
  <c r="J18" i="15"/>
  <c r="J17" i="15"/>
  <c r="F17" i="15"/>
  <c r="B17" i="15"/>
  <c r="B24" i="14"/>
  <c r="B29" i="14" s="1"/>
  <c r="B30" i="14" s="1"/>
  <c r="F24" i="14"/>
  <c r="F29" i="14" s="1"/>
  <c r="F30" i="14" s="1"/>
  <c r="K24" i="14"/>
  <c r="K29" i="14" s="1"/>
  <c r="K30" i="14" s="1"/>
  <c r="B26" i="14"/>
  <c r="F26" i="14"/>
  <c r="K26" i="14"/>
  <c r="B38" i="14"/>
  <c r="B39" i="14" s="1"/>
  <c r="F38" i="14"/>
  <c r="F39" i="14" s="1"/>
  <c r="K38" i="14"/>
  <c r="B62" i="14"/>
  <c r="F62" i="14"/>
  <c r="K62" i="14"/>
  <c r="B63" i="14"/>
  <c r="F63" i="14"/>
  <c r="K63" i="14"/>
  <c r="B73" i="14"/>
  <c r="B77" i="14" s="1"/>
  <c r="F77" i="14"/>
  <c r="B78" i="14"/>
  <c r="F78" i="14"/>
  <c r="K78" i="14"/>
  <c r="B106" i="14"/>
  <c r="B109" i="14" s="1"/>
  <c r="B110" i="14" s="1"/>
  <c r="F106" i="14"/>
  <c r="F109" i="14" s="1"/>
  <c r="F110" i="14" s="1"/>
  <c r="Z36" i="20"/>
  <c r="L36" i="20"/>
  <c r="Z33" i="20"/>
  <c r="S33" i="20"/>
  <c r="Z32" i="20"/>
  <c r="S32" i="20"/>
  <c r="Z31" i="20"/>
  <c r="S31" i="20"/>
  <c r="S30" i="20"/>
  <c r="E107" i="19"/>
  <c r="E112" i="19" s="1"/>
  <c r="E102" i="19"/>
  <c r="E103" i="19" s="1"/>
  <c r="E109" i="19" s="1"/>
  <c r="I86" i="19"/>
  <c r="I85" i="19"/>
  <c r="E74" i="19"/>
  <c r="E80" i="19" s="1"/>
  <c r="E69" i="19"/>
  <c r="E68" i="19"/>
  <c r="E64" i="19"/>
  <c r="E65" i="19" s="1"/>
  <c r="E77" i="19" s="1"/>
  <c r="P32" i="19"/>
  <c r="B32" i="19" s="1"/>
  <c r="B44" i="19" s="1"/>
  <c r="B50" i="19" s="1"/>
  <c r="P31" i="19"/>
  <c r="B31" i="19" s="1"/>
  <c r="B43" i="19" s="1"/>
  <c r="B49" i="19" s="1"/>
  <c r="P30" i="19"/>
  <c r="B30" i="19" s="1"/>
  <c r="B42" i="19" s="1"/>
  <c r="B48" i="19" s="1"/>
  <c r="P29" i="19"/>
  <c r="B41" i="19" s="1"/>
  <c r="B47" i="19" s="1"/>
  <c r="N75" i="9"/>
  <c r="J75" i="9"/>
  <c r="F75" i="9"/>
  <c r="B75" i="9"/>
  <c r="B104" i="9" s="1"/>
  <c r="J69" i="9"/>
  <c r="F69" i="9"/>
  <c r="B69" i="9"/>
  <c r="N64" i="9"/>
  <c r="J64" i="9"/>
  <c r="F64" i="9"/>
  <c r="N57" i="9"/>
  <c r="J57" i="9"/>
  <c r="F57" i="9"/>
  <c r="B38" i="9"/>
  <c r="J27" i="9"/>
  <c r="F27" i="9"/>
  <c r="J22" i="9"/>
  <c r="J21" i="9" s="1"/>
  <c r="J42" i="9" s="1"/>
  <c r="J43" i="9" s="1"/>
  <c r="J44" i="9" s="1"/>
  <c r="F22" i="9"/>
  <c r="N18" i="9"/>
  <c r="F37" i="9"/>
  <c r="F38" i="9" s="1"/>
  <c r="J28" i="10"/>
  <c r="B28" i="10"/>
  <c r="B29" i="10" s="1"/>
  <c r="F24" i="9" l="1"/>
  <c r="F21" i="9"/>
  <c r="F42" i="9" s="1"/>
  <c r="F43" i="9" s="1"/>
  <c r="F44" i="9" s="1"/>
  <c r="F28" i="9" s="1"/>
  <c r="F96" i="9"/>
  <c r="F39" i="9"/>
  <c r="F94" i="9"/>
  <c r="J60" i="9"/>
  <c r="J61" i="9" s="1"/>
  <c r="J56" i="9"/>
  <c r="J80" i="9" s="1"/>
  <c r="J81" i="9" s="1"/>
  <c r="J82" i="9" s="1"/>
  <c r="J103" i="9" s="1"/>
  <c r="N65" i="9"/>
  <c r="J94" i="9"/>
  <c r="J28" i="9"/>
  <c r="N60" i="9"/>
  <c r="N61" i="9" s="1"/>
  <c r="N56" i="9"/>
  <c r="N80" i="9" s="1"/>
  <c r="N81" i="9" s="1"/>
  <c r="N82" i="9" s="1"/>
  <c r="N102" i="9" s="1"/>
  <c r="B70" i="9"/>
  <c r="B71" i="9" s="1"/>
  <c r="B72" i="9" s="1"/>
  <c r="B96" i="9"/>
  <c r="B97" i="9" s="1"/>
  <c r="B39" i="9"/>
  <c r="B98" i="9" s="1"/>
  <c r="F70" i="9"/>
  <c r="F71" i="9" s="1"/>
  <c r="J96" i="9"/>
  <c r="F60" i="9"/>
  <c r="F61" i="9" s="1"/>
  <c r="F56" i="9"/>
  <c r="F80" i="9" s="1"/>
  <c r="F81" i="9" s="1"/>
  <c r="F82" i="9" s="1"/>
  <c r="F104" i="9" s="1"/>
  <c r="J70" i="9"/>
  <c r="J71" i="9" s="1"/>
  <c r="J54" i="15"/>
  <c r="Z39" i="20"/>
  <c r="K73" i="14"/>
  <c r="K77" i="14" s="1"/>
  <c r="L39" i="20"/>
  <c r="L38" i="20"/>
  <c r="L40" i="20"/>
  <c r="B10" i="7"/>
  <c r="O10" i="7" s="1"/>
  <c r="W10" i="7" s="1"/>
  <c r="J29" i="10"/>
  <c r="D10" i="7" s="1"/>
  <c r="Q10" i="7" s="1"/>
  <c r="Y10" i="7" s="1"/>
  <c r="I69" i="19"/>
  <c r="I107" i="19" s="1"/>
  <c r="I113" i="19" s="1"/>
  <c r="I115" i="19" s="1"/>
  <c r="P69" i="19"/>
  <c r="K50" i="14"/>
  <c r="K39" i="14"/>
  <c r="B50" i="14"/>
  <c r="F50" i="14"/>
  <c r="B52" i="19"/>
  <c r="B115" i="19" s="1"/>
  <c r="B29" i="7" s="1"/>
  <c r="J48" i="15"/>
  <c r="P43" i="19"/>
  <c r="P49" i="19" s="1"/>
  <c r="P44" i="19"/>
  <c r="P50" i="19" s="1"/>
  <c r="P41" i="19"/>
  <c r="P47" i="19" s="1"/>
  <c r="P42" i="19"/>
  <c r="P48" i="19" s="1"/>
  <c r="E85" i="19"/>
  <c r="B89" i="9"/>
  <c r="F89" i="9"/>
  <c r="J89" i="9"/>
  <c r="J65" i="9"/>
  <c r="J66" i="9" s="1"/>
  <c r="F65" i="9"/>
  <c r="J76" i="9"/>
  <c r="B76" i="9"/>
  <c r="B77" i="9" s="1"/>
  <c r="B88" i="9"/>
  <c r="F54" i="15"/>
  <c r="B64" i="14"/>
  <c r="B20" i="15"/>
  <c r="B26" i="15" s="1"/>
  <c r="B25" i="15"/>
  <c r="F20" i="15"/>
  <c r="F25" i="15"/>
  <c r="J20" i="15"/>
  <c r="J25" i="15"/>
  <c r="B54" i="15"/>
  <c r="F79" i="14"/>
  <c r="F76" i="9"/>
  <c r="N15" i="9"/>
  <c r="N16" i="9" s="1"/>
  <c r="E86" i="19"/>
  <c r="F48" i="15"/>
  <c r="B48" i="15"/>
  <c r="B79" i="14"/>
  <c r="K64" i="14"/>
  <c r="K79" i="14"/>
  <c r="F64" i="14"/>
  <c r="Z34" i="20"/>
  <c r="Z38" i="20" s="1"/>
  <c r="S35" i="20"/>
  <c r="S40" i="20" s="1"/>
  <c r="S34" i="20"/>
  <c r="S38" i="20" s="1"/>
  <c r="Z35" i="20"/>
  <c r="Z40" i="20" s="1"/>
  <c r="S39" i="20"/>
  <c r="E111" i="19"/>
  <c r="I94" i="19"/>
  <c r="E94" i="19"/>
  <c r="E76" i="19"/>
  <c r="E108" i="19"/>
  <c r="N27" i="9"/>
  <c r="N19" i="9"/>
  <c r="N22" i="9" s="1"/>
  <c r="N21" i="9" s="1"/>
  <c r="N42" i="9" s="1"/>
  <c r="J24" i="9"/>
  <c r="J39" i="9" s="1"/>
  <c r="N76" i="9"/>
  <c r="F77" i="9" l="1"/>
  <c r="N104" i="9"/>
  <c r="F102" i="9"/>
  <c r="J102" i="9"/>
  <c r="B106" i="9"/>
  <c r="B111" i="9"/>
  <c r="B117" i="9" s="1"/>
  <c r="B99" i="9"/>
  <c r="J104" i="9"/>
  <c r="B103" i="9"/>
  <c r="B105" i="9" s="1"/>
  <c r="B110" i="9" s="1"/>
  <c r="N77" i="9"/>
  <c r="J77" i="9"/>
  <c r="J72" i="9"/>
  <c r="J106" i="9" s="1"/>
  <c r="F72" i="9"/>
  <c r="N103" i="9"/>
  <c r="N105" i="9" s="1"/>
  <c r="N72" i="9"/>
  <c r="F66" i="9"/>
  <c r="F103" i="9"/>
  <c r="F105" i="9" s="1"/>
  <c r="N66" i="9"/>
  <c r="N106" i="9" s="1"/>
  <c r="F88" i="9"/>
  <c r="Z41" i="20"/>
  <c r="B85" i="9"/>
  <c r="B46" i="9"/>
  <c r="F26" i="15"/>
  <c r="N89" i="9"/>
  <c r="J88" i="9"/>
  <c r="C20" i="7"/>
  <c r="P20" i="7" s="1"/>
  <c r="X20" i="7" s="1"/>
  <c r="J85" i="9"/>
  <c r="J26" i="15"/>
  <c r="S41" i="20"/>
  <c r="O28" i="7"/>
  <c r="W28" i="7" s="1"/>
  <c r="P64" i="19"/>
  <c r="P65" i="19" s="1"/>
  <c r="P77" i="19" s="1"/>
  <c r="P78" i="19" s="1"/>
  <c r="L41" i="20"/>
  <c r="E110" i="19"/>
  <c r="E113" i="19" s="1"/>
  <c r="E93" i="19"/>
  <c r="E95" i="19" s="1"/>
  <c r="I93" i="19"/>
  <c r="I95" i="19" s="1"/>
  <c r="J15" i="9"/>
  <c r="J31" i="9" s="1"/>
  <c r="J32" i="9" s="1"/>
  <c r="F31" i="9"/>
  <c r="F32" i="9" s="1"/>
  <c r="N37" i="9"/>
  <c r="N38" i="9" s="1"/>
  <c r="N31" i="9"/>
  <c r="N32" i="9" s="1"/>
  <c r="N24" i="9"/>
  <c r="N43" i="9"/>
  <c r="N44" i="9" s="1"/>
  <c r="N85" i="9" l="1"/>
  <c r="J105" i="9"/>
  <c r="B107" i="9"/>
  <c r="J33" i="9"/>
  <c r="J34" i="9" s="1"/>
  <c r="J98" i="9" s="1"/>
  <c r="J111" i="9" s="1"/>
  <c r="B118" i="9"/>
  <c r="B112" i="9"/>
  <c r="N33" i="9"/>
  <c r="N95" i="9" s="1"/>
  <c r="N96" i="9"/>
  <c r="F106" i="9"/>
  <c r="F107" i="9" s="1"/>
  <c r="F33" i="9"/>
  <c r="F34" i="9" s="1"/>
  <c r="F98" i="9" s="1"/>
  <c r="N107" i="9"/>
  <c r="J107" i="9"/>
  <c r="N39" i="9"/>
  <c r="N28" i="9"/>
  <c r="N34" i="9"/>
  <c r="B87" i="9"/>
  <c r="C8" i="7"/>
  <c r="P8" i="7" s="1"/>
  <c r="X8" i="7" s="1"/>
  <c r="B8" i="7"/>
  <c r="O8" i="7" s="1"/>
  <c r="B13" i="7"/>
  <c r="O13" i="7" s="1"/>
  <c r="W13" i="7" s="1"/>
  <c r="D8" i="7"/>
  <c r="Q8" i="7" s="1"/>
  <c r="E8" i="7"/>
  <c r="R8" i="7" s="1"/>
  <c r="Z28" i="7"/>
  <c r="P102" i="19"/>
  <c r="P76" i="19"/>
  <c r="F111" i="9" l="1"/>
  <c r="C117" i="9" s="1"/>
  <c r="N88" i="9"/>
  <c r="N98" i="9"/>
  <c r="F95" i="9"/>
  <c r="F97" i="9" s="1"/>
  <c r="F110" i="9" s="1"/>
  <c r="F46" i="9"/>
  <c r="J95" i="9"/>
  <c r="J97" i="9" s="1"/>
  <c r="J110" i="9" s="1"/>
  <c r="D118" i="9" s="1"/>
  <c r="N97" i="9"/>
  <c r="N110" i="9" s="1"/>
  <c r="F85" i="9"/>
  <c r="F87" i="9" s="1"/>
  <c r="J99" i="9"/>
  <c r="J46" i="9"/>
  <c r="J87" i="9" s="1"/>
  <c r="D117" i="9"/>
  <c r="J112" i="9"/>
  <c r="N46" i="9"/>
  <c r="N87" i="9" s="1"/>
  <c r="W8" i="7"/>
  <c r="P104" i="19"/>
  <c r="P107" i="19" s="1"/>
  <c r="D13" i="7"/>
  <c r="Q13" i="7" s="1"/>
  <c r="Y13" i="7" s="1"/>
  <c r="C13" i="7"/>
  <c r="P13" i="7" s="1"/>
  <c r="X13" i="7" s="1"/>
  <c r="B20" i="7"/>
  <c r="O20" i="7" s="1"/>
  <c r="W20" i="7" s="1"/>
  <c r="Y8" i="7"/>
  <c r="Z8" i="7"/>
  <c r="P28" i="7"/>
  <c r="X28" i="7" s="1"/>
  <c r="E20" i="7"/>
  <c r="E13" i="7"/>
  <c r="R13" i="7" s="1"/>
  <c r="Z13" i="7" s="1"/>
  <c r="P103" i="19"/>
  <c r="P105" i="19" s="1"/>
  <c r="E118" i="9" l="1"/>
  <c r="N99" i="9"/>
  <c r="N111" i="9"/>
  <c r="E117" i="9" s="1"/>
  <c r="F112" i="9"/>
  <c r="C118" i="9"/>
  <c r="F99" i="9"/>
  <c r="P113" i="19"/>
  <c r="R20" i="7"/>
  <c r="K170" i="26"/>
  <c r="K171" i="26" s="1"/>
  <c r="F170" i="26"/>
  <c r="F171" i="26" s="1"/>
  <c r="B170" i="26"/>
  <c r="B171" i="26" s="1"/>
  <c r="K125" i="26"/>
  <c r="K129" i="26" s="1"/>
  <c r="J144" i="26" s="1"/>
  <c r="F125" i="26"/>
  <c r="B125" i="26"/>
  <c r="B134" i="26" s="1"/>
  <c r="B149" i="26" s="1"/>
  <c r="K124" i="26"/>
  <c r="F124" i="26"/>
  <c r="B124" i="26"/>
  <c r="K100" i="26"/>
  <c r="F100" i="26"/>
  <c r="B100" i="26"/>
  <c r="K96" i="26"/>
  <c r="F96" i="26"/>
  <c r="B96" i="26"/>
  <c r="B36" i="26"/>
  <c r="K35" i="26"/>
  <c r="B35" i="26"/>
  <c r="K34" i="26"/>
  <c r="F34" i="26"/>
  <c r="B34" i="26"/>
  <c r="K33" i="26"/>
  <c r="F33" i="26"/>
  <c r="B33" i="26"/>
  <c r="F32" i="26"/>
  <c r="B32" i="26"/>
  <c r="K31" i="26"/>
  <c r="F31" i="26"/>
  <c r="B31" i="26"/>
  <c r="K30" i="26"/>
  <c r="F30" i="26"/>
  <c r="B30" i="26"/>
  <c r="K29" i="26"/>
  <c r="F29" i="26"/>
  <c r="B29" i="26"/>
  <c r="K14" i="26"/>
  <c r="K110" i="26" s="1"/>
  <c r="F14" i="26"/>
  <c r="K13" i="26"/>
  <c r="K109" i="26" s="1"/>
  <c r="F13" i="26"/>
  <c r="F12" i="26"/>
  <c r="K9" i="26"/>
  <c r="N112" i="9" l="1"/>
  <c r="Z20" i="7"/>
  <c r="S20" i="7"/>
  <c r="K105" i="26"/>
  <c r="F110" i="26"/>
  <c r="K103" i="26"/>
  <c r="K108" i="26"/>
  <c r="K106" i="26"/>
  <c r="K102" i="26"/>
  <c r="K107" i="26"/>
  <c r="K104" i="26"/>
  <c r="F131" i="26"/>
  <c r="F146" i="26" s="1"/>
  <c r="F106" i="26"/>
  <c r="F102" i="26"/>
  <c r="F104" i="26"/>
  <c r="F103" i="26"/>
  <c r="F105" i="26"/>
  <c r="F107" i="26"/>
  <c r="F35" i="26"/>
  <c r="F108" i="26"/>
  <c r="F36" i="26"/>
  <c r="F109" i="26"/>
  <c r="B107" i="26"/>
  <c r="B103" i="26"/>
  <c r="B105" i="26"/>
  <c r="B102" i="26"/>
  <c r="B110" i="26"/>
  <c r="B106" i="26"/>
  <c r="B104" i="26"/>
  <c r="B109" i="26"/>
  <c r="B108" i="26"/>
  <c r="B135" i="26"/>
  <c r="B150" i="26" s="1"/>
  <c r="K137" i="26"/>
  <c r="J152" i="26" s="1"/>
  <c r="B37" i="26"/>
  <c r="B38" i="26" s="1"/>
  <c r="B39" i="26" s="1"/>
  <c r="K130" i="26"/>
  <c r="J145" i="26" s="1"/>
  <c r="K133" i="26"/>
  <c r="J148" i="26" s="1"/>
  <c r="K131" i="26"/>
  <c r="J146" i="26" s="1"/>
  <c r="K135" i="26"/>
  <c r="J150" i="26" s="1"/>
  <c r="J153" i="26" s="1"/>
  <c r="J154" i="26" s="1"/>
  <c r="J156" i="26" s="1"/>
  <c r="K134" i="26"/>
  <c r="J149" i="26" s="1"/>
  <c r="B172" i="26"/>
  <c r="B173" i="26"/>
  <c r="B174" i="26" s="1"/>
  <c r="B41" i="7" s="1"/>
  <c r="O41" i="7" s="1"/>
  <c r="K36" i="26"/>
  <c r="K136" i="26"/>
  <c r="J151" i="26" s="1"/>
  <c r="K32" i="26"/>
  <c r="K132" i="26"/>
  <c r="J147" i="26" s="1"/>
  <c r="F137" i="26"/>
  <c r="F152" i="26" s="1"/>
  <c r="B136" i="26"/>
  <c r="B151" i="26" s="1"/>
  <c r="F37" i="26"/>
  <c r="F38" i="26" s="1"/>
  <c r="F39" i="26" s="1"/>
  <c r="B131" i="26"/>
  <c r="B146" i="26" s="1"/>
  <c r="F136" i="26"/>
  <c r="F151" i="26" s="1"/>
  <c r="B130" i="26"/>
  <c r="B145" i="26" s="1"/>
  <c r="F135" i="26"/>
  <c r="F150" i="26" s="1"/>
  <c r="F172" i="26"/>
  <c r="F173" i="26" s="1"/>
  <c r="F174" i="26" s="1"/>
  <c r="C41" i="7" s="1"/>
  <c r="P41" i="7" s="1"/>
  <c r="F132" i="26"/>
  <c r="F147" i="26" s="1"/>
  <c r="B129" i="26"/>
  <c r="B144" i="26" s="1"/>
  <c r="F130" i="26"/>
  <c r="F145" i="26" s="1"/>
  <c r="B133" i="26"/>
  <c r="B148" i="26" s="1"/>
  <c r="F134" i="26"/>
  <c r="F149" i="26" s="1"/>
  <c r="B137" i="26"/>
  <c r="B152" i="26" s="1"/>
  <c r="K172" i="26"/>
  <c r="K173" i="26" s="1"/>
  <c r="K174" i="26" s="1"/>
  <c r="E41" i="7" s="1"/>
  <c r="R41" i="7" s="1"/>
  <c r="F129" i="26"/>
  <c r="F144" i="26" s="1"/>
  <c r="B132" i="26"/>
  <c r="B147" i="26" s="1"/>
  <c r="F133" i="26"/>
  <c r="F148" i="26" s="1"/>
  <c r="F153" i="26" l="1"/>
  <c r="F154" i="26" s="1"/>
  <c r="F156" i="26" s="1"/>
  <c r="B37" i="7"/>
  <c r="O37" i="7" s="1"/>
  <c r="W37" i="7" s="1"/>
  <c r="K37" i="26"/>
  <c r="K38" i="26" s="1"/>
  <c r="K39" i="26" s="1"/>
  <c r="B153" i="26"/>
  <c r="B154" i="26" s="1"/>
  <c r="B156" i="26" s="1"/>
  <c r="K138" i="26"/>
  <c r="F111" i="26"/>
  <c r="F112" i="26" s="1"/>
  <c r="Z41" i="7"/>
  <c r="W41" i="7"/>
  <c r="X41" i="7"/>
  <c r="C37" i="7"/>
  <c r="P37" i="7" s="1"/>
  <c r="E37" i="7"/>
  <c r="R37" i="7" s="1"/>
  <c r="K139" i="26"/>
  <c r="K111" i="26"/>
  <c r="K112" i="26" s="1"/>
  <c r="F138" i="26"/>
  <c r="F139" i="26" s="1"/>
  <c r="F141" i="26" s="1"/>
  <c r="F177" i="26" s="1"/>
  <c r="B111" i="26"/>
  <c r="B112" i="26" s="1"/>
  <c r="B138" i="26"/>
  <c r="B139" i="26" s="1"/>
  <c r="K141" i="26" l="1"/>
  <c r="E38" i="7" s="1"/>
  <c r="R38" i="7" s="1"/>
  <c r="Z38" i="7" s="1"/>
  <c r="Z37" i="7"/>
  <c r="X37" i="7"/>
  <c r="C38" i="7"/>
  <c r="P38" i="7" s="1"/>
  <c r="X38" i="7" s="1"/>
  <c r="B141" i="26"/>
  <c r="B177" i="26" s="1"/>
  <c r="K177" i="26" l="1"/>
  <c r="B38" i="7"/>
  <c r="O38" i="7" s="1"/>
  <c r="P36" i="7"/>
  <c r="X36" i="7" s="1"/>
  <c r="R36" i="7"/>
  <c r="Z36" i="7" s="1"/>
  <c r="R26" i="24"/>
  <c r="R27" i="24" s="1"/>
  <c r="O36" i="7" l="1"/>
  <c r="W36" i="7" s="1"/>
  <c r="W38" i="7"/>
  <c r="R73" i="24"/>
  <c r="R74" i="24" s="1"/>
  <c r="R38" i="24" l="1"/>
  <c r="R52" i="24"/>
  <c r="R64" i="24"/>
  <c r="R65" i="24" s="1"/>
  <c r="R46" i="24"/>
  <c r="R47" i="24" s="1"/>
  <c r="R59" i="24"/>
  <c r="R60" i="24" s="1"/>
  <c r="R54" i="24" l="1"/>
  <c r="R67" i="24"/>
  <c r="R39" i="24"/>
  <c r="R41" i="24" s="1"/>
  <c r="R76" i="24" s="1"/>
  <c r="E34" i="7" l="1"/>
  <c r="R34" i="7" l="1"/>
  <c r="Q34" i="7"/>
  <c r="E10" i="7"/>
  <c r="R10" i="7" s="1"/>
  <c r="Z10" i="7" s="1"/>
  <c r="N25" i="10"/>
  <c r="O29" i="11"/>
  <c r="O30" i="11" s="1"/>
  <c r="O20" i="22"/>
  <c r="O19" i="22"/>
  <c r="O18" i="22"/>
  <c r="Z34" i="7" l="1"/>
  <c r="S34" i="7"/>
  <c r="Q33" i="7"/>
  <c r="Y33" i="7" s="1"/>
  <c r="Y34" i="7"/>
  <c r="E32" i="7"/>
  <c r="R32" i="7" s="1"/>
  <c r="R31" i="7" s="1"/>
  <c r="Z31" i="7" s="1"/>
  <c r="P52" i="19"/>
  <c r="P115" i="19" s="1"/>
  <c r="Z32" i="7" l="1"/>
  <c r="E29" i="7"/>
  <c r="R29" i="7" s="1"/>
  <c r="Z29" i="7" s="1"/>
  <c r="J32" i="27"/>
  <c r="J33" i="27" s="1"/>
  <c r="J34" i="27" s="1"/>
  <c r="J30" i="27"/>
  <c r="J36" i="27" l="1"/>
  <c r="B18" i="22"/>
  <c r="B32" i="7" l="1"/>
  <c r="O32" i="7" s="1"/>
  <c r="W32" i="7" l="1"/>
  <c r="O31" i="7"/>
  <c r="W31" i="7" s="1"/>
  <c r="H67" i="3"/>
  <c r="AC29" i="3" l="1"/>
  <c r="X29" i="3"/>
  <c r="AD30" i="3"/>
  <c r="AD31" i="3" s="1"/>
  <c r="Z30" i="3"/>
  <c r="Z31" i="3" s="1"/>
  <c r="AA30" i="3"/>
  <c r="AA31" i="3" s="1"/>
  <c r="W30" i="3"/>
  <c r="W31" i="3" s="1"/>
  <c r="AB29" i="3"/>
  <c r="V30" i="3"/>
  <c r="V31" i="3" s="1"/>
  <c r="Y29" i="3"/>
  <c r="AA29" i="3"/>
  <c r="W29" i="3"/>
  <c r="AC30" i="3"/>
  <c r="AC31" i="3" s="1"/>
  <c r="Y30" i="3"/>
  <c r="Y31" i="3" s="1"/>
  <c r="V29" i="3"/>
  <c r="Z29" i="3"/>
  <c r="AD29" i="3"/>
  <c r="AB30" i="3"/>
  <c r="AB31" i="3" s="1"/>
  <c r="X30" i="3"/>
  <c r="X31" i="3" s="1"/>
  <c r="J41" i="11" l="1"/>
  <c r="J44" i="11" s="1"/>
  <c r="J45" i="11" s="1"/>
  <c r="F41" i="11"/>
  <c r="F44" i="11" s="1"/>
  <c r="F45" i="11" s="1"/>
  <c r="F35" i="18" l="1"/>
  <c r="O48" i="18" l="1"/>
  <c r="O50" i="18"/>
  <c r="J41" i="18" l="1"/>
  <c r="J43" i="18" s="1"/>
  <c r="J48" i="18" s="1"/>
  <c r="J29" i="11" l="1"/>
  <c r="J30" i="11" s="1"/>
  <c r="J17" i="11"/>
  <c r="J19" i="11" s="1"/>
  <c r="J20" i="11" s="1"/>
  <c r="I111" i="30" l="1"/>
  <c r="J111" i="30" l="1"/>
  <c r="I104" i="30"/>
  <c r="J104" i="30"/>
  <c r="J113" i="30"/>
  <c r="J112" i="30"/>
  <c r="I113" i="30"/>
  <c r="J107" i="30"/>
  <c r="I107" i="30"/>
  <c r="I106" i="30"/>
  <c r="J106" i="30" l="1"/>
  <c r="H55" i="3"/>
  <c r="H54" i="3" l="1"/>
  <c r="G16" i="3"/>
  <c r="G54" i="3" l="1"/>
  <c r="G39" i="3" l="1"/>
  <c r="G38" i="3"/>
  <c r="G28" i="3" l="1"/>
  <c r="D113" i="3" l="1"/>
  <c r="D114" i="3" l="1"/>
  <c r="G46" i="3" l="1"/>
  <c r="G45" i="3"/>
  <c r="G49" i="3"/>
  <c r="G47" i="3"/>
  <c r="G51" i="3" l="1"/>
  <c r="G48" i="3"/>
  <c r="F30" i="27" l="1"/>
  <c r="B11" i="27"/>
  <c r="F32" i="27" l="1"/>
  <c r="B32" i="27"/>
  <c r="B33" i="27" l="1"/>
  <c r="B34" i="27" s="1"/>
  <c r="B36" i="27" s="1"/>
  <c r="F33" i="27"/>
  <c r="F34" i="27" s="1"/>
  <c r="F36" i="27" s="1"/>
  <c r="F20" i="22" l="1"/>
  <c r="F19" i="22"/>
  <c r="C32" i="7" s="1"/>
  <c r="P32" i="7" s="1"/>
  <c r="B20" i="22"/>
  <c r="P31" i="7" l="1"/>
  <c r="X31" i="7" s="1"/>
  <c r="X32" i="7"/>
  <c r="F40" i="21" l="1"/>
  <c r="B40" i="21"/>
  <c r="B33" i="21" l="1"/>
  <c r="B32" i="21"/>
  <c r="B34" i="21" l="1"/>
  <c r="B36" i="21" s="1"/>
  <c r="B44" i="21" s="1"/>
  <c r="B45" i="21" s="1"/>
  <c r="B41" i="18" l="1"/>
  <c r="F41" i="18"/>
  <c r="F43" i="18" s="1"/>
  <c r="B33" i="18"/>
  <c r="B29" i="18"/>
  <c r="B39" i="18" l="1"/>
  <c r="B44" i="18" s="1"/>
  <c r="B40" i="18"/>
  <c r="B45" i="18" s="1"/>
  <c r="B49" i="18" s="1"/>
  <c r="B38" i="18"/>
  <c r="B43" i="18" s="1"/>
  <c r="F44" i="18"/>
  <c r="F45" i="18"/>
  <c r="F49" i="18" s="1"/>
  <c r="F50" i="18" l="1"/>
  <c r="F53" i="18"/>
  <c r="B50" i="18"/>
  <c r="B53" i="18"/>
  <c r="F48" i="18"/>
  <c r="J45" i="18"/>
  <c r="J44" i="18"/>
  <c r="J50" i="18" l="1"/>
  <c r="J53" i="18"/>
  <c r="B29" i="11" l="1"/>
  <c r="B30" i="11" s="1"/>
  <c r="F19" i="11" l="1"/>
  <c r="F20" i="11" s="1"/>
  <c r="B20" i="11"/>
  <c r="F29" i="11"/>
  <c r="F30" i="11" s="1"/>
  <c r="C7" i="28" l="1"/>
  <c r="C83" i="28"/>
  <c r="C97" i="28"/>
  <c r="C120" i="28"/>
  <c r="C134" i="28"/>
  <c r="C141" i="28"/>
  <c r="C147" i="28"/>
  <c r="F11" i="21"/>
  <c r="F21" i="21" s="1"/>
  <c r="F12" i="21"/>
  <c r="F44" i="21"/>
  <c r="F45" i="21" s="1"/>
  <c r="C4" i="30"/>
  <c r="C6" i="30"/>
  <c r="C7" i="30"/>
  <c r="C8" i="30"/>
  <c r="C11" i="30"/>
  <c r="C35" i="30" s="1"/>
  <c r="C38" i="30" s="1"/>
  <c r="C23" i="30"/>
  <c r="C24" i="30"/>
  <c r="C25" i="30"/>
  <c r="C26" i="30"/>
  <c r="C27" i="30"/>
  <c r="C28" i="30"/>
  <c r="C29" i="30"/>
  <c r="C36" i="30"/>
  <c r="C37" i="30"/>
  <c r="D8" i="31"/>
  <c r="D6" i="31" s="1"/>
  <c r="D10" i="31"/>
  <c r="D12" i="31"/>
  <c r="D17" i="31"/>
  <c r="D18" i="31"/>
  <c r="D20" i="31"/>
  <c r="B18" i="17" s="1"/>
  <c r="B19" i="17" s="1"/>
  <c r="B26" i="17" s="1"/>
  <c r="D21" i="31"/>
  <c r="D22" i="31"/>
  <c r="D24" i="31"/>
  <c r="D26" i="31"/>
  <c r="D31" i="31"/>
  <c r="D34" i="31"/>
  <c r="D156" i="31" s="1"/>
  <c r="D149" i="31" s="1"/>
  <c r="D35" i="31"/>
  <c r="D36" i="31"/>
  <c r="D37" i="31"/>
  <c r="D39" i="31"/>
  <c r="D51" i="31"/>
  <c r="D52" i="31"/>
  <c r="D54" i="31"/>
  <c r="D57" i="31"/>
  <c r="D58" i="31"/>
  <c r="D60" i="31"/>
  <c r="D69" i="31"/>
  <c r="C6" i="28" s="1"/>
  <c r="D73" i="31"/>
  <c r="D74" i="31"/>
  <c r="D75" i="31"/>
  <c r="D79" i="31"/>
  <c r="D81" i="31"/>
  <c r="D82" i="31"/>
  <c r="D83" i="31"/>
  <c r="D84" i="31"/>
  <c r="D100" i="31"/>
  <c r="D102" i="31"/>
  <c r="C111" i="28" s="1"/>
  <c r="D103" i="31"/>
  <c r="D142" i="31" s="1"/>
  <c r="D104" i="31"/>
  <c r="D111" i="31"/>
  <c r="D112" i="31"/>
  <c r="D113" i="31"/>
  <c r="D114" i="31"/>
  <c r="D120" i="31" s="1"/>
  <c r="D116" i="31"/>
  <c r="D117" i="31"/>
  <c r="D119" i="31" s="1"/>
  <c r="D121" i="31" s="1"/>
  <c r="D118" i="31"/>
  <c r="D123" i="31"/>
  <c r="D126" i="31" s="1"/>
  <c r="D124" i="31"/>
  <c r="D131" i="31" s="1"/>
  <c r="D137" i="31"/>
  <c r="D140" i="31"/>
  <c r="D106" i="31" s="1"/>
  <c r="D146" i="31"/>
  <c r="D153" i="31" s="1"/>
  <c r="D151" i="31"/>
  <c r="D160" i="31"/>
  <c r="D161" i="31" s="1"/>
  <c r="D164" i="31"/>
  <c r="D167" i="31" s="1"/>
  <c r="D168" i="31"/>
  <c r="D165" i="31" s="1"/>
  <c r="D183" i="31"/>
  <c r="D177" i="31" s="1"/>
  <c r="D184" i="31"/>
  <c r="D181" i="31" s="1"/>
  <c r="D193" i="31"/>
  <c r="D188" i="31" s="1"/>
  <c r="C146" i="28"/>
  <c r="F72" i="23" l="1"/>
  <c r="B72" i="23"/>
  <c r="B73" i="23" s="1"/>
  <c r="B74" i="23" s="1"/>
  <c r="R26" i="7"/>
  <c r="Z26" i="7" s="1"/>
  <c r="B49" i="15"/>
  <c r="B56" i="15" s="1"/>
  <c r="B58" i="15" s="1"/>
  <c r="B21" i="7" s="1"/>
  <c r="O21" i="7" s="1"/>
  <c r="W21" i="7" s="1"/>
  <c r="J49" i="15"/>
  <c r="J56" i="15" s="1"/>
  <c r="J58" i="15" s="1"/>
  <c r="E21" i="7" s="1"/>
  <c r="R21" i="7" s="1"/>
  <c r="Z21" i="7" s="1"/>
  <c r="C30" i="28"/>
  <c r="C29" i="28"/>
  <c r="C28" i="28"/>
  <c r="C31" i="28"/>
  <c r="C27" i="28"/>
  <c r="C32" i="28"/>
  <c r="F27" i="14"/>
  <c r="K27" i="14"/>
  <c r="B27" i="14"/>
  <c r="J18" i="17"/>
  <c r="B51" i="15"/>
  <c r="F51" i="15"/>
  <c r="F49" i="15"/>
  <c r="F56" i="15" s="1"/>
  <c r="F58" i="15" s="1"/>
  <c r="C21" i="7" s="1"/>
  <c r="P21" i="7" s="1"/>
  <c r="X21" i="7" s="1"/>
  <c r="F37" i="27"/>
  <c r="F39" i="27" s="1"/>
  <c r="C42" i="7" s="1"/>
  <c r="P42" i="7" s="1"/>
  <c r="X42" i="7" s="1"/>
  <c r="J37" i="27"/>
  <c r="J39" i="27" s="1"/>
  <c r="E42" i="7" s="1"/>
  <c r="R42" i="7" s="1"/>
  <c r="D141" i="31"/>
  <c r="D134" i="31" s="1"/>
  <c r="D155" i="31" s="1"/>
  <c r="D148" i="31" s="1"/>
  <c r="D107" i="31"/>
  <c r="D152" i="31"/>
  <c r="D130" i="31"/>
  <c r="D180" i="31" s="1"/>
  <c r="D174" i="31" s="1"/>
  <c r="D200" i="31"/>
  <c r="B37" i="27"/>
  <c r="B39" i="27" s="1"/>
  <c r="B42" i="7" s="1"/>
  <c r="O42" i="7" s="1"/>
  <c r="F22" i="21"/>
  <c r="C84" i="28"/>
  <c r="C119" i="28"/>
  <c r="C98" i="28"/>
  <c r="C5" i="30"/>
  <c r="C140" i="28"/>
  <c r="D132" i="31"/>
  <c r="D108" i="31"/>
  <c r="D203" i="31"/>
  <c r="D182" i="31"/>
  <c r="D176" i="31" s="1"/>
  <c r="D173" i="31"/>
  <c r="D179" i="31" s="1"/>
  <c r="C133" i="28"/>
  <c r="D189" i="31"/>
  <c r="D191" i="31" s="1"/>
  <c r="C151" i="28"/>
  <c r="K81" i="14" s="1"/>
  <c r="D115" i="31"/>
  <c r="D109" i="31" s="1"/>
  <c r="D110" i="31" s="1"/>
  <c r="D187" i="31"/>
  <c r="D190" i="31" s="1"/>
  <c r="D192" i="31" s="1"/>
  <c r="F18" i="17"/>
  <c r="F19" i="17" s="1"/>
  <c r="D175" i="31"/>
  <c r="C46" i="30"/>
  <c r="C44" i="30"/>
  <c r="D172" i="31"/>
  <c r="D178" i="31" s="1"/>
  <c r="C41" i="30"/>
  <c r="D196" i="31"/>
  <c r="D197" i="31" s="1"/>
  <c r="D169" i="31"/>
  <c r="D166" i="31" s="1"/>
  <c r="C47" i="30"/>
  <c r="C42" i="30"/>
  <c r="C52" i="30"/>
  <c r="C55" i="30"/>
  <c r="C51" i="30"/>
  <c r="C50" i="30"/>
  <c r="C54" i="30"/>
  <c r="C53" i="30"/>
  <c r="C45" i="30"/>
  <c r="C43" i="30"/>
  <c r="C56" i="30"/>
  <c r="J19" i="17" l="1"/>
  <c r="E43" i="7" s="1"/>
  <c r="R43" i="7" s="1"/>
  <c r="F73" i="23"/>
  <c r="F74" i="23" s="1"/>
  <c r="F76" i="23" s="1"/>
  <c r="C43" i="7"/>
  <c r="P43" i="7" s="1"/>
  <c r="B76" i="23"/>
  <c r="B75" i="23"/>
  <c r="Z42" i="7"/>
  <c r="W42" i="7"/>
  <c r="B82" i="14"/>
  <c r="F82" i="14"/>
  <c r="K82" i="14"/>
  <c r="F81" i="14"/>
  <c r="B81" i="14"/>
  <c r="G13" i="3"/>
  <c r="D133" i="31"/>
  <c r="C148" i="28" s="1"/>
  <c r="C149" i="28" s="1"/>
  <c r="G30" i="3"/>
  <c r="D122" i="31"/>
  <c r="D138" i="31" s="1"/>
  <c r="D136" i="31"/>
  <c r="F75" i="23" l="1"/>
  <c r="F77" i="23"/>
  <c r="F78" i="23" s="1"/>
  <c r="F88" i="23" s="1"/>
  <c r="C40" i="7" s="1"/>
  <c r="B77" i="23"/>
  <c r="B78" i="23" s="1"/>
  <c r="B88" i="23" s="1"/>
  <c r="B40" i="7" s="1"/>
  <c r="B83" i="14"/>
  <c r="B112" i="14" s="1"/>
  <c r="X43" i="7"/>
  <c r="K83" i="14"/>
  <c r="C121" i="28"/>
  <c r="C122" i="28" s="1"/>
  <c r="F83" i="14"/>
  <c r="Z43" i="7"/>
  <c r="B66" i="14"/>
  <c r="K66" i="14"/>
  <c r="B67" i="14"/>
  <c r="F67" i="14"/>
  <c r="F66" i="14"/>
  <c r="K67" i="14"/>
  <c r="C18" i="28"/>
  <c r="C36" i="28" s="1"/>
  <c r="C54" i="28" s="1"/>
  <c r="AB32" i="3" s="1"/>
  <c r="C22" i="28"/>
  <c r="C40" i="28" s="1"/>
  <c r="C58" i="28" s="1"/>
  <c r="X32" i="3" s="1"/>
  <c r="C19" i="28"/>
  <c r="C37" i="28" s="1"/>
  <c r="C55" i="28" s="1"/>
  <c r="C23" i="28"/>
  <c r="C41" i="28" s="1"/>
  <c r="C59" i="28" s="1"/>
  <c r="W32" i="3" s="1"/>
  <c r="C16" i="28"/>
  <c r="C34" i="28" s="1"/>
  <c r="C52" i="28" s="1"/>
  <c r="C20" i="28"/>
  <c r="C38" i="28" s="1"/>
  <c r="C56" i="28" s="1"/>
  <c r="Z32" i="3" s="1"/>
  <c r="C24" i="28"/>
  <c r="C42" i="28" s="1"/>
  <c r="C60" i="28" s="1"/>
  <c r="V32" i="3" s="1"/>
  <c r="C17" i="28"/>
  <c r="C35" i="28" s="1"/>
  <c r="C53" i="28" s="1"/>
  <c r="AC32" i="3" s="1"/>
  <c r="C21" i="28"/>
  <c r="C39" i="28" s="1"/>
  <c r="C57" i="28" s="1"/>
  <c r="C25" i="28"/>
  <c r="C43" i="28" s="1"/>
  <c r="C61" i="28" s="1"/>
  <c r="C15" i="28"/>
  <c r="C33" i="28" s="1"/>
  <c r="C51" i="28" s="1"/>
  <c r="G34" i="3"/>
  <c r="C99" i="28"/>
  <c r="C101" i="28" s="1"/>
  <c r="C102" i="28" s="1"/>
  <c r="C135" i="28"/>
  <c r="C136" i="28" s="1"/>
  <c r="C142" i="28"/>
  <c r="C143" i="28" s="1"/>
  <c r="C85" i="28"/>
  <c r="C87" i="28" s="1"/>
  <c r="J52" i="18" s="1"/>
  <c r="G10" i="3"/>
  <c r="G29" i="3"/>
  <c r="G11" i="3"/>
  <c r="G12" i="3"/>
  <c r="D139" i="31"/>
  <c r="B18" i="11" s="1"/>
  <c r="B13" i="10" l="1"/>
  <c r="K48" i="14"/>
  <c r="F48" i="14"/>
  <c r="B48" i="14"/>
  <c r="B51" i="14" s="1"/>
  <c r="J107" i="25"/>
  <c r="J109" i="25" s="1"/>
  <c r="E35" i="7" s="1"/>
  <c r="R35" i="7" s="1"/>
  <c r="F107" i="25"/>
  <c r="F109" i="25" s="1"/>
  <c r="C35" i="7" s="1"/>
  <c r="P35" i="7" s="1"/>
  <c r="B107" i="25"/>
  <c r="B109" i="25" s="1"/>
  <c r="B35" i="7" s="1"/>
  <c r="O35" i="7" s="1"/>
  <c r="F25" i="21"/>
  <c r="C144" i="28"/>
  <c r="B46" i="21"/>
  <c r="C110" i="3" s="1"/>
  <c r="C111" i="3" s="1"/>
  <c r="C137" i="28"/>
  <c r="C123" i="28"/>
  <c r="O53" i="18" s="1"/>
  <c r="D25" i="7"/>
  <c r="Q25" i="7" s="1"/>
  <c r="Y25" i="7" s="1"/>
  <c r="K68" i="14"/>
  <c r="B43" i="7"/>
  <c r="O43" i="7" s="1"/>
  <c r="J13" i="10"/>
  <c r="F25" i="14"/>
  <c r="F28" i="14" s="1"/>
  <c r="F13" i="10"/>
  <c r="K25" i="14"/>
  <c r="K28" i="14" s="1"/>
  <c r="N13" i="10"/>
  <c r="B25" i="14"/>
  <c r="B28" i="14" s="1"/>
  <c r="B68" i="14"/>
  <c r="F68" i="14"/>
  <c r="AA32" i="3"/>
  <c r="O18" i="11"/>
  <c r="Y32" i="3"/>
  <c r="B25" i="7"/>
  <c r="O25" i="7" s="1"/>
  <c r="AD32" i="3"/>
  <c r="AD33" i="3" s="1"/>
  <c r="O26" i="7"/>
  <c r="D16" i="7"/>
  <c r="Q16" i="7" s="1"/>
  <c r="Y16" i="7" s="1"/>
  <c r="Q26" i="7"/>
  <c r="Y26" i="7" s="1"/>
  <c r="F52" i="18"/>
  <c r="F46" i="21"/>
  <c r="D110" i="3" s="1"/>
  <c r="D111" i="3" s="1"/>
  <c r="F24" i="21"/>
  <c r="G15" i="3"/>
  <c r="G27" i="3"/>
  <c r="G14" i="3"/>
  <c r="G36" i="3"/>
  <c r="J18" i="11"/>
  <c r="F18" i="11"/>
  <c r="C25" i="7" l="1"/>
  <c r="P25" i="7" s="1"/>
  <c r="X25" i="7" s="1"/>
  <c r="P26" i="7"/>
  <c r="X26" i="7" s="1"/>
  <c r="F26" i="21"/>
  <c r="F27" i="21" s="1"/>
  <c r="J56" i="18"/>
  <c r="R33" i="7"/>
  <c r="Z33" i="7" s="1"/>
  <c r="Z35" i="7"/>
  <c r="W35" i="7"/>
  <c r="O33" i="7"/>
  <c r="W33" i="7" s="1"/>
  <c r="P33" i="7"/>
  <c r="X33" i="7" s="1"/>
  <c r="X35" i="7"/>
  <c r="C9" i="7"/>
  <c r="P9" i="7" s="1"/>
  <c r="B9" i="7"/>
  <c r="O9" i="7" s="1"/>
  <c r="D9" i="7"/>
  <c r="Q9" i="7" s="1"/>
  <c r="Y9" i="7" s="1"/>
  <c r="N10" i="10"/>
  <c r="F56" i="18"/>
  <c r="Q15" i="7"/>
  <c r="Y15" i="7" s="1"/>
  <c r="R11" i="7"/>
  <c r="Z11" i="7" s="1"/>
  <c r="R15" i="7"/>
  <c r="Z15" i="7" s="1"/>
  <c r="P11" i="7"/>
  <c r="X11" i="7" s="1"/>
  <c r="Q11" i="7"/>
  <c r="Y11" i="7" s="1"/>
  <c r="Q17" i="7"/>
  <c r="Y17" i="7" s="1"/>
  <c r="O56" i="18"/>
  <c r="K88" i="14"/>
  <c r="K89" i="14" s="1"/>
  <c r="B88" i="14"/>
  <c r="B89" i="14" s="1"/>
  <c r="F88" i="14"/>
  <c r="F89" i="14" s="1"/>
  <c r="E18" i="7"/>
  <c r="R18" i="7" s="1"/>
  <c r="Z18" i="7" s="1"/>
  <c r="D18" i="7"/>
  <c r="Q18" i="7" s="1"/>
  <c r="Y18" i="7" s="1"/>
  <c r="R17" i="7"/>
  <c r="Z17" i="7" s="1"/>
  <c r="W25" i="7"/>
  <c r="K51" i="14"/>
  <c r="W43" i="7"/>
  <c r="F51" i="14"/>
  <c r="E16" i="7"/>
  <c r="R16" i="7" s="1"/>
  <c r="C16" i="7"/>
  <c r="P16" i="7" s="1"/>
  <c r="X16" i="7" s="1"/>
  <c r="P17" i="7"/>
  <c r="X17" i="7" s="1"/>
  <c r="C10" i="7"/>
  <c r="P10" i="7" s="1"/>
  <c r="P15" i="7"/>
  <c r="X15" i="7" s="1"/>
  <c r="O40" i="7"/>
  <c r="O11" i="7"/>
  <c r="W11" i="7" s="1"/>
  <c r="B27" i="21"/>
  <c r="B18" i="7"/>
  <c r="O18" i="7" s="1"/>
  <c r="W18" i="7" s="1"/>
  <c r="C18" i="7"/>
  <c r="P18" i="7" s="1"/>
  <c r="X18" i="7" s="1"/>
  <c r="B27" i="7" l="1"/>
  <c r="O27" i="7" s="1"/>
  <c r="W27" i="7" s="1"/>
  <c r="B76" i="18"/>
  <c r="D27" i="7"/>
  <c r="Q27" i="7" s="1"/>
  <c r="Y27" i="7" s="1"/>
  <c r="J76" i="18"/>
  <c r="R27" i="7"/>
  <c r="Z27" i="7" s="1"/>
  <c r="O76" i="18"/>
  <c r="R25" i="7" s="1"/>
  <c r="Z25" i="7" s="1"/>
  <c r="C27" i="7"/>
  <c r="P27" i="7" s="1"/>
  <c r="X27" i="7" s="1"/>
  <c r="F76" i="18"/>
  <c r="R40" i="7"/>
  <c r="Q40" i="7"/>
  <c r="P40" i="7"/>
  <c r="E9" i="7"/>
  <c r="R9" i="7" s="1"/>
  <c r="Z9" i="7" s="1"/>
  <c r="E22" i="7"/>
  <c r="R22" i="7" s="1"/>
  <c r="C22" i="7"/>
  <c r="P22" i="7" s="1"/>
  <c r="X22" i="7" s="1"/>
  <c r="B22" i="7"/>
  <c r="O22" i="7" s="1"/>
  <c r="O19" i="7" s="1"/>
  <c r="P24" i="7"/>
  <c r="X24" i="7" s="1"/>
  <c r="O24" i="7"/>
  <c r="Q7" i="7"/>
  <c r="W40" i="7"/>
  <c r="O39" i="7"/>
  <c r="O7" i="7"/>
  <c r="W7" i="7" s="1"/>
  <c r="C29" i="7"/>
  <c r="P29" i="7" s="1"/>
  <c r="X10" i="7"/>
  <c r="Z16" i="7"/>
  <c r="X9" i="7"/>
  <c r="P7" i="7"/>
  <c r="X7" i="7" s="1"/>
  <c r="E14" i="7"/>
  <c r="Y43" i="3"/>
  <c r="W43" i="3"/>
  <c r="X43" i="3"/>
  <c r="D14" i="7"/>
  <c r="Q14" i="7" s="1"/>
  <c r="W24" i="7" l="1"/>
  <c r="O46" i="7"/>
  <c r="Q24" i="7"/>
  <c r="Y24" i="7" s="1"/>
  <c r="X40" i="7"/>
  <c r="P39" i="7"/>
  <c r="X39" i="7" s="1"/>
  <c r="Q39" i="7"/>
  <c r="Y39" i="7" s="1"/>
  <c r="Y40" i="7"/>
  <c r="Z40" i="7"/>
  <c r="R39" i="7"/>
  <c r="R7" i="7"/>
  <c r="Y7" i="7"/>
  <c r="R24" i="7"/>
  <c r="R23" i="7" s="1"/>
  <c r="Z23" i="7" s="1"/>
  <c r="W19" i="7"/>
  <c r="Z22" i="7"/>
  <c r="R19" i="7"/>
  <c r="S19" i="7" s="1"/>
  <c r="O29" i="7"/>
  <c r="P19" i="7"/>
  <c r="X19" i="7" s="1"/>
  <c r="W22" i="7"/>
  <c r="W39" i="7"/>
  <c r="O48" i="7"/>
  <c r="W48" i="7" s="1"/>
  <c r="X29" i="7"/>
  <c r="P23" i="7"/>
  <c r="X23" i="7" s="1"/>
  <c r="Y14" i="7"/>
  <c r="Q12" i="7"/>
  <c r="Q6" i="7" s="1"/>
  <c r="C14" i="7"/>
  <c r="P14" i="7" s="1"/>
  <c r="P46" i="7" s="1"/>
  <c r="X46" i="7" s="1"/>
  <c r="R14" i="7"/>
  <c r="G18" i="3"/>
  <c r="G8" i="3"/>
  <c r="G42" i="3"/>
  <c r="Z97" i="3"/>
  <c r="X44" i="3"/>
  <c r="Y44" i="3"/>
  <c r="G9" i="3"/>
  <c r="G19" i="3"/>
  <c r="Z7" i="7" l="1"/>
  <c r="S7" i="7"/>
  <c r="Q46" i="7"/>
  <c r="Y46" i="7" s="1"/>
  <c r="P48" i="7"/>
  <c r="X48" i="7" s="1"/>
  <c r="Q23" i="7"/>
  <c r="Y23" i="7" s="1"/>
  <c r="Z39" i="7"/>
  <c r="R48" i="7"/>
  <c r="Z48" i="7" s="1"/>
  <c r="Z24" i="7"/>
  <c r="Z19" i="7"/>
  <c r="R47" i="7"/>
  <c r="Z47" i="7" s="1"/>
  <c r="R46" i="7"/>
  <c r="Z46" i="7" s="1"/>
  <c r="R45" i="7"/>
  <c r="P47" i="7"/>
  <c r="X47" i="7" s="1"/>
  <c r="O23" i="7"/>
  <c r="W23" i="7" s="1"/>
  <c r="W29" i="7"/>
  <c r="Y12" i="7"/>
  <c r="Y6" i="7"/>
  <c r="X14" i="7"/>
  <c r="R12" i="7"/>
  <c r="P45" i="7"/>
  <c r="X45" i="7" s="1"/>
  <c r="P12" i="7"/>
  <c r="P6" i="7" s="1"/>
  <c r="X6" i="7" s="1"/>
  <c r="Z14" i="7"/>
  <c r="Y97" i="3"/>
  <c r="G25" i="3"/>
  <c r="G22" i="3"/>
  <c r="G7" i="3"/>
  <c r="G6" i="3"/>
  <c r="G17" i="3"/>
  <c r="Z45" i="7" l="1"/>
  <c r="S45" i="7"/>
  <c r="Z12" i="7"/>
  <c r="S12" i="7"/>
  <c r="Q48" i="7"/>
  <c r="Y48" i="7" s="1"/>
  <c r="R6" i="7"/>
  <c r="Z6" i="7" s="1"/>
  <c r="X12" i="7"/>
  <c r="Y69" i="3"/>
  <c r="H57" i="3" l="1"/>
  <c r="H53" i="3"/>
  <c r="X69" i="3" l="1"/>
  <c r="G50" i="3" l="1"/>
  <c r="G55" i="3"/>
  <c r="O17" i="7" l="1"/>
  <c r="W17" i="7" s="1"/>
  <c r="O15" i="7"/>
  <c r="W15" i="7" s="1"/>
  <c r="G32" i="3" l="1"/>
  <c r="B41" i="11" l="1"/>
  <c r="B44" i="11" l="1"/>
  <c r="B45" i="11" s="1"/>
  <c r="B16" i="7" l="1"/>
  <c r="O16" i="7" s="1"/>
  <c r="G33" i="3"/>
  <c r="W16" i="7" l="1"/>
  <c r="O47" i="7"/>
  <c r="W47" i="7" s="1"/>
  <c r="G26" i="3"/>
  <c r="G23" i="3"/>
  <c r="G31" i="3"/>
  <c r="G43" i="3" l="1"/>
  <c r="W44" i="3"/>
  <c r="G24" i="3"/>
  <c r="G21" i="3"/>
  <c r="G40" i="3"/>
  <c r="G35" i="3"/>
  <c r="G37" i="3"/>
  <c r="G41" i="3" l="1"/>
  <c r="X97" i="3"/>
  <c r="G53" i="3"/>
  <c r="G57" i="3" l="1"/>
  <c r="W69" i="3"/>
  <c r="G56" i="3"/>
  <c r="B14" i="7"/>
  <c r="O14" i="7" s="1"/>
  <c r="W14" i="7" l="1"/>
  <c r="O45" i="7"/>
  <c r="O12" i="7"/>
  <c r="W12" i="7" s="1"/>
  <c r="W46" i="7"/>
  <c r="W45" i="7" l="1"/>
  <c r="O54" i="7"/>
  <c r="O6" i="7"/>
  <c r="W6" i="7" s="1"/>
</calcChain>
</file>

<file path=xl/comments1.xml><?xml version="1.0" encoding="utf-8"?>
<comments xmlns="http://schemas.openxmlformats.org/spreadsheetml/2006/main">
  <authors>
    <author>Roel Hammerschlag</author>
  </authors>
  <commentList>
    <comment ref="B2" authorId="0" guid="{4AD7CE90-4076-46D4-95AA-0B981877CB2D}" shapeId="0">
      <text>
        <r>
          <rPr>
            <b/>
            <sz val="8"/>
            <color indexed="81"/>
            <rFont val="Tahoma"/>
            <family val="2"/>
          </rPr>
          <t>Roel Hammerschlag:</t>
        </r>
        <r>
          <rPr>
            <sz val="8"/>
            <color indexed="81"/>
            <rFont val="Tahoma"/>
            <family val="2"/>
          </rPr>
          <t xml:space="preserve">
ML = Michael Lazarus
PE = Pete Erickson
CC = Chelsea Chandler</t>
        </r>
      </text>
    </comment>
  </commentList>
</comments>
</file>

<file path=xl/comments10.xml><?xml version="1.0" encoding="utf-8"?>
<comments xmlns="http://schemas.openxmlformats.org/spreadsheetml/2006/main">
  <authors>
    <author>Roel Hammerschlag</author>
    <author>Andrea Martin</author>
  </authors>
  <commentList>
    <comment ref="C2" authorId="0" guid="{E5457EB4-031F-444A-8B56-BE22ACBA309D}" shapeId="0">
      <text>
        <r>
          <rPr>
            <b/>
            <sz val="8"/>
            <color indexed="81"/>
            <rFont val="Tahoma"/>
            <family val="2"/>
          </rPr>
          <t>Roel Hammerschlag:</t>
        </r>
        <r>
          <rPr>
            <sz val="8"/>
            <color indexed="81"/>
            <rFont val="Tahoma"/>
            <family val="2"/>
          </rPr>
          <t xml:space="preserve">
</t>
        </r>
        <r>
          <rPr>
            <sz val="8"/>
            <color indexed="39"/>
            <rFont val="Tahoma"/>
            <family val="2"/>
          </rPr>
          <t>Values in blue</t>
        </r>
        <r>
          <rPr>
            <sz val="8"/>
            <color indexed="81"/>
            <rFont val="Tahoma"/>
            <family val="2"/>
          </rPr>
          <t xml:space="preserve"> are from source; values in black are calculated.</t>
        </r>
      </text>
    </comment>
    <comment ref="H101" authorId="1" guid="{F67B577D-3784-43A3-AB7F-12CB0DA971DC}" shapeId="0">
      <text>
        <r>
          <rPr>
            <b/>
            <sz val="9"/>
            <color indexed="81"/>
            <rFont val="Tahoma"/>
            <family val="2"/>
          </rPr>
          <t>Andrea Martin:</t>
        </r>
        <r>
          <rPr>
            <sz val="9"/>
            <color indexed="81"/>
            <rFont val="Tahoma"/>
            <family val="2"/>
          </rPr>
          <t xml:space="preserve">
Can we label this table?
</t>
        </r>
      </text>
    </comment>
    <comment ref="F144" authorId="1" guid="{54B01EDF-27E5-4408-AFB6-DBFBECB122EE}" shapeId="0">
      <text>
        <r>
          <rPr>
            <b/>
            <sz val="9"/>
            <color indexed="81"/>
            <rFont val="Tahoma"/>
            <family val="2"/>
          </rPr>
          <t>Andrea Martin:</t>
        </r>
        <r>
          <rPr>
            <sz val="9"/>
            <color indexed="81"/>
            <rFont val="Tahoma"/>
            <family val="2"/>
          </rPr>
          <t xml:space="preserve">
What's this?</t>
        </r>
      </text>
    </comment>
    <comment ref="C157" authorId="1" guid="{528E9100-5D1E-4575-B814-724C265B1F2B}" shapeId="0">
      <text>
        <r>
          <rPr>
            <b/>
            <sz val="9"/>
            <color indexed="81"/>
            <rFont val="Tahoma"/>
            <family val="2"/>
          </rPr>
          <t>Andrea Martin:</t>
        </r>
        <r>
          <rPr>
            <sz val="9"/>
            <color indexed="81"/>
            <rFont val="Tahoma"/>
            <family val="2"/>
          </rPr>
          <t xml:space="preserve">
I would recommend referencing the table you have here just to make sure no one updates the table but not these values.</t>
        </r>
      </text>
    </comment>
  </commentList>
</comments>
</file>

<file path=xl/comments2.xml><?xml version="1.0" encoding="utf-8"?>
<comments xmlns="http://schemas.openxmlformats.org/spreadsheetml/2006/main">
  <authors>
    <author>Chelsea</author>
  </authors>
  <commentList>
    <comment ref="F41" authorId="0" guid="{AE08E6CC-15FB-4316-B68B-09A3B17CF438}" shapeId="0">
      <text>
        <r>
          <rPr>
            <b/>
            <sz val="9"/>
            <color indexed="81"/>
            <rFont val="Tahoma"/>
            <family val="2"/>
          </rPr>
          <t>Chelsea:</t>
        </r>
        <r>
          <rPr>
            <sz val="9"/>
            <color indexed="81"/>
            <rFont val="Tahoma"/>
            <family val="2"/>
          </rPr>
          <t xml:space="preserve">
Tier 1 default EF, based on "typical" raw material mixture, to national glass production data.  "Typical" soda-lime batch = sand (56.2 weight %), feldspar (5.3%), dolomite (9.8%), limestone (8.6%), soda ash (20.0%).  Based on this composition, one metric tonne of raw materials yields approximately .84 tonnes of glass, losing about 16.7% of its weight as volatiles, in this case virtually entirely CO2.</t>
        </r>
      </text>
    </comment>
    <comment ref="J41" authorId="0" guid="{6BBF7985-75A7-4B4D-A98F-22119D0D0A20}" shapeId="0">
      <text>
        <r>
          <rPr>
            <b/>
            <sz val="9"/>
            <color indexed="81"/>
            <rFont val="Tahoma"/>
            <family val="2"/>
          </rPr>
          <t>Chelsea:</t>
        </r>
        <r>
          <rPr>
            <sz val="9"/>
            <color indexed="81"/>
            <rFont val="Tahoma"/>
            <family val="2"/>
          </rPr>
          <t xml:space="preserve">
Tier 1 default EF, based on "typical" raw material mixture, to national glass production data.  "Typical" soda-lime batch = sand (56.2 weight %), feldspar (5.3%), dolomite (9.8%), limestone (8.6%), soda ash (20.0%).  Based on this composition, one metric tonne of raw materials yields approximately .84 tonnes of glass, losing about 16.7% of its weight as volatiles, in this case virtually entirely CO2.</t>
        </r>
      </text>
    </comment>
    <comment ref="F42" authorId="0" guid="{BF45AC12-2732-4F31-B967-ED30A6B4299A}" shapeId="0">
      <text>
        <r>
          <rPr>
            <b/>
            <sz val="9"/>
            <color indexed="81"/>
            <rFont val="Tahoma"/>
            <family val="2"/>
          </rPr>
          <t>Chelsea:</t>
        </r>
        <r>
          <rPr>
            <sz val="9"/>
            <color indexed="81"/>
            <rFont val="Tahoma"/>
            <family val="2"/>
          </rPr>
          <t xml:space="preserve">
(The Tier 1 default is .5.)</t>
        </r>
      </text>
    </comment>
    <comment ref="J42" authorId="0" guid="{0852728B-2CE1-4E53-B624-5B9C325FC3F3}" shapeId="0">
      <text>
        <r>
          <rPr>
            <b/>
            <sz val="9"/>
            <color indexed="81"/>
            <rFont val="Tahoma"/>
            <family val="2"/>
          </rPr>
          <t>Chelsea:</t>
        </r>
        <r>
          <rPr>
            <sz val="9"/>
            <color indexed="81"/>
            <rFont val="Tahoma"/>
            <family val="2"/>
          </rPr>
          <t xml:space="preserve">
(The Tier 1 default is .5.)</t>
        </r>
      </text>
    </comment>
  </commentList>
</comments>
</file>

<file path=xl/comments3.xml><?xml version="1.0" encoding="utf-8"?>
<comments xmlns="http://schemas.openxmlformats.org/spreadsheetml/2006/main">
  <authors>
    <author>Andrea Martin</author>
  </authors>
  <commentList>
    <comment ref="V12" authorId="0" guid="{973152D0-AF51-49D1-ADCA-1DB3F6C60C38}" shapeId="0">
      <text>
        <r>
          <rPr>
            <b/>
            <sz val="9"/>
            <color indexed="81"/>
            <rFont val="Tahoma"/>
            <family val="2"/>
          </rPr>
          <t>Andrea Martin:</t>
        </r>
        <r>
          <rPr>
            <sz val="9"/>
            <color indexed="81"/>
            <rFont val="Tahoma"/>
            <family val="2"/>
          </rPr>
          <t xml:space="preserve">
What's this?</t>
        </r>
      </text>
    </comment>
  </commentList>
</comments>
</file>

<file path=xl/comments4.xml><?xml version="1.0" encoding="utf-8"?>
<comments xmlns="http://schemas.openxmlformats.org/spreadsheetml/2006/main">
  <authors>
    <author>Andrea Martin</author>
  </authors>
  <commentList>
    <comment ref="A20" authorId="0" guid="{3EB97B4F-271D-4088-9BA6-40E18DF2FB00}" shapeId="0">
      <text>
        <r>
          <rPr>
            <b/>
            <sz val="9"/>
            <color indexed="81"/>
            <rFont val="Tahoma"/>
            <family val="2"/>
          </rPr>
          <t>Andrea Martin:</t>
        </r>
        <r>
          <rPr>
            <sz val="9"/>
            <color indexed="81"/>
            <rFont val="Tahoma"/>
            <family val="2"/>
          </rPr>
          <t xml:space="preserve">
Note that these data could be pending the new maritime inventory, available soon.
</t>
        </r>
      </text>
    </comment>
  </commentList>
</comments>
</file>

<file path=xl/comments5.xml><?xml version="1.0" encoding="utf-8"?>
<comments xmlns="http://schemas.openxmlformats.org/spreadsheetml/2006/main">
  <authors>
    <author>Andrea Martin</author>
  </authors>
  <commentList>
    <comment ref="AC6" authorId="0" guid="{85087B48-D200-402A-9FC0-E0BE1B637C34}" shapeId="0">
      <text>
        <r>
          <rPr>
            <b/>
            <sz val="9"/>
            <color indexed="81"/>
            <rFont val="Tahoma"/>
            <family val="2"/>
          </rPr>
          <t>Andrea Martin:</t>
        </r>
        <r>
          <rPr>
            <sz val="9"/>
            <color indexed="81"/>
            <rFont val="Tahoma"/>
            <family val="2"/>
          </rPr>
          <t xml:space="preserve">
Note that these are 2011 values that should be updated when new maritime inventory becomes available.
</t>
        </r>
      </text>
    </comment>
  </commentList>
</comments>
</file>

<file path=xl/comments6.xml><?xml version="1.0" encoding="utf-8"?>
<comments xmlns="http://schemas.openxmlformats.org/spreadsheetml/2006/main">
  <authors>
    <author>Chelsea</author>
  </authors>
  <commentList>
    <comment ref="A5" authorId="0" guid="{AA38C997-B2FE-41E7-8008-561C3BA31928}" shapeId="0">
      <text>
        <r>
          <rPr>
            <b/>
            <sz val="9"/>
            <color indexed="81"/>
            <rFont val="Tahoma"/>
            <family val="2"/>
          </rPr>
          <t>Chelsea:</t>
        </r>
        <r>
          <rPr>
            <sz val="9"/>
            <color indexed="81"/>
            <rFont val="Tahoma"/>
            <family val="2"/>
          </rPr>
          <t xml:space="preserve">
LTO = Landing and Take-off</t>
        </r>
      </text>
    </comment>
    <comment ref="F25" authorId="0" guid="{0D489543-5293-475D-8D09-5E68E695360E}" shapeId="0">
      <text>
        <r>
          <rPr>
            <b/>
            <sz val="9"/>
            <color indexed="81"/>
            <rFont val="Tahoma"/>
            <family val="2"/>
          </rPr>
          <t>Chelsea:</t>
        </r>
        <r>
          <rPr>
            <sz val="9"/>
            <color indexed="81"/>
            <rFont val="Tahoma"/>
            <family val="2"/>
          </rPr>
          <t xml:space="preserve">
Corrected this calculation.  Previously, was: =J12*efavgas/1000000, which is multiplying gallons by an EF with units of gCo2/L.  Should multiply by value converted to liters.</t>
        </r>
      </text>
    </comment>
  </commentList>
</comments>
</file>

<file path=xl/comments7.xml><?xml version="1.0" encoding="utf-8"?>
<comments xmlns="http://schemas.openxmlformats.org/spreadsheetml/2006/main">
  <authors>
    <author>Andrea Martin</author>
  </authors>
  <commentList>
    <comment ref="M80" authorId="0" guid="{ABEAF80E-EA63-4026-98E3-EC04F9AA3D48}" shapeId="0">
      <text>
        <r>
          <rPr>
            <b/>
            <sz val="9"/>
            <color indexed="81"/>
            <rFont val="Tahoma"/>
            <family val="2"/>
          </rPr>
          <t>Andrea Martin:</t>
        </r>
        <r>
          <rPr>
            <sz val="9"/>
            <color indexed="81"/>
            <rFont val="Tahoma"/>
            <family val="2"/>
          </rPr>
          <t xml:space="preserve">
where is this from?</t>
        </r>
      </text>
    </comment>
    <comment ref="K88" authorId="0" guid="{ECE344B3-948A-4226-8273-E52D0BAFA5EB}" shapeId="0">
      <text>
        <r>
          <rPr>
            <b/>
            <sz val="9"/>
            <color indexed="81"/>
            <rFont val="Tahoma"/>
            <family val="2"/>
          </rPr>
          <t>Andrea Martin:</t>
        </r>
        <r>
          <rPr>
            <sz val="9"/>
            <color indexed="81"/>
            <rFont val="Tahoma"/>
            <family val="2"/>
          </rPr>
          <t xml:space="preserve">
Not including N2O emissions?</t>
        </r>
      </text>
    </comment>
  </commentList>
</comments>
</file>

<file path=xl/comments8.xml><?xml version="1.0" encoding="utf-8"?>
<comments xmlns="http://schemas.openxmlformats.org/spreadsheetml/2006/main">
  <authors>
    <author>Brian Harmon</author>
    <author>Chelsea</author>
  </authors>
  <commentList>
    <comment ref="K9" authorId="0" guid="{9B2E66C2-0E89-4588-807A-9EF90F600B12}" shapeId="0">
      <text>
        <r>
          <rPr>
            <b/>
            <sz val="9"/>
            <color indexed="81"/>
            <rFont val="Tahoma"/>
            <family val="2"/>
          </rPr>
          <t>Brian Harmon:</t>
        </r>
        <r>
          <rPr>
            <sz val="9"/>
            <color indexed="81"/>
            <rFont val="Tahoma"/>
            <family val="2"/>
          </rPr>
          <t xml:space="preserve">
horses + mules, burros, and donkeys</t>
        </r>
      </text>
    </comment>
    <comment ref="B12" authorId="1" guid="{71F53987-5842-4E26-815F-E20A62A65905}" shapeId="0">
      <text>
        <r>
          <rPr>
            <b/>
            <sz val="9"/>
            <color indexed="81"/>
            <rFont val="Tahoma"/>
            <family val="2"/>
          </rPr>
          <t>Chelsea:</t>
        </r>
        <r>
          <rPr>
            <sz val="9"/>
            <color indexed="81"/>
            <rFont val="Tahoma"/>
            <family val="2"/>
          </rPr>
          <t xml:space="preserve">
=107 milk goats +58 angora goats</t>
        </r>
      </text>
    </comment>
    <comment ref="F12" authorId="1" guid="{0D871E17-7BED-4982-9515-4C7A99B177AE}" shapeId="0">
      <text>
        <r>
          <rPr>
            <b/>
            <sz val="9"/>
            <color indexed="81"/>
            <rFont val="Tahoma"/>
            <family val="2"/>
          </rPr>
          <t>Chelsea:</t>
        </r>
        <r>
          <rPr>
            <sz val="9"/>
            <color indexed="81"/>
            <rFont val="Tahoma"/>
            <family val="2"/>
          </rPr>
          <t xml:space="preserve">
144 milk goats + 145 angora goats</t>
        </r>
      </text>
    </comment>
    <comment ref="F13" authorId="1" guid="{72BF2430-BBFC-4079-A8A3-7C396C0D13DA}" shapeId="0">
      <text>
        <r>
          <rPr>
            <b/>
            <sz val="9"/>
            <color indexed="81"/>
            <rFont val="Tahoma"/>
            <family val="2"/>
          </rPr>
          <t>Chelsea:</t>
        </r>
        <r>
          <rPr>
            <sz val="9"/>
            <color indexed="81"/>
            <rFont val="Tahoma"/>
            <family val="2"/>
          </rPr>
          <t xml:space="preserve">
Approximated by applying ratio of KC:WA in 2002 (2972/35954)to the WA mink population in 2007 (KC07/47163).</t>
        </r>
      </text>
    </comment>
    <comment ref="B14" authorId="1" guid="{2795B721-6640-4186-A392-46AC9932D85F}" shapeId="0">
      <text>
        <r>
          <rPr>
            <b/>
            <sz val="9"/>
            <color indexed="81"/>
            <rFont val="Tahoma"/>
            <family val="2"/>
          </rPr>
          <t>Chelsea:</t>
        </r>
        <r>
          <rPr>
            <sz val="9"/>
            <color indexed="81"/>
            <rFont val="Tahoma"/>
            <family val="2"/>
          </rPr>
          <t xml:space="preserve">
=4663 layers 20 weeks old and older + 1370 pullets for laying flock replacement + 2886 broilers and other meat-type chickens + 64 turkeys</t>
        </r>
      </text>
    </comment>
    <comment ref="F14" authorId="1" guid="{54476F8E-720E-4394-AAFF-CFB3FA79BE86}" shapeId="0">
      <text>
        <r>
          <rPr>
            <b/>
            <sz val="9"/>
            <color indexed="81"/>
            <rFont val="Tahoma"/>
            <family val="2"/>
          </rPr>
          <t>Chelsea:</t>
        </r>
        <r>
          <rPr>
            <sz val="9"/>
            <color indexed="81"/>
            <rFont val="Tahoma"/>
            <family val="2"/>
          </rPr>
          <t xml:space="preserve">
=9057 layers + 1662 pullets for laying flock replacement + 1911 broilers and other meat-type chickens + 219 turkeys</t>
        </r>
      </text>
    </comment>
    <comment ref="K14" authorId="1" guid="{7A4F68D7-427E-46D5-B431-10D41EE99F2D}" shapeId="0">
      <text>
        <r>
          <rPr>
            <b/>
            <sz val="9"/>
            <color indexed="81"/>
            <rFont val="Tahoma"/>
            <family val="2"/>
          </rPr>
          <t>Chelsea:Brian Harmon</t>
        </r>
        <r>
          <rPr>
            <sz val="9"/>
            <color indexed="81"/>
            <rFont val="Tahoma"/>
            <family val="2"/>
          </rPr>
          <t xml:space="preserve">
=9778 layers + 2239 pullets for laying flock replacement + 1376  broilers +456 other chickens + 262 turkeys + 99 other poultry (ducks, geese, etc.)</t>
        </r>
      </text>
    </comment>
    <comment ref="K52" authorId="0" guid="{73D24E67-905E-49C3-A9ED-06CD3FBAFE94}" shapeId="0">
      <text>
        <r>
          <rPr>
            <b/>
            <sz val="9"/>
            <color indexed="81"/>
            <rFont val="Tahoma"/>
            <family val="2"/>
          </rPr>
          <t>Brian Harmon:</t>
        </r>
        <r>
          <rPr>
            <sz val="9"/>
            <color indexed="81"/>
            <rFont val="Tahoma"/>
            <family val="2"/>
          </rPr>
          <t xml:space="preserve">
value reported for broilers. Other chickens: 1.8kg, turkeys 6.8 kg</t>
        </r>
      </text>
    </comment>
    <comment ref="A73" authorId="1" guid="{026C2192-4F0A-4F1A-A162-25A14C27B9B9}" shapeId="0">
      <text>
        <r>
          <rPr>
            <b/>
            <sz val="9"/>
            <color indexed="81"/>
            <rFont val="Tahoma"/>
            <family val="2"/>
          </rPr>
          <t>Chelsea:</t>
        </r>
        <r>
          <rPr>
            <sz val="9"/>
            <color indexed="81"/>
            <rFont val="Tahoma"/>
            <family val="2"/>
          </rPr>
          <t xml:space="preserve">
Total Kjeldahl Nitrogen</t>
        </r>
      </text>
    </comment>
    <comment ref="K82" authorId="0" guid="{52EAFC7A-2A76-4850-975B-5875EF695B06}" shapeId="0">
      <text>
        <r>
          <rPr>
            <b/>
            <sz val="9"/>
            <color indexed="81"/>
            <rFont val="Tahoma"/>
            <family val="2"/>
          </rPr>
          <t>Brian Harmon:</t>
        </r>
        <r>
          <rPr>
            <sz val="9"/>
            <color indexed="81"/>
            <rFont val="Tahoma"/>
            <family val="2"/>
          </rPr>
          <t xml:space="preserve">
changed to broiler value to keep consistent throughout workbook</t>
        </r>
      </text>
    </comment>
  </commentList>
</comments>
</file>

<file path=xl/comments9.xml><?xml version="1.0" encoding="utf-8"?>
<comments xmlns="http://schemas.openxmlformats.org/spreadsheetml/2006/main">
  <authors>
    <author>Roel Hammerschlag</author>
  </authors>
  <commentList>
    <comment ref="G2" authorId="0" guid="{15950A0B-D819-43A1-A581-BEE43769B078}" shapeId="0">
      <text>
        <r>
          <rPr>
            <b/>
            <sz val="8"/>
            <color indexed="81"/>
            <rFont val="Tahoma"/>
            <family val="2"/>
          </rPr>
          <t>Roel Hammerschlag:</t>
        </r>
        <r>
          <rPr>
            <sz val="8"/>
            <color indexed="81"/>
            <rFont val="Tahoma"/>
            <family val="2"/>
          </rPr>
          <t xml:space="preserve">
This should be a 5-digit number.</t>
        </r>
      </text>
    </comment>
    <comment ref="C3" authorId="0" guid="{9C0D48AC-6524-4F3E-B126-74EA7E64E055}" shapeId="0">
      <text>
        <r>
          <rPr>
            <b/>
            <sz val="8"/>
            <color indexed="81"/>
            <rFont val="Tahoma"/>
            <family val="2"/>
          </rPr>
          <t>Roel Hammerschlag:</t>
        </r>
        <r>
          <rPr>
            <sz val="8"/>
            <color indexed="81"/>
            <rFont val="Tahoma"/>
            <family val="2"/>
          </rPr>
          <t xml:space="preserve">
This column is restricted to formulae that reference other cells - no data may be input directly.</t>
        </r>
      </text>
    </comment>
    <comment ref="E3" authorId="0" guid="{EC9759E8-8C23-468E-83BC-88E2221FB60D}" shapeId="0">
      <text>
        <r>
          <rPr>
            <b/>
            <sz val="8"/>
            <color indexed="81"/>
            <rFont val="Tahoma"/>
            <family val="2"/>
          </rPr>
          <t>Roel Hammerschlag:</t>
        </r>
        <r>
          <rPr>
            <sz val="8"/>
            <color indexed="81"/>
            <rFont val="Tahoma"/>
            <family val="2"/>
          </rPr>
          <t xml:space="preserve">
This column is restricted to numeric values copied from the publication.</t>
        </r>
      </text>
    </comment>
  </commentList>
</comments>
</file>

<file path=xl/sharedStrings.xml><?xml version="1.0" encoding="utf-8"?>
<sst xmlns="http://schemas.openxmlformats.org/spreadsheetml/2006/main" count="7948" uniqueCount="2437">
  <si>
    <t>2. Calculate emissions</t>
  </si>
  <si>
    <t>1. Calculate commercial portion of non-residential</t>
  </si>
  <si>
    <t>2. Convert to MWh</t>
  </si>
  <si>
    <t>1. Calculate industrial portion of non-residential</t>
  </si>
  <si>
    <t>therms</t>
    <phoneticPr fontId="30" type="noConversion"/>
  </si>
  <si>
    <t>1. Aggregate gallons</t>
  </si>
  <si>
    <t>Total Oil Consumption</t>
  </si>
  <si>
    <t>Total Oil Emissions</t>
  </si>
  <si>
    <t>Air</t>
  </si>
  <si>
    <t>Cars &amp; Light Duty Trucks</t>
  </si>
  <si>
    <t>Trucks</t>
  </si>
  <si>
    <t>Buses &amp; Vanpool</t>
  </si>
  <si>
    <t>Ship &amp; Boat Traffic</t>
  </si>
  <si>
    <t>WA State Ferries</t>
  </si>
  <si>
    <t xml:space="preserve">Marine &amp; Rail </t>
  </si>
  <si>
    <t>King County Airport</t>
  </si>
  <si>
    <t>Sea-Tac Airport</t>
  </si>
  <si>
    <t>Steam</t>
  </si>
  <si>
    <t>Steel</t>
  </si>
  <si>
    <t>Wastewater Treatment</t>
  </si>
  <si>
    <t>Yard Equipment</t>
  </si>
  <si>
    <t>TOTAL EMISSIONS</t>
  </si>
  <si>
    <t>Cruise Shore Power (# times utilized shore power)</t>
  </si>
  <si>
    <t>calls</t>
  </si>
  <si>
    <t>Truck</t>
  </si>
  <si>
    <t>Bus</t>
  </si>
  <si>
    <t>Car &amp; Light Duty Truck</t>
  </si>
  <si>
    <t xml:space="preserve">Commercial </t>
  </si>
  <si>
    <t>Port Tonnage</t>
  </si>
  <si>
    <t>Total Port Calls</t>
  </si>
  <si>
    <t xml:space="preserve">gal </t>
  </si>
  <si>
    <t xml:space="preserve">PSCAA Monitoring Data, per PSE designation </t>
  </si>
  <si>
    <t>1. Convert total to MWh</t>
  </si>
  <si>
    <t>1. Convert to MWh</t>
  </si>
  <si>
    <t xml:space="preserve">Total </t>
  </si>
  <si>
    <t>Detailed Summary of Emissions by Sector</t>
  </si>
  <si>
    <t>GHG Emissions by Sector</t>
  </si>
  <si>
    <t>Oil</t>
  </si>
  <si>
    <t xml:space="preserve"> PSCAA Monitoring Data, per PSE designation</t>
  </si>
  <si>
    <t>Lafarge Coal Mills</t>
  </si>
  <si>
    <t xml:space="preserve">Ash Grove </t>
  </si>
  <si>
    <t xml:space="preserve">Ash Grove and Lafarge self-reported </t>
  </si>
  <si>
    <t>Lafarge self-reported</t>
  </si>
  <si>
    <t>Energy Information Administration</t>
  </si>
  <si>
    <t>Vanpol</t>
  </si>
  <si>
    <t>Electricity Consumption by Sector</t>
  </si>
  <si>
    <t>Residential</t>
  </si>
  <si>
    <t>Commercial</t>
  </si>
  <si>
    <t>Industrial</t>
  </si>
  <si>
    <t>Non-Residential</t>
  </si>
  <si>
    <t>source data</t>
    <phoneticPr fontId="30" type="noConversion"/>
  </si>
  <si>
    <t xml:space="preserve">PSCAA Monitoring Data, per PSE deignation </t>
    <phoneticPr fontId="30" type="noConversion"/>
  </si>
  <si>
    <t>PSCAA Monitoring Data, per PSE designation</t>
    <phoneticPr fontId="30" type="noConversion"/>
  </si>
  <si>
    <t xml:space="preserve"> </t>
  </si>
  <si>
    <t xml:space="preserve">(multiply Interbay emissions by Judkins:Interbay ratio) </t>
  </si>
  <si>
    <t xml:space="preserve">(multiply Interbay emissions by South Park: Interbay ratio) </t>
  </si>
  <si>
    <t>1. Convert to Mg</t>
  </si>
  <si>
    <t>2. Calculate emissions SF6</t>
  </si>
  <si>
    <t>Transportation - Aircraft</t>
  </si>
  <si>
    <t xml:space="preserve">Process Parameters </t>
  </si>
  <si>
    <t xml:space="preserve">CaO fraction (Calcium Oxide) </t>
  </si>
  <si>
    <t>Marine pleasure craft</t>
  </si>
  <si>
    <t>Washington State Ferries</t>
  </si>
  <si>
    <t>Other Ship &amp; Boat Traffic</t>
  </si>
  <si>
    <t>Cruise Ships</t>
  </si>
  <si>
    <t>08-41-0</t>
  </si>
  <si>
    <t>Waste</t>
  </si>
  <si>
    <t>Commercial Oil</t>
  </si>
  <si>
    <t>Commercial Equipment</t>
  </si>
  <si>
    <t>Industrial Point Sources</t>
  </si>
  <si>
    <t>Distillate oil</t>
  </si>
  <si>
    <t>Coal</t>
  </si>
  <si>
    <t xml:space="preserve">Lafarge </t>
  </si>
  <si>
    <t>Tire-Derived Fuel (TDF)</t>
  </si>
  <si>
    <t>Industrial Consumption</t>
  </si>
  <si>
    <t>2. Aggregate Coal</t>
  </si>
  <si>
    <t>2. Aggregate TDF</t>
  </si>
  <si>
    <t>Industrial Oil</t>
  </si>
  <si>
    <t>WA Industrial Use</t>
  </si>
  <si>
    <t xml:space="preserve">West Point Facility </t>
  </si>
  <si>
    <t>Process emissions</t>
  </si>
  <si>
    <r>
      <t>Emissions, MgCO</t>
    </r>
    <r>
      <rPr>
        <b/>
        <vertAlign val="subscript"/>
        <sz val="9"/>
        <rFont val="Arial"/>
        <family val="2"/>
      </rPr>
      <t>2</t>
    </r>
    <r>
      <rPr>
        <b/>
        <sz val="9"/>
        <rFont val="Arial"/>
        <family val="2"/>
      </rPr>
      <t>e</t>
    </r>
  </si>
  <si>
    <t>1. Calcalate nominal C loss from electrode (Take average of min &amp; max)</t>
  </si>
  <si>
    <t>Electric switchgear operated by SCL</t>
  </si>
  <si>
    <t>4. Aggregate TDF emissions</t>
  </si>
  <si>
    <t>4. Aggregate coal emissions</t>
  </si>
  <si>
    <t>Waste- Management</t>
  </si>
  <si>
    <t xml:space="preserve">05-813 </t>
  </si>
  <si>
    <t>p.312</t>
  </si>
  <si>
    <t>p. 326</t>
  </si>
  <si>
    <t xml:space="preserve">05-058 </t>
  </si>
  <si>
    <t xml:space="preserve">05-066 </t>
  </si>
  <si>
    <t>11 City-owned acres only</t>
  </si>
  <si>
    <t>emissions ratio,  1990/2005</t>
  </si>
  <si>
    <t>Residual oil</t>
  </si>
  <si>
    <t>Natural Gas Consumption</t>
  </si>
  <si>
    <t>(multiply system area ratio by covered system emissions)</t>
  </si>
  <si>
    <t>3. Aggregate emissions</t>
  </si>
  <si>
    <t>1. Convert to liters</t>
  </si>
  <si>
    <t xml:space="preserve">2. Calculate emissions factor </t>
  </si>
  <si>
    <t xml:space="preserve">4. Calculate LTO emissions </t>
  </si>
  <si>
    <t xml:space="preserve">Percentage of total fuel allocated to LTO </t>
  </si>
  <si>
    <t>Total Jet Fuel Use</t>
  </si>
  <si>
    <t>Jet Fuel Consumption</t>
  </si>
  <si>
    <t>3. Calculate emissions</t>
  </si>
  <si>
    <t>Residential heating and hot water</t>
  </si>
  <si>
    <t>1. Convert to TJ</t>
  </si>
  <si>
    <t>2. Calculate gas emissions</t>
  </si>
  <si>
    <t xml:space="preserve">Residential Oil </t>
  </si>
  <si>
    <t>Washington State consumption</t>
  </si>
  <si>
    <t>Data year</t>
  </si>
  <si>
    <t>Data related to LTO fuel use</t>
  </si>
  <si>
    <t>4. Calculate oil emissions</t>
  </si>
  <si>
    <t xml:space="preserve">Seattle City Light </t>
  </si>
  <si>
    <t>Residential Garden &amp; Rec Equipment</t>
    <phoneticPr fontId="25" type="noConversion"/>
  </si>
  <si>
    <t>4. Calculate emissions</t>
  </si>
  <si>
    <t>Total</t>
  </si>
  <si>
    <t>1. Convert production to Mg</t>
  </si>
  <si>
    <t>Soure data</t>
  </si>
  <si>
    <t>Source data</t>
  </si>
  <si>
    <t>Calculation steps</t>
  </si>
  <si>
    <t xml:space="preserve">Other Process Emissions </t>
  </si>
  <si>
    <t>empComKC08</t>
  </si>
  <si>
    <t>Industrial Process Emissions</t>
  </si>
  <si>
    <t>Cement Manufacture</t>
  </si>
  <si>
    <t>2. Calculate calcination EF</t>
  </si>
  <si>
    <t>MgCO2/Mg clinker</t>
  </si>
  <si>
    <t>(multiply production x CKD corretion factor x EF)</t>
  </si>
  <si>
    <t>(multiply CaO fraction x CO2/CaO mass ratio)</t>
  </si>
  <si>
    <t>3. Calculate calcination emissions</t>
  </si>
  <si>
    <t>Total Cement Process Emissions</t>
  </si>
  <si>
    <t>Other ship &amp; boat traffic</t>
  </si>
  <si>
    <t>Hotelling</t>
  </si>
  <si>
    <t>4. Sum hotelling: add cruise and freight emissions</t>
  </si>
  <si>
    <t>4. Add freight and cruise emissions</t>
  </si>
  <si>
    <t xml:space="preserve">Sea-Tac Airport </t>
  </si>
  <si>
    <t>baseline year daily vehicle travel (DVMT)</t>
  </si>
  <si>
    <t xml:space="preserve">(multiply Interbay emissions by Genesse:Interbay ratio </t>
  </si>
  <si>
    <t>JetA</t>
  </si>
  <si>
    <t>AV Gas</t>
  </si>
  <si>
    <t>08-14-5</t>
  </si>
  <si>
    <t>Cruise Vessel Calls Using Shore Power</t>
  </si>
  <si>
    <t>shorepow05</t>
  </si>
  <si>
    <t>shorepow08</t>
  </si>
  <si>
    <t>08-90-53</t>
  </si>
  <si>
    <t xml:space="preserve">West Seattle </t>
  </si>
  <si>
    <t>Cruise Vessel Calls</t>
  </si>
  <si>
    <t>Commercial Point Sources</t>
  </si>
  <si>
    <t>Steam Plants</t>
  </si>
  <si>
    <t xml:space="preserve">Waste- Muncipal Landfills </t>
  </si>
  <si>
    <t>Interbay Landfills</t>
  </si>
  <si>
    <t>1. Calculate emissions</t>
  </si>
  <si>
    <t>calculation steps</t>
  </si>
  <si>
    <r>
      <t>gCO</t>
    </r>
    <r>
      <rPr>
        <vertAlign val="subscript"/>
        <sz val="9"/>
        <rFont val="Arial"/>
        <family val="2"/>
      </rPr>
      <t>2</t>
    </r>
    <r>
      <rPr>
        <sz val="9"/>
        <rFont val="Arial"/>
        <family val="2"/>
      </rPr>
      <t>/km</t>
    </r>
  </si>
  <si>
    <t>vehicle efficiency</t>
  </si>
  <si>
    <t xml:space="preserve">       Cruise</t>
  </si>
  <si>
    <t>A. Ocean-going Vessel(OGV) Maneuvering at POS</t>
  </si>
  <si>
    <t xml:space="preserve">2. scale by # of cruise vessel calls at Port </t>
  </si>
  <si>
    <t>Puget Sound Clear Air Agency Emissions Report</t>
  </si>
  <si>
    <t>LTO Emissions</t>
  </si>
  <si>
    <t>Data relating to fuel consumed at airport</t>
  </si>
  <si>
    <t>Jet A</t>
  </si>
  <si>
    <t>Rail</t>
  </si>
  <si>
    <t>MgCO2e</t>
  </si>
  <si>
    <t>popKC08</t>
  </si>
  <si>
    <t>2008 commercial employees</t>
  </si>
  <si>
    <t>2008 industrial employees</t>
  </si>
  <si>
    <t>popUS08</t>
  </si>
  <si>
    <r>
      <t>MgCO</t>
    </r>
    <r>
      <rPr>
        <vertAlign val="subscript"/>
        <sz val="9"/>
        <rFont val="Arial"/>
        <family val="2"/>
      </rPr>
      <t>2</t>
    </r>
    <r>
      <rPr>
        <sz val="9"/>
        <rFont val="Arial"/>
        <family val="2"/>
      </rPr>
      <t>e</t>
    </r>
  </si>
  <si>
    <t>Nucor</t>
  </si>
  <si>
    <t>Jorgensen</t>
  </si>
  <si>
    <t>steel</t>
  </si>
  <si>
    <t>Montlake</t>
  </si>
  <si>
    <t>Natural gas</t>
  </si>
  <si>
    <t>5. compute emissions factor</t>
  </si>
  <si>
    <t>empIndKC08</t>
  </si>
  <si>
    <t>empComWA08</t>
  </si>
  <si>
    <t>empIndWA08</t>
  </si>
  <si>
    <t>portton05</t>
  </si>
  <si>
    <t>portton08</t>
  </si>
  <si>
    <t>Grand Total Port of Seattle Tonnage</t>
  </si>
  <si>
    <t xml:space="preserve"> 08-12-6</t>
  </si>
  <si>
    <t>3. scale freight by # of vessel calls at Port</t>
  </si>
  <si>
    <t>Sites monitored by the PSCAA</t>
  </si>
  <si>
    <r>
      <t>MgCO</t>
    </r>
    <r>
      <rPr>
        <vertAlign val="subscript"/>
        <sz val="9"/>
        <rFont val="Arial"/>
        <family val="2"/>
      </rPr>
      <t>2</t>
    </r>
    <r>
      <rPr>
        <sz val="9"/>
        <rFont val="Arial"/>
        <family val="2"/>
      </rPr>
      <t>e</t>
    </r>
  </si>
  <si>
    <t>These are a second-tier substitute for volume ratios where they are unavailable</t>
  </si>
  <si>
    <t>Interbay area</t>
  </si>
  <si>
    <t>05-015</t>
  </si>
  <si>
    <t>South Park area</t>
  </si>
  <si>
    <t>landfill emissions commitment</t>
  </si>
  <si>
    <r>
      <t>ft</t>
    </r>
    <r>
      <rPr>
        <vertAlign val="superscript"/>
        <sz val="9"/>
        <rFont val="Arial"/>
        <family val="2"/>
      </rPr>
      <t>3</t>
    </r>
    <r>
      <rPr>
        <sz val="9"/>
        <rFont val="Arial"/>
        <family val="2"/>
      </rPr>
      <t>/min</t>
    </r>
  </si>
  <si>
    <t>L/day</t>
  </si>
  <si>
    <t>g/day</t>
  </si>
  <si>
    <t>Mg/yr</t>
  </si>
  <si>
    <t>portcalls05</t>
  </si>
  <si>
    <t>portcalls08</t>
  </si>
  <si>
    <t>cruisecalls08</t>
  </si>
  <si>
    <t>cruisecalls05</t>
  </si>
  <si>
    <t>vessel calls</t>
  </si>
  <si>
    <t xml:space="preserve">2. Aggregate on-terminal </t>
  </si>
  <si>
    <t xml:space="preserve">on-terminal </t>
  </si>
  <si>
    <t>1. Convert to MgCO2e</t>
  </si>
  <si>
    <t>3. Calculate other freight - subtract on-terminal + off terminal from Seattle gross</t>
  </si>
  <si>
    <t xml:space="preserve">    Freight</t>
  </si>
  <si>
    <t xml:space="preserve">    Cruise</t>
  </si>
  <si>
    <t>2008</t>
  </si>
  <si>
    <t>type of vessels in puget sound</t>
  </si>
  <si>
    <r>
      <t>MgCO</t>
    </r>
    <r>
      <rPr>
        <b/>
        <vertAlign val="subscript"/>
        <sz val="9"/>
        <rFont val="Arial"/>
        <family val="2"/>
      </rPr>
      <t>2</t>
    </r>
    <r>
      <rPr>
        <b/>
        <sz val="9"/>
        <rFont val="Arial"/>
        <family val="2"/>
      </rPr>
      <t>e</t>
    </r>
  </si>
  <si>
    <t>08-12-9</t>
  </si>
  <si>
    <t>08-12-6</t>
  </si>
  <si>
    <t>source data</t>
  </si>
  <si>
    <t>data relating to vehicle travel</t>
  </si>
  <si>
    <t>Gasoline</t>
  </si>
  <si>
    <t>Diesel</t>
  </si>
  <si>
    <t>Natural Gas</t>
  </si>
  <si>
    <t>kgC/Mg steel</t>
  </si>
  <si>
    <t>efTDF</t>
  </si>
  <si>
    <t>tire-derived fuel (TDF)</t>
  </si>
  <si>
    <t>lbCO2/ton</t>
  </si>
  <si>
    <t>05-140</t>
  </si>
  <si>
    <t>CO2/CaO mass ratio</t>
  </si>
  <si>
    <t>Ash Grove</t>
  </si>
  <si>
    <t>CaO fraction</t>
  </si>
  <si>
    <t>Lafarge</t>
  </si>
  <si>
    <t>CKD correction factor</t>
  </si>
  <si>
    <t>05-058</t>
  </si>
  <si>
    <t>full landfill : system area ratio</t>
  </si>
  <si>
    <t>covered system emissions</t>
  </si>
  <si>
    <t>other freight</t>
  </si>
  <si>
    <t>nominal value based on U.S. industrial coal represented in the U.S. GHG inventory</t>
  </si>
  <si>
    <r>
      <t>tonCO</t>
    </r>
    <r>
      <rPr>
        <vertAlign val="subscript"/>
        <sz val="9"/>
        <rFont val="Arial"/>
        <family val="2"/>
      </rPr>
      <t>2</t>
    </r>
  </si>
  <si>
    <t>King County freight gross</t>
  </si>
  <si>
    <t>6. multiply emissions factor by annual miles traveled</t>
  </si>
  <si>
    <t>1. convert gross fuel consumption to metric</t>
  </si>
  <si>
    <t>trucks</t>
  </si>
  <si>
    <t>05-047</t>
  </si>
  <si>
    <t>King County International Airport</t>
  </si>
  <si>
    <t>U.S.</t>
  </si>
  <si>
    <t>popUS05</t>
  </si>
  <si>
    <t>Washington State ferries</t>
  </si>
  <si>
    <t>"cal" or "calorie" is the gram-based calorie.  kg-based Calories are referred to as "kcal."</t>
  </si>
  <si>
    <t>lbTOoz</t>
  </si>
  <si>
    <t>ozTOkg</t>
  </si>
  <si>
    <t>Interbay background data</t>
  </si>
  <si>
    <t>landfill volume ratios</t>
  </si>
  <si>
    <t>Judkins Park : Interbay</t>
  </si>
  <si>
    <t>South Park : Interbay</t>
  </si>
  <si>
    <t>SOV</t>
  </si>
  <si>
    <t>HOV2</t>
  </si>
  <si>
    <t>HOV3</t>
  </si>
  <si>
    <t>05-066</t>
  </si>
  <si>
    <t>Physical constants, GWPs, and populations.</t>
  </si>
  <si>
    <t>C loss from electrode, max</t>
  </si>
  <si>
    <t>C loss from electrode, min</t>
  </si>
  <si>
    <t>South Park area ratio</t>
  </si>
  <si>
    <t>Genesee</t>
  </si>
  <si>
    <t>Genesee : Interbay</t>
  </si>
  <si>
    <t>Port of Seattle Vessel Calls</t>
  </si>
  <si>
    <t xml:space="preserve">Total Vessel Calls </t>
  </si>
  <si>
    <t>05-151</t>
  </si>
  <si>
    <t>Table 3.58, p. 246</t>
  </si>
  <si>
    <t>date</t>
  </si>
  <si>
    <t>who</t>
  </si>
  <si>
    <t>sheet</t>
  </si>
  <si>
    <t>cells</t>
  </si>
  <si>
    <t>description</t>
  </si>
  <si>
    <t>Inventory revisions</t>
  </si>
  <si>
    <t>revs</t>
  </si>
  <si>
    <r>
      <t>Values shown in blue</t>
    </r>
    <r>
      <rPr>
        <sz val="9"/>
        <rFont val="Arial"/>
        <family val="2"/>
      </rPr>
      <t xml:space="preserve"> are from an outside source.</t>
    </r>
  </si>
  <si>
    <t>HHVgasoline</t>
  </si>
  <si>
    <t>05-011</t>
  </si>
  <si>
    <t>capita</t>
  </si>
  <si>
    <t>aviation gas</t>
  </si>
  <si>
    <t>HHVavgas</t>
  </si>
  <si>
    <t>efavgas</t>
  </si>
  <si>
    <t>HHV</t>
  </si>
  <si>
    <t>on-terminal line haul</t>
  </si>
  <si>
    <t>on-terminal switching</t>
  </si>
  <si>
    <t>off-terminal</t>
  </si>
  <si>
    <r>
      <t>MgCO</t>
    </r>
    <r>
      <rPr>
        <vertAlign val="subscript"/>
        <sz val="9"/>
        <rFont val="Arial"/>
        <family val="2"/>
      </rPr>
      <t>2</t>
    </r>
  </si>
  <si>
    <t>coal (U.S. industrial)</t>
  </si>
  <si>
    <t>HHVcoal</t>
  </si>
  <si>
    <t>efcoal</t>
  </si>
  <si>
    <r>
      <t>gCO</t>
    </r>
    <r>
      <rPr>
        <vertAlign val="subscript"/>
        <sz val="9"/>
        <rFont val="Arial"/>
        <family val="2"/>
      </rPr>
      <t>2</t>
    </r>
    <r>
      <rPr>
        <sz val="9"/>
        <rFont val="Arial"/>
        <family val="2"/>
      </rPr>
      <t>/kg</t>
    </r>
  </si>
  <si>
    <t>Judkins Park</t>
  </si>
  <si>
    <t>South Park</t>
  </si>
  <si>
    <t>Washington State</t>
  </si>
  <si>
    <r>
      <t>SF</t>
    </r>
    <r>
      <rPr>
        <vertAlign val="subscript"/>
        <sz val="9"/>
        <rFont val="Arial"/>
        <family val="2"/>
      </rPr>
      <t>6</t>
    </r>
  </si>
  <si>
    <t>SCL emissions</t>
  </si>
  <si>
    <t>% passenger flights</t>
  </si>
  <si>
    <t>WA commercial use</t>
  </si>
  <si>
    <t>HHVresidual</t>
  </si>
  <si>
    <t>efresidual</t>
  </si>
  <si>
    <t>populations</t>
  </si>
  <si>
    <t>City of Seattle</t>
  </si>
  <si>
    <t>King County</t>
  </si>
  <si>
    <t>popKC00</t>
  </si>
  <si>
    <t>popKC05</t>
  </si>
  <si>
    <t>kgal</t>
  </si>
  <si>
    <t>WA residential use</t>
  </si>
  <si>
    <t>WA housing units w/ oil heat</t>
  </si>
  <si>
    <t>GWPHFC143a</t>
  </si>
  <si>
    <t>GWPHFC152a</t>
  </si>
  <si>
    <t>GWPHFC227ea</t>
  </si>
  <si>
    <t>GWPHFC236fa</t>
  </si>
  <si>
    <t>GWPHFC245ca</t>
  </si>
  <si>
    <t>GWPPFC116</t>
  </si>
  <si>
    <t>GWPPFC218</t>
  </si>
  <si>
    <t>GWPPFC410</t>
  </si>
  <si>
    <t>GWPSF6</t>
  </si>
  <si>
    <t>GWPHFC32</t>
  </si>
  <si>
    <t>05-801</t>
  </si>
  <si>
    <t>GHG emission factors.</t>
  </si>
  <si>
    <t>Conversion factors.</t>
  </si>
  <si>
    <t>Puget Sound Energy</t>
  </si>
  <si>
    <t>Annex 2, Table A-38</t>
  </si>
  <si>
    <t>LPG</t>
  </si>
  <si>
    <r>
      <t>tonCO</t>
    </r>
    <r>
      <rPr>
        <vertAlign val="subscript"/>
        <sz val="9"/>
        <rFont val="Arial"/>
        <family val="2"/>
      </rPr>
      <t>2</t>
    </r>
    <r>
      <rPr>
        <sz val="9"/>
        <rFont val="Arial"/>
        <family val="2"/>
      </rPr>
      <t>e</t>
    </r>
  </si>
  <si>
    <t>cars &amp; light trucks</t>
  </si>
  <si>
    <t>buses</t>
  </si>
  <si>
    <t>efjetfuel</t>
  </si>
  <si>
    <t>Gallons are U.S. liquid gallons (not dry gallons).</t>
  </si>
  <si>
    <t>HHVLPG</t>
  </si>
  <si>
    <t>HHVjetfuel</t>
  </si>
  <si>
    <t>MWhTOTJ</t>
  </si>
  <si>
    <t>lb CO2 / lb CH4</t>
  </si>
  <si>
    <t>CO2perCH4</t>
  </si>
  <si>
    <t>thermTOGJ</t>
  </si>
  <si>
    <t>Source if not 05-801</t>
  </si>
  <si>
    <t>energy (force x distance)</t>
  </si>
  <si>
    <t>power (energy/time)</t>
  </si>
  <si>
    <t>flow (volume/time)</t>
  </si>
  <si>
    <t>heat rate (energy/energy)</t>
  </si>
  <si>
    <t>emission rate (mass/energy)</t>
  </si>
  <si>
    <t>heating value (energy/mass)</t>
  </si>
  <si>
    <t>heating value (energy/volume)</t>
  </si>
  <si>
    <t>fuel efficiency (distance/volume)</t>
  </si>
  <si>
    <t>yield (mass/area-time)</t>
  </si>
  <si>
    <t>natural gas</t>
  </si>
  <si>
    <t>C content</t>
  </si>
  <si>
    <t>yd2</t>
  </si>
  <si>
    <t>yd2TOft2</t>
  </si>
  <si>
    <t>ft2TOyd2</t>
  </si>
  <si>
    <t>thermTOkWh</t>
  </si>
  <si>
    <t>thermTOBtu</t>
  </si>
  <si>
    <t>mmBtuTOTJ</t>
  </si>
  <si>
    <t>min</t>
  </si>
  <si>
    <t>minTOday</t>
  </si>
  <si>
    <t>dayTOmin</t>
  </si>
  <si>
    <t>gasoline</t>
  </si>
  <si>
    <t>HHVdistillate</t>
  </si>
  <si>
    <t>m3TOliter</t>
  </si>
  <si>
    <t>IPCC SAR</t>
  </si>
  <si>
    <t>Sound Transit</t>
  </si>
  <si>
    <t>kg/L</t>
  </si>
  <si>
    <t>TgC/quad</t>
  </si>
  <si>
    <t>gC/MJ</t>
  </si>
  <si>
    <t>mmBtu/bbl</t>
  </si>
  <si>
    <t>bbl</t>
  </si>
  <si>
    <t>galTObbl</t>
  </si>
  <si>
    <t>bblTOgal</t>
  </si>
  <si>
    <t>bblTOL</t>
  </si>
  <si>
    <t>gC/L</t>
  </si>
  <si>
    <t>HHV (nominal)</t>
  </si>
  <si>
    <t>fraction oxidized</t>
  </si>
  <si>
    <r>
      <t>Btu/ft</t>
    </r>
    <r>
      <rPr>
        <vertAlign val="superscript"/>
        <sz val="9"/>
        <rFont val="Arial"/>
        <family val="2"/>
      </rPr>
      <t>3</t>
    </r>
  </si>
  <si>
    <t>ft3TOL</t>
  </si>
  <si>
    <t>LTOft3</t>
  </si>
  <si>
    <t>LTOgal</t>
  </si>
  <si>
    <t>LTOm3</t>
  </si>
  <si>
    <t>L/s</t>
  </si>
  <si>
    <t>L.sTOgpm</t>
  </si>
  <si>
    <t>Barrels are U.S. "blue barrel" oil barrels</t>
  </si>
  <si>
    <t>emission factors</t>
  </si>
  <si>
    <t>efgasoline05</t>
  </si>
  <si>
    <t>efgasoline00</t>
  </si>
  <si>
    <t>efgasoline90</t>
  </si>
  <si>
    <t>emission factor</t>
  </si>
  <si>
    <t>CNG</t>
  </si>
  <si>
    <t>Values shown in black are calculated, displayed to 4 significant digits.</t>
  </si>
  <si>
    <t>GWPs (100-year)</t>
  </si>
  <si>
    <t>SAR values are used to be consistent with international accounting practice.</t>
  </si>
  <si>
    <t>HFC-23</t>
  </si>
  <si>
    <t>HFC-32</t>
  </si>
  <si>
    <t>HFC-125</t>
  </si>
  <si>
    <t>HFC-134a</t>
  </si>
  <si>
    <t>HFC-143a</t>
  </si>
  <si>
    <t>HFC-152a</t>
  </si>
  <si>
    <t>HFC-227ea</t>
  </si>
  <si>
    <t>HFC-236fa</t>
  </si>
  <si>
    <t>HFC-245ca</t>
  </si>
  <si>
    <t>PFC-116</t>
  </si>
  <si>
    <t>PFC-218</t>
  </si>
  <si>
    <t>PFC-410</t>
  </si>
  <si>
    <t>SF6</t>
  </si>
  <si>
    <t>GWPHFC23</t>
  </si>
  <si>
    <t>GWPHFC134a</t>
  </si>
  <si>
    <t>GWPHFC125</t>
  </si>
  <si>
    <t>cell name</t>
  </si>
  <si>
    <t>English system weights are in the avoirdupois system unless noted otherwise.</t>
  </si>
  <si>
    <t>Joules are absolute joules (not archaic international joules).</t>
  </si>
  <si>
    <t>CO2.C</t>
  </si>
  <si>
    <t>SO2.S</t>
  </si>
  <si>
    <t>H2.H2O</t>
  </si>
  <si>
    <t>F.C</t>
  </si>
  <si>
    <t>massC</t>
  </si>
  <si>
    <t>massH</t>
  </si>
  <si>
    <t>massN</t>
  </si>
  <si>
    <t>massO</t>
  </si>
  <si>
    <t>massS</t>
  </si>
  <si>
    <t>massNO2</t>
  </si>
  <si>
    <t>massSO2</t>
  </si>
  <si>
    <t>massCO</t>
  </si>
  <si>
    <t>massC3H8</t>
  </si>
  <si>
    <t>airN2fraction</t>
  </si>
  <si>
    <t>airO2fraction</t>
  </si>
  <si>
    <t>airArfraction</t>
  </si>
  <si>
    <t>airCO2fraction</t>
  </si>
  <si>
    <t>airotherfraction</t>
  </si>
  <si>
    <t>gasconstant</t>
  </si>
  <si>
    <t>notes</t>
  </si>
  <si>
    <t>Constants &amp; reference values</t>
  </si>
  <si>
    <t>Calculated</t>
  </si>
  <si>
    <t>lb CH4 / lb C</t>
  </si>
  <si>
    <t>CH4.C</t>
  </si>
  <si>
    <t>yrTOday</t>
  </si>
  <si>
    <r>
      <t>The U.S. GHG inventory subsumes strict propane (C</t>
    </r>
    <r>
      <rPr>
        <vertAlign val="subscript"/>
        <sz val="9"/>
        <rFont val="Arial"/>
        <family val="2"/>
      </rPr>
      <t>3</t>
    </r>
    <r>
      <rPr>
        <sz val="9"/>
        <rFont val="Arial"/>
        <family val="2"/>
      </rPr>
      <t>H</t>
    </r>
    <r>
      <rPr>
        <vertAlign val="subscript"/>
        <sz val="9"/>
        <rFont val="Arial"/>
        <family val="2"/>
      </rPr>
      <t>8</t>
    </r>
    <r>
      <rPr>
        <sz val="9"/>
        <rFont val="Arial"/>
        <family val="2"/>
      </rPr>
      <t>) into the liquefied petroleum gas (LPG) rubrick.  In American English "LPG" and "propane" are used interchangeably (sloppily.)</t>
    </r>
  </si>
  <si>
    <t>efLPG</t>
  </si>
  <si>
    <t>oz</t>
  </si>
  <si>
    <t>densityNO2</t>
  </si>
  <si>
    <t>densitySO2</t>
  </si>
  <si>
    <t>g/l is equivalent to kg/m3</t>
  </si>
  <si>
    <t>K0degC</t>
  </si>
  <si>
    <t>K15degC</t>
  </si>
  <si>
    <t>K60degF</t>
  </si>
  <si>
    <t>molVol0degC</t>
  </si>
  <si>
    <t>0 degC temp</t>
  </si>
  <si>
    <t>15 degC temp</t>
  </si>
  <si>
    <t>60 degF temp</t>
  </si>
  <si>
    <t>yd3</t>
  </si>
  <si>
    <t>yd3TOm3</t>
  </si>
  <si>
    <t>Molar volume at 0 degC</t>
  </si>
  <si>
    <t>Molar volume at 15 degC</t>
  </si>
  <si>
    <t>Molar volume at 60 degF</t>
  </si>
  <si>
    <t>molVol15degC</t>
  </si>
  <si>
    <t>molVol60degF</t>
  </si>
  <si>
    <t>gas densities at 15 degC (ISO 5024)</t>
  </si>
  <si>
    <t>This is the ISO 5024 temperature</t>
  </si>
  <si>
    <t>At 1 atmosphere</t>
  </si>
  <si>
    <t>gas densities at 60 degF</t>
  </si>
  <si>
    <t>densityC3H8at60degF</t>
  </si>
  <si>
    <t>densityCH4at60degF</t>
  </si>
  <si>
    <t>densityCOat60degF</t>
  </si>
  <si>
    <t>jet fuel</t>
  </si>
  <si>
    <t>GJTOmmBtu</t>
  </si>
  <si>
    <t>mmBtuTOtherm</t>
  </si>
  <si>
    <t>HHVgas</t>
  </si>
  <si>
    <t>thermTOMJ</t>
  </si>
  <si>
    <t>MJTOtherm</t>
  </si>
  <si>
    <t>composition of air</t>
  </si>
  <si>
    <t>mass ratios</t>
  </si>
  <si>
    <t>temperature</t>
  </si>
  <si>
    <t>atomic weights</t>
  </si>
  <si>
    <t>molecular weights</t>
  </si>
  <si>
    <t>distance</t>
  </si>
  <si>
    <t>mass</t>
  </si>
  <si>
    <t>time</t>
  </si>
  <si>
    <t>area (distance x distance)</t>
  </si>
  <si>
    <t>volume (area x distance)</t>
  </si>
  <si>
    <t>force (mass x acceleration)</t>
  </si>
  <si>
    <t>pressure (force/area)</t>
  </si>
  <si>
    <t>MWhTOmmBtu</t>
  </si>
  <si>
    <t>quad</t>
  </si>
  <si>
    <t>quadTOEJ</t>
  </si>
  <si>
    <t>quadTOTWh</t>
  </si>
  <si>
    <t>TWhTOEJ</t>
  </si>
  <si>
    <t>TWhTOquad</t>
  </si>
  <si>
    <t>WhTOBtu</t>
  </si>
  <si>
    <t>WhTOJ</t>
  </si>
  <si>
    <t>GJ/hr</t>
  </si>
  <si>
    <t>MW</t>
  </si>
  <si>
    <t>GJ.hrTOMW</t>
  </si>
  <si>
    <t>GW</t>
  </si>
  <si>
    <t>kW</t>
  </si>
  <si>
    <t>GWTOkW</t>
  </si>
  <si>
    <t>quad/yr</t>
  </si>
  <si>
    <t>GWTOquad.yr</t>
  </si>
  <si>
    <t>TWh/yr</t>
  </si>
  <si>
    <t>GWTOTWh.yr</t>
  </si>
  <si>
    <t>hp</t>
  </si>
  <si>
    <t>hpTOkW</t>
  </si>
  <si>
    <t>kWTOhp</t>
  </si>
  <si>
    <t>MJ/hr</t>
  </si>
  <si>
    <t>MJ.hrTOkW</t>
  </si>
  <si>
    <t>MWTOGJ.hr</t>
  </si>
  <si>
    <t>MWTOkW</t>
  </si>
  <si>
    <t>quad.yrTOGW</t>
  </si>
  <si>
    <t>TWh.yrTOGW</t>
  </si>
  <si>
    <t>gpm</t>
  </si>
  <si>
    <t>liter/s</t>
  </si>
  <si>
    <t>gpmTOliter.s</t>
  </si>
  <si>
    <t>m3.dayTOgpm</t>
  </si>
  <si>
    <t>Btu/hp-h</t>
  </si>
  <si>
    <t>mmBtu/MWh</t>
  </si>
  <si>
    <t>Btu.hphTOmmBtu.MWh</t>
  </si>
  <si>
    <t>kJ/kWh</t>
  </si>
  <si>
    <t>kJ.kWhTOmmBtu.MWh</t>
  </si>
  <si>
    <t>MJ/kWh</t>
  </si>
  <si>
    <t>MJ.kWhTOmmBtu.MWh</t>
  </si>
  <si>
    <t>mmBtu.MWhTOBtu.hph</t>
  </si>
  <si>
    <t>tonTOkg</t>
  </si>
  <si>
    <t>thermTOTJ</t>
  </si>
  <si>
    <t>frontmatter</t>
  </si>
  <si>
    <t>General annotations to the workbook.</t>
  </si>
  <si>
    <t>ref</t>
  </si>
  <si>
    <t>MJ/L</t>
  </si>
  <si>
    <t>Emission Factors</t>
  </si>
  <si>
    <t>1990</t>
  </si>
  <si>
    <t>API gravity</t>
  </si>
  <si>
    <t>L</t>
  </si>
  <si>
    <t>galTOL</t>
  </si>
  <si>
    <t>lb.mmBtuTOMg.mmBtu</t>
  </si>
  <si>
    <t>ng/J</t>
  </si>
  <si>
    <t>lb.mmBtuTOng.J</t>
  </si>
  <si>
    <t>Tg/quad</t>
  </si>
  <si>
    <t>lb.mmBtuTOTg.quad</t>
  </si>
  <si>
    <t>lb.MWhTOg.hph</t>
  </si>
  <si>
    <t>lb.MWhTOg.kWh</t>
  </si>
  <si>
    <t>lb.MWhTOkg.GJ</t>
  </si>
  <si>
    <t>ton/GWh</t>
  </si>
  <si>
    <t>fuels</t>
  </si>
  <si>
    <t>density (nominal)</t>
  </si>
  <si>
    <t>Btu/lb</t>
  </si>
  <si>
    <t>MJ/kg</t>
  </si>
  <si>
    <t>Btu.lbTOMJ.kg</t>
  </si>
  <si>
    <t>mmBtu/ton</t>
  </si>
  <si>
    <t>Btu.lbTOmmBtu.ton</t>
  </si>
  <si>
    <t>kWh/ton</t>
  </si>
  <si>
    <t>kWh.tonTOMJ.kg</t>
  </si>
  <si>
    <t>MJ.kgTOBtu.lb</t>
  </si>
  <si>
    <t>MJ.kgTOkWh.ton</t>
  </si>
  <si>
    <t>MJ.kgTOmmBtu.ton</t>
  </si>
  <si>
    <t>mmBtu.tonTOBtu.lb</t>
  </si>
  <si>
    <t>Btu/ft3</t>
  </si>
  <si>
    <t>MJ/m3</t>
  </si>
  <si>
    <t>Btu.ft3TOMJ.m3</t>
  </si>
  <si>
    <t>MJ.m3TOBtu.ft3</t>
  </si>
  <si>
    <t>km/l</t>
  </si>
  <si>
    <t>mi/gal</t>
  </si>
  <si>
    <t>km.lTOmi.gal</t>
  </si>
  <si>
    <t>Mg/ha-yr</t>
  </si>
  <si>
    <t>efgas</t>
  </si>
  <si>
    <r>
      <t>gCO</t>
    </r>
    <r>
      <rPr>
        <vertAlign val="subscript"/>
        <sz val="9"/>
        <rFont val="Arial"/>
        <family val="2"/>
      </rPr>
      <t>2</t>
    </r>
    <r>
      <rPr>
        <sz val="9"/>
        <rFont val="Arial"/>
        <family val="2"/>
      </rPr>
      <t>/L</t>
    </r>
  </si>
  <si>
    <t>MtoeTOmmBtu</t>
  </si>
  <si>
    <t>TJ</t>
  </si>
  <si>
    <t>MtoeTOTJ</t>
  </si>
  <si>
    <t>MWhTOGJ</t>
  </si>
  <si>
    <t>ton/acre-yr</t>
  </si>
  <si>
    <t>Mg.hayrTOton.acreyr</t>
  </si>
  <si>
    <t>Notes:</t>
  </si>
  <si>
    <t>GWh</t>
  </si>
  <si>
    <t>MtoeTOGWh</t>
  </si>
  <si>
    <r>
      <t>m</t>
    </r>
    <r>
      <rPr>
        <vertAlign val="superscript"/>
        <sz val="9"/>
        <rFont val="Arial"/>
        <family val="2"/>
      </rPr>
      <t>3</t>
    </r>
    <r>
      <rPr>
        <sz val="9"/>
        <rFont val="Arial"/>
        <family val="2"/>
      </rPr>
      <t>/day</t>
    </r>
  </si>
  <si>
    <r>
      <t>Values shown in blue</t>
    </r>
    <r>
      <rPr>
        <sz val="9"/>
        <rFont val="Arial"/>
        <family val="2"/>
      </rPr>
      <t xml:space="preserve"> contain the same number of significant digits as the original source.</t>
    </r>
  </si>
  <si>
    <t>lb CO2 / lb C</t>
  </si>
  <si>
    <t>[unitless]</t>
  </si>
  <si>
    <t>lb SO2 / lb S</t>
  </si>
  <si>
    <t>lb H2 / lb H2O</t>
  </si>
  <si>
    <t>degF/C</t>
  </si>
  <si>
    <t>freezeF</t>
  </si>
  <si>
    <t>degF</t>
  </si>
  <si>
    <t>freezeC</t>
  </si>
  <si>
    <t>degC</t>
  </si>
  <si>
    <t>C</t>
  </si>
  <si>
    <t>g/mol</t>
  </si>
  <si>
    <t>H</t>
  </si>
  <si>
    <t>O</t>
  </si>
  <si>
    <t>S</t>
  </si>
  <si>
    <r>
      <t>NO</t>
    </r>
    <r>
      <rPr>
        <vertAlign val="subscript"/>
        <sz val="9"/>
        <rFont val="Arial"/>
        <family val="2"/>
      </rPr>
      <t>2</t>
    </r>
  </si>
  <si>
    <r>
      <t>SO</t>
    </r>
    <r>
      <rPr>
        <vertAlign val="subscript"/>
        <sz val="9"/>
        <rFont val="Arial"/>
        <family val="2"/>
      </rPr>
      <t>2</t>
    </r>
  </si>
  <si>
    <t>CO</t>
  </si>
  <si>
    <r>
      <t>C</t>
    </r>
    <r>
      <rPr>
        <vertAlign val="subscript"/>
        <sz val="9"/>
        <rFont val="Arial"/>
        <family val="2"/>
      </rPr>
      <t>3</t>
    </r>
    <r>
      <rPr>
        <sz val="9"/>
        <rFont val="Arial"/>
        <family val="2"/>
      </rPr>
      <t>H</t>
    </r>
    <r>
      <rPr>
        <vertAlign val="subscript"/>
        <sz val="9"/>
        <rFont val="Arial"/>
        <family val="2"/>
      </rPr>
      <t>8</t>
    </r>
  </si>
  <si>
    <t>STP stuff</t>
  </si>
  <si>
    <t>Ideal gas constant</t>
  </si>
  <si>
    <t>l-atm/(K-mol)</t>
  </si>
  <si>
    <t>K</t>
  </si>
  <si>
    <t>l/mol</t>
  </si>
  <si>
    <r>
      <t>N</t>
    </r>
    <r>
      <rPr>
        <vertAlign val="subscript"/>
        <sz val="9"/>
        <rFont val="Arial"/>
        <family val="2"/>
      </rPr>
      <t>2</t>
    </r>
  </si>
  <si>
    <t>volume</t>
  </si>
  <si>
    <r>
      <t>O</t>
    </r>
    <r>
      <rPr>
        <vertAlign val="subscript"/>
        <sz val="9"/>
        <rFont val="Arial"/>
        <family val="2"/>
      </rPr>
      <t>2</t>
    </r>
  </si>
  <si>
    <t>Ar</t>
  </si>
  <si>
    <r>
      <t>CO</t>
    </r>
    <r>
      <rPr>
        <b/>
        <vertAlign val="subscript"/>
        <sz val="9"/>
        <rFont val="Arial"/>
        <family val="2"/>
      </rPr>
      <t>2</t>
    </r>
  </si>
  <si>
    <t>other</t>
  </si>
  <si>
    <t>reference unit</t>
  </si>
  <si>
    <t>g/L</t>
  </si>
  <si>
    <t>2000</t>
  </si>
  <si>
    <t>2005</t>
  </si>
  <si>
    <t>gge</t>
  </si>
  <si>
    <t>ggeTOMJ</t>
  </si>
  <si>
    <t>diesel</t>
  </si>
  <si>
    <t>Notes</t>
  </si>
  <si>
    <t>units</t>
  </si>
  <si>
    <t>value</t>
  </si>
  <si>
    <t>call no.</t>
  </si>
  <si>
    <t>Datum description</t>
  </si>
  <si>
    <t>As printed in source</t>
  </si>
  <si>
    <t>Conversion factors for physical units</t>
  </si>
  <si>
    <t>To convert</t>
  </si>
  <si>
    <t>Multiply</t>
  </si>
  <si>
    <t>from</t>
  </si>
  <si>
    <t>to</t>
  </si>
  <si>
    <t>(cell name)</t>
  </si>
  <si>
    <t>by</t>
  </si>
  <si>
    <t>cm</t>
  </si>
  <si>
    <t>in</t>
  </si>
  <si>
    <t>cmTOin</t>
  </si>
  <si>
    <t>ft</t>
  </si>
  <si>
    <t>m</t>
  </si>
  <si>
    <t>ftTOm</t>
  </si>
  <si>
    <t>inTOcm</t>
  </si>
  <si>
    <t>therm</t>
  </si>
  <si>
    <r>
      <t>CO</t>
    </r>
    <r>
      <rPr>
        <vertAlign val="subscript"/>
        <sz val="9"/>
        <rFont val="Arial"/>
        <family val="2"/>
      </rPr>
      <t>2</t>
    </r>
  </si>
  <si>
    <t>massCO2</t>
  </si>
  <si>
    <r>
      <t>CH</t>
    </r>
    <r>
      <rPr>
        <vertAlign val="subscript"/>
        <sz val="9"/>
        <rFont val="Arial"/>
        <family val="2"/>
      </rPr>
      <t>4</t>
    </r>
  </si>
  <si>
    <t>massCH4</t>
  </si>
  <si>
    <t>GWPCH4</t>
  </si>
  <si>
    <t>GWPN2O</t>
  </si>
  <si>
    <t>source</t>
  </si>
  <si>
    <r>
      <t>N</t>
    </r>
    <r>
      <rPr>
        <vertAlign val="subscript"/>
        <sz val="9"/>
        <rFont val="Arial"/>
        <family val="2"/>
      </rPr>
      <t>2</t>
    </r>
    <r>
      <rPr>
        <sz val="9"/>
        <rFont val="Arial"/>
        <family val="2"/>
      </rPr>
      <t>O</t>
    </r>
  </si>
  <si>
    <t>massN2O</t>
  </si>
  <si>
    <t>total</t>
  </si>
  <si>
    <t>densityC3H8</t>
  </si>
  <si>
    <t>densityCH4</t>
  </si>
  <si>
    <t>densityCO</t>
  </si>
  <si>
    <t>densityCO2</t>
  </si>
  <si>
    <t>densityN2O</t>
  </si>
  <si>
    <t>yrTOhr</t>
  </si>
  <si>
    <t>acre</t>
  </si>
  <si>
    <t>ft2</t>
  </si>
  <si>
    <t>acreTOft2</t>
  </si>
  <si>
    <t>ha</t>
  </si>
  <si>
    <t>acreTOha</t>
  </si>
  <si>
    <t>km2</t>
  </si>
  <si>
    <t>acreTOkm2</t>
  </si>
  <si>
    <t>m2</t>
  </si>
  <si>
    <t>acreTOm2</t>
  </si>
  <si>
    <t>mi2</t>
  </si>
  <si>
    <t>acreTOmi2</t>
  </si>
  <si>
    <t>ft2TOm2</t>
  </si>
  <si>
    <t>haTOacre</t>
  </si>
  <si>
    <t>This is the temp. usually used by American engineers</t>
  </si>
  <si>
    <t>mi2TOacre</t>
  </si>
  <si>
    <t>mi2TOkm2</t>
  </si>
  <si>
    <t>acre-ft</t>
  </si>
  <si>
    <t>gal</t>
  </si>
  <si>
    <t>acreftTOgal</t>
  </si>
  <si>
    <t>m3</t>
  </si>
  <si>
    <t>acreftTOm3</t>
  </si>
  <si>
    <t>acre-in</t>
  </si>
  <si>
    <t>acreinTOgal</t>
  </si>
  <si>
    <t>ft3</t>
  </si>
  <si>
    <t>ft3TOgal</t>
  </si>
  <si>
    <t>liter</t>
  </si>
  <si>
    <t>ft3TOm3</t>
  </si>
  <si>
    <t>galTOacreft</t>
  </si>
  <si>
    <t>galTOacrein</t>
  </si>
  <si>
    <t>galTOm3</t>
  </si>
  <si>
    <t>m3TOacreft</t>
  </si>
  <si>
    <t>m3TOft3</t>
  </si>
  <si>
    <t>m3TOgal</t>
  </si>
  <si>
    <t>N</t>
  </si>
  <si>
    <t>lbTON</t>
  </si>
  <si>
    <t>densityCO2at60degF</t>
  </si>
  <si>
    <t>densityN2Oat60degF</t>
  </si>
  <si>
    <t>densityNO2at60degF</t>
  </si>
  <si>
    <t>densitySO2at60degF</t>
  </si>
  <si>
    <t>mo</t>
  </si>
  <si>
    <t>moTOday</t>
  </si>
  <si>
    <t>yrTOmo</t>
  </si>
  <si>
    <t>dayTOyr</t>
  </si>
  <si>
    <t>moTOyr</t>
  </si>
  <si>
    <t>GJTOtherm</t>
  </si>
  <si>
    <t>2. Convert to TJ</t>
    <phoneticPr fontId="30" type="noConversion"/>
  </si>
  <si>
    <t>VanPool</t>
  </si>
  <si>
    <t>2. Calculate emissions</t>
    <phoneticPr fontId="30" type="noConversion"/>
  </si>
  <si>
    <t>Distillate Oil</t>
    <phoneticPr fontId="30" type="noConversion"/>
  </si>
  <si>
    <t>calculation steps</t>
    <phoneticPr fontId="30" type="noConversion"/>
  </si>
  <si>
    <t>1. Aggregate distillate oil</t>
    <phoneticPr fontId="30" type="noConversion"/>
  </si>
  <si>
    <t>mmBtu.MWhTOkJ.kWh</t>
  </si>
  <si>
    <t>mmBtu.MWhTOMJ.kWh</t>
  </si>
  <si>
    <t>g/hp-h</t>
  </si>
  <si>
    <t>lb/MWh</t>
  </si>
  <si>
    <t>g.hphTOlb.MWh</t>
  </si>
  <si>
    <t>g/kWh</t>
  </si>
  <si>
    <t>g.kWhTOlb.MWh</t>
  </si>
  <si>
    <t>kg/GJ</t>
  </si>
  <si>
    <t>kg.GJTOlb.MWh</t>
  </si>
  <si>
    <t>lb/mmBtu</t>
  </si>
  <si>
    <t>Mg/mmBtu</t>
  </si>
  <si>
    <t>atm</t>
  </si>
  <si>
    <t>bar</t>
  </si>
  <si>
    <t>atmTObar</t>
  </si>
  <si>
    <t>psi</t>
  </si>
  <si>
    <t>atmTOpsi</t>
  </si>
  <si>
    <t>Pa</t>
  </si>
  <si>
    <t>barTOPa</t>
  </si>
  <si>
    <t>barTOpsi</t>
  </si>
  <si>
    <t>psiTOPa</t>
  </si>
  <si>
    <t>Btu</t>
  </si>
  <si>
    <t>cal</t>
  </si>
  <si>
    <t>BtuTOcal</t>
  </si>
  <si>
    <t>J</t>
  </si>
  <si>
    <t>BtuTOJ</t>
  </si>
  <si>
    <t>kJ</t>
  </si>
  <si>
    <t>BtuTOkJ</t>
  </si>
  <si>
    <t>lb.MWhTOton.GWh</t>
  </si>
  <si>
    <t>ng.JTOlb.mmBtu</t>
  </si>
  <si>
    <t>Tg.quadTOlb.mmBtu</t>
  </si>
  <si>
    <t>ton.GWhTOlb.MWh</t>
  </si>
  <si>
    <t>kWh</t>
  </si>
  <si>
    <t>BtuTOkWh</t>
  </si>
  <si>
    <t>MJ</t>
  </si>
  <si>
    <t>BtuTOMJ</t>
  </si>
  <si>
    <t>Wh</t>
  </si>
  <si>
    <t>BtuTOWh</t>
  </si>
  <si>
    <t>calTOBtu</t>
  </si>
  <si>
    <t>calTOJ</t>
  </si>
  <si>
    <t>EJ</t>
  </si>
  <si>
    <t>TWh</t>
  </si>
  <si>
    <t>EJTOTWh</t>
  </si>
  <si>
    <t>GJ</t>
  </si>
  <si>
    <t>MWh</t>
  </si>
  <si>
    <t>GJTOMWh</t>
  </si>
  <si>
    <t>JTOBtu</t>
  </si>
  <si>
    <t>JTOcal</t>
  </si>
  <si>
    <t>JTOWh</t>
  </si>
  <si>
    <t>kcal</t>
  </si>
  <si>
    <t>kcalTOMJ</t>
  </si>
  <si>
    <t>kJTOBtu</t>
  </si>
  <si>
    <t>kWhTOBtu</t>
  </si>
  <si>
    <t>kWhTOMJ</t>
  </si>
  <si>
    <t>MJTOBtu</t>
  </si>
  <si>
    <t>MJTOkWh</t>
  </si>
  <si>
    <t>MJTOkcal</t>
  </si>
  <si>
    <t>MJTOMWh</t>
  </si>
  <si>
    <t>mmBtu</t>
  </si>
  <si>
    <t>mmBtuTOMJ</t>
  </si>
  <si>
    <t>mmBtuTOMWh</t>
  </si>
  <si>
    <t>Mtoe</t>
  </si>
  <si>
    <t>Res-Heat &amp; Hot Water</t>
  </si>
  <si>
    <t>Commercial- Heat &amp; Hot Water</t>
  </si>
  <si>
    <t>Commercial- Equip</t>
  </si>
  <si>
    <t>Waste- Landfills</t>
  </si>
  <si>
    <t>Waste-Management</t>
  </si>
  <si>
    <t>mm</t>
  </si>
  <si>
    <t>inTOmm</t>
  </si>
  <si>
    <t>km</t>
  </si>
  <si>
    <t>mi</t>
  </si>
  <si>
    <t>kmTOmi</t>
  </si>
  <si>
    <t>miTOkm</t>
  </si>
  <si>
    <t>mmTOin</t>
  </si>
  <si>
    <t>g</t>
  </si>
  <si>
    <t>lb</t>
  </si>
  <si>
    <t>gTOlb</t>
  </si>
  <si>
    <t>kg</t>
  </si>
  <si>
    <t>kgTOg</t>
  </si>
  <si>
    <t>kgTOlb</t>
  </si>
  <si>
    <t>lbTOg</t>
  </si>
  <si>
    <t>lbTOkg</t>
  </si>
  <si>
    <t>Mg</t>
  </si>
  <si>
    <t>lbTOMg</t>
  </si>
  <si>
    <t>ton</t>
  </si>
  <si>
    <t>lbTOton</t>
  </si>
  <si>
    <t>MgTOton</t>
  </si>
  <si>
    <t>tonTOlb</t>
  </si>
  <si>
    <t>tonTOMg</t>
  </si>
  <si>
    <t>hr</t>
  </si>
  <si>
    <t>day</t>
  </si>
  <si>
    <t>hrTOday</t>
  </si>
  <si>
    <t>s</t>
  </si>
  <si>
    <t>hrTOs</t>
  </si>
  <si>
    <t>yr</t>
  </si>
  <si>
    <t>hrTOyr</t>
  </si>
  <si>
    <t>sTOday</t>
  </si>
  <si>
    <t>sTOhr</t>
  </si>
  <si>
    <t>haTOkm2</t>
  </si>
  <si>
    <t>Roel</t>
  </si>
  <si>
    <t>km2TOacre</t>
  </si>
  <si>
    <t>km2TOm2</t>
  </si>
  <si>
    <t>km2TOmi2</t>
  </si>
  <si>
    <t>m2TOacre</t>
  </si>
  <si>
    <t>m2TOft2</t>
  </si>
  <si>
    <t>m2TOkm2</t>
  </si>
  <si>
    <t>Trans-Rail</t>
    <phoneticPr fontId="18" type="noConversion"/>
  </si>
  <si>
    <t>Sector Tables</t>
    <phoneticPr fontId="18" type="noConversion"/>
  </si>
  <si>
    <t>Total Freight</t>
  </si>
  <si>
    <t xml:space="preserve">Industrial </t>
  </si>
  <si>
    <t>Electricity</t>
  </si>
  <si>
    <t xml:space="preserve">Residential </t>
  </si>
  <si>
    <t>BUILDINGS</t>
  </si>
  <si>
    <t>INDUSTRIAL PROCESSES AND FUGITIVE GASES</t>
  </si>
  <si>
    <t>Direct Fuel Use</t>
  </si>
  <si>
    <t>Cement manufacture</t>
  </si>
  <si>
    <t>Natural gas</t>
    <phoneticPr fontId="30" type="noConversion"/>
  </si>
  <si>
    <t>1. Aggregate steam plant consumption</t>
    <phoneticPr fontId="30" type="noConversion"/>
  </si>
  <si>
    <t>therms</t>
    <phoneticPr fontId="30" type="noConversion"/>
  </si>
  <si>
    <t>2. Convert to TJ</t>
    <phoneticPr fontId="30" type="noConversion"/>
  </si>
  <si>
    <t>TJ</t>
    <phoneticPr fontId="30" type="noConversion"/>
  </si>
  <si>
    <t>TJ</t>
    <phoneticPr fontId="30" type="noConversion"/>
  </si>
  <si>
    <t xml:space="preserve">3. Calculate emissions </t>
    <phoneticPr fontId="30" type="noConversion"/>
  </si>
  <si>
    <t>Cars &amp; Light Trucks</t>
  </si>
  <si>
    <t>Pleasure Craft, Diesel</t>
  </si>
  <si>
    <t>Pleasure Craft, Gasoline</t>
  </si>
  <si>
    <t xml:space="preserve">Rail Transportation </t>
  </si>
  <si>
    <t xml:space="preserve">Wastewater Treatment </t>
  </si>
  <si>
    <t xml:space="preserve">TOTAL </t>
  </si>
  <si>
    <t>Cement</t>
  </si>
  <si>
    <t>Direct fuel use</t>
  </si>
  <si>
    <t>Van Pool</t>
  </si>
  <si>
    <t>Totals</t>
  </si>
  <si>
    <t xml:space="preserve">LPG </t>
  </si>
  <si>
    <t xml:space="preserve">CNG </t>
  </si>
  <si>
    <t xml:space="preserve">Oil </t>
  </si>
  <si>
    <t xml:space="preserve">Diesel </t>
  </si>
  <si>
    <t xml:space="preserve">Gasoline </t>
  </si>
  <si>
    <t>TRANSPORTATION</t>
  </si>
  <si>
    <t xml:space="preserve">Road Transportation </t>
  </si>
  <si>
    <t>Tire-derived fuel</t>
  </si>
  <si>
    <t>Buses</t>
  </si>
  <si>
    <t>Cruise Ships (hotelling)</t>
  </si>
  <si>
    <t>Sea-Tac International Airport</t>
  </si>
  <si>
    <t xml:space="preserve">Cement </t>
  </si>
  <si>
    <t xml:space="preserve">Direct Fuel Use </t>
  </si>
  <si>
    <t>Fugitive Gases</t>
  </si>
  <si>
    <t>Process Emissions</t>
  </si>
  <si>
    <t xml:space="preserve">Rail </t>
  </si>
  <si>
    <t>WASTE</t>
  </si>
  <si>
    <t>Commercial Trucks</t>
  </si>
  <si>
    <t>tables reorganized by sector, links to tables sheet and ignores scopes</t>
    <phoneticPr fontId="18" type="noConversion"/>
  </si>
  <si>
    <t xml:space="preserve">Road </t>
  </si>
  <si>
    <t xml:space="preserve"> Other freight</t>
  </si>
  <si>
    <t xml:space="preserve"> Totals</t>
  </si>
  <si>
    <t>Industrial Equipment</t>
  </si>
  <si>
    <t xml:space="preserve">Electricity </t>
  </si>
  <si>
    <t>Port of Seattle Off-terminal</t>
  </si>
  <si>
    <t>Port of Seattle On-terminal</t>
  </si>
  <si>
    <t>Steam plants</t>
  </si>
  <si>
    <t>Direct Fuel Use (other than Steam)</t>
  </si>
  <si>
    <t>Industrial Operations</t>
  </si>
  <si>
    <t>BUILDINGS &amp; EQUIPMENT</t>
  </si>
  <si>
    <t>Residents</t>
  </si>
  <si>
    <t>Commercial Employees</t>
  </si>
  <si>
    <t xml:space="preserve">Industrial Employees </t>
  </si>
  <si>
    <t xml:space="preserve">King County </t>
  </si>
  <si>
    <t>Ind- Operations</t>
  </si>
  <si>
    <t>Ind- Process</t>
  </si>
  <si>
    <t>Ind- Fug. Gases</t>
  </si>
  <si>
    <t>2003</t>
  </si>
  <si>
    <t>Manure Management</t>
  </si>
  <si>
    <t>Enteric Emissions from Livestock</t>
  </si>
  <si>
    <t>Animal Population</t>
  </si>
  <si>
    <t xml:space="preserve">     Milk Cow</t>
  </si>
  <si>
    <t xml:space="preserve">     Beef Cow</t>
  </si>
  <si>
    <t xml:space="preserve">     Beef Cattle</t>
  </si>
  <si>
    <t xml:space="preserve">     Horse</t>
  </si>
  <si>
    <t xml:space="preserve">     Sheep</t>
  </si>
  <si>
    <t xml:space="preserve">     Swine</t>
  </si>
  <si>
    <t xml:space="preserve">     Goat</t>
  </si>
  <si>
    <t xml:space="preserve">     Mink</t>
  </si>
  <si>
    <t>1. multiply animal population by respective EF</t>
  </si>
  <si>
    <t>Emission Factor (EF)</t>
  </si>
  <si>
    <t>3. convert to CO2e</t>
  </si>
  <si>
    <t>kgCH4/animal</t>
  </si>
  <si>
    <t># animals</t>
  </si>
  <si>
    <t>EF for mink = (mink weight, 5 kg)/(goat weight, 64 kg) * (goat factor, 5)</t>
  </si>
  <si>
    <t>Called "Beef - Bulls."</t>
  </si>
  <si>
    <t>Source: Good Practice Guidance and Uncertainty Management in National Greenhouse Gas Inventories, Intergovernmental Panel on Climate Change, National Greenhouse Gas Inventories Programme, Montreal, IPCC-XVI/Doc. 10 (1.IV.2000), May 2000.</t>
  </si>
  <si>
    <t>Called "Other cattle."  This category icludes: # of heifers and heifer calves, steers and steer calves, bulls and bull calves.</t>
  </si>
  <si>
    <t>Sum of milk goats and angora goats.</t>
  </si>
  <si>
    <t>Called "Hogs and Pigs."</t>
  </si>
  <si>
    <t>Assume that 2002 census data is representative of 2003 populations, and that 2007 census data is representative of 2008 populations.</t>
  </si>
  <si>
    <t>KC08-102-0_PSCAA05Inventory</t>
  </si>
  <si>
    <t>2. aggregate enteric livestock emissions</t>
  </si>
  <si>
    <t>N2O Emissions from Agricultural Soil Management</t>
  </si>
  <si>
    <t>CH4 Emissions</t>
  </si>
  <si>
    <t>N20 Emissions</t>
  </si>
  <si>
    <t>--</t>
  </si>
  <si>
    <t>Total Manure Mangement Emissions</t>
  </si>
  <si>
    <t>AGRICULTURE</t>
  </si>
  <si>
    <t xml:space="preserve">     Poultry</t>
  </si>
  <si>
    <t>Sum of layers 20 weeks old and older, pullets for laying flock replacement, broilers and other meat-type chickens, and turkeys.</t>
  </si>
  <si>
    <t>Table 13</t>
  </si>
  <si>
    <t>Table 11</t>
  </si>
  <si>
    <t>Table 12</t>
  </si>
  <si>
    <t>Table 15</t>
  </si>
  <si>
    <t>Table 16</t>
  </si>
  <si>
    <t>Tables 18 and 19</t>
  </si>
  <si>
    <t>Typical Animal Mass (TAM)</t>
  </si>
  <si>
    <t>Volatile Solids (VS)</t>
  </si>
  <si>
    <t>kg/day per 1000kg mass</t>
  </si>
  <si>
    <t xml:space="preserve">     dry manure systems</t>
  </si>
  <si>
    <t xml:space="preserve">     wet manure systems</t>
  </si>
  <si>
    <t xml:space="preserve">     poultry systems</t>
  </si>
  <si>
    <t>pg. 124</t>
  </si>
  <si>
    <t>pg. 10 (calculation formula)</t>
  </si>
  <si>
    <t>1. calculate composite MCF</t>
  </si>
  <si>
    <t>Table 10.17</t>
  </si>
  <si>
    <t xml:space="preserve">   Uncovered anaerobic lagoon (≤10°C annual T)</t>
  </si>
  <si>
    <t xml:space="preserve">   Liquid/Slurry (≤10°C annual T, w/out natural crust cover)</t>
  </si>
  <si>
    <t>Methane Conversion Factor (MCF)</t>
  </si>
  <si>
    <t>Conversion: kg to 1000kg</t>
  </si>
  <si>
    <t>Conversion: days per year</t>
  </si>
  <si>
    <t>kg/1000kg</t>
  </si>
  <si>
    <t>days/year</t>
  </si>
  <si>
    <t>Density of methane (ρCH4)</t>
  </si>
  <si>
    <t>This is different than the .679 MCF assumed in PSCAA.</t>
  </si>
  <si>
    <t>3. aggregate manure management emissions</t>
  </si>
  <si>
    <t>4. convert to MgCH4</t>
  </si>
  <si>
    <t>4. convert to MgCO2e</t>
  </si>
  <si>
    <t>Conversion factor for N2O-N to N20</t>
  </si>
  <si>
    <t>N2O EF</t>
  </si>
  <si>
    <t>kg per 1000kg mass</t>
  </si>
  <si>
    <t>1. multiply: AnimalPop*TAM*(kg/1000kg)*Ne*(days/year)*(N2O EF)*(ConvN20-N to N2O)</t>
  </si>
  <si>
    <t>2. aggregate manure management emissions</t>
  </si>
  <si>
    <t>3. convert to MgN2O</t>
  </si>
  <si>
    <t>acres</t>
  </si>
  <si>
    <t xml:space="preserve">     King County</t>
  </si>
  <si>
    <t xml:space="preserve">     U.S.</t>
  </si>
  <si>
    <t>Cropland</t>
  </si>
  <si>
    <t>Indirect N2O Emissions from Soils (U.S.)</t>
  </si>
  <si>
    <t>Direct N2O Emissions from Soils (U.S.)</t>
  </si>
  <si>
    <t xml:space="preserve">     Volatilization &amp; Atm. Deposition</t>
  </si>
  <si>
    <t xml:space="preserve">     Surface Leaching &amp; Run-Off</t>
  </si>
  <si>
    <t>Agriculture</t>
  </si>
  <si>
    <t>Tonnage</t>
  </si>
  <si>
    <t>2001</t>
  </si>
  <si>
    <t>2002</t>
  </si>
  <si>
    <t>2004</t>
  </si>
  <si>
    <t>2006</t>
  </si>
  <si>
    <t>2007</t>
  </si>
  <si>
    <r>
      <t>MgCO</t>
    </r>
    <r>
      <rPr>
        <b/>
        <vertAlign val="subscript"/>
        <sz val="9"/>
        <color theme="3" tint="0.39997558519241921"/>
        <rFont val="Arial"/>
        <family val="2"/>
      </rPr>
      <t>2</t>
    </r>
    <r>
      <rPr>
        <b/>
        <sz val="9"/>
        <color theme="3" tint="0.39997558519241921"/>
        <rFont val="Arial"/>
        <family val="2"/>
      </rPr>
      <t>e</t>
    </r>
  </si>
  <si>
    <t>5. Scale by tonnage</t>
  </si>
  <si>
    <t>4. Calculate tonnage ratio, wrt 2005</t>
  </si>
  <si>
    <t>1. Aggregate natural gas (therms)</t>
  </si>
  <si>
    <r>
      <t>3. Aggregate natural gas (ft.</t>
    </r>
    <r>
      <rPr>
        <vertAlign val="superscript"/>
        <sz val="9"/>
        <rFont val="Arial"/>
        <family val="2"/>
      </rPr>
      <t>3</t>
    </r>
    <r>
      <rPr>
        <sz val="9"/>
        <rFont val="Arial"/>
        <family val="2"/>
      </rPr>
      <t>)</t>
    </r>
  </si>
  <si>
    <r>
      <t>ft.</t>
    </r>
    <r>
      <rPr>
        <vertAlign val="superscript"/>
        <sz val="9"/>
        <rFont val="Arial"/>
        <family val="2"/>
      </rPr>
      <t>3</t>
    </r>
  </si>
  <si>
    <t>4. Convert to TJ</t>
  </si>
  <si>
    <t>5. Sum total TJ</t>
  </si>
  <si>
    <r>
      <t>MgCO</t>
    </r>
    <r>
      <rPr>
        <b/>
        <vertAlign val="subscript"/>
        <sz val="9"/>
        <color theme="3" tint="0.39997558519241921"/>
        <rFont val="Arial"/>
        <family val="2"/>
      </rPr>
      <t>2</t>
    </r>
  </si>
  <si>
    <t>Boeing Commercial Airplane NBF Plant 2_External Comb Boilers - Indus_Pt1Seg1</t>
  </si>
  <si>
    <t>Boeing Commercial Airplane NBF Plant 2_Ext Combustion Boilers-Indust_Pt8Seg1</t>
  </si>
  <si>
    <t>Todd Pacific Shipyards Corp_External Combustion Industrial_Pt1Seg1</t>
  </si>
  <si>
    <t>Franz Seattle Division - 6th Ave._Natural Gas Combustion_Pt2Seg1</t>
  </si>
  <si>
    <t>Mutual Materials Co, Newcastle_Fuel Combustion Kilns Dryers_Pt1Seg1</t>
  </si>
  <si>
    <t>Boeing Commercial Airplane Auburn_Ext Comb Boilers-Commc'L/Instit_Pt1Seg1</t>
  </si>
  <si>
    <t>Boeing Commercial Airplane Auburn_Ext Comb Boilers-Commc'L/Instit_Pt1Seg2</t>
  </si>
  <si>
    <t>Boeing Commercial Airplane Renton_External Comb Boilers-Industrial_Pt1Seg3</t>
  </si>
  <si>
    <t>Boeing Commercial Airplane Renton_External Comb Boilers-Industrial_Pt1Seg5</t>
  </si>
  <si>
    <t>Kinder Morgan Liquids Terminal, LLC_Heaters_Pt1Seg2</t>
  </si>
  <si>
    <t>Kenworth Truck Co - Renton_Fuel Burned_Pt1Seg1</t>
  </si>
  <si>
    <t>Kenworth Truck Co - Renton_Fuel Burned_Pt1Seg2</t>
  </si>
  <si>
    <t>Rexam Beverage Can Co_Baking Ovens/Dryers_Pt1Seg1</t>
  </si>
  <si>
    <t>Boeing Commercial Airplane NBF Plant 2_Internal Combustion Emergency Generators_Pt14Seg1</t>
  </si>
  <si>
    <t>Boeing Commercial Airplane Auburn_Ext Comb Boilers-Commc'L/Instit_Pt1Seg5</t>
  </si>
  <si>
    <t>Boeing Commercial Airplane Auburn_Internal Comb Engines-Comml/Inst_Pt8Seg1</t>
  </si>
  <si>
    <t>Boeing Commercial Airplane NBF Plant 2_Ext Combustion Boilers-Indust_Pt8Seg4</t>
  </si>
  <si>
    <t>Boeing Commercial Airplane Renton_External Comb Boilers-Industrial_Pt1Seg1</t>
  </si>
  <si>
    <t>Jorgensen Forge Corp_Steel Casting with Baghouse_Pt1Seg1</t>
  </si>
  <si>
    <t>Jorgensen Forge Corp_Natural Gas Combustion_Pt2Seg1</t>
  </si>
  <si>
    <t>Seattle Steam Co, Western_Riley_Pt1Seg1</t>
  </si>
  <si>
    <t>Seattle Steam Co, Western_Garrett &amp; Shaffer_Pt2Seg1</t>
  </si>
  <si>
    <t>Seattle Steam Co, Western_Combustion Engineering - (D)_Pt3Seg1</t>
  </si>
  <si>
    <t>Seattle Steam Co, Western_Combustion Engineeering - (A)_Pt4Seg1</t>
  </si>
  <si>
    <t>Washington University of  Power Plant &amp; Hospital_External Combustion Stack_Pt1Seg1</t>
  </si>
  <si>
    <t>Seattle Steam Co, Western_Garrett &amp; Shaffer_Pt2Seg3</t>
  </si>
  <si>
    <t>Seattle Steam Co, Western_Combustion Engineering - (D)_Pt3Seg3</t>
  </si>
  <si>
    <t>Seattle Steam Co, Western_Combustion Engineeering - (A)_Pt4Seg3</t>
  </si>
  <si>
    <t>row 162</t>
  </si>
  <si>
    <t>row 173</t>
  </si>
  <si>
    <t>row 48</t>
  </si>
  <si>
    <t>row 18</t>
  </si>
  <si>
    <t>row 25</t>
  </si>
  <si>
    <t>row 54</t>
  </si>
  <si>
    <t>row 55</t>
  </si>
  <si>
    <t>row 79</t>
  </si>
  <si>
    <t>row 80</t>
  </si>
  <si>
    <t>row 106</t>
  </si>
  <si>
    <t>row 184</t>
  </si>
  <si>
    <t>row 57</t>
  </si>
  <si>
    <t>row 75</t>
  </si>
  <si>
    <t>row 174</t>
  </si>
  <si>
    <t>row 78</t>
  </si>
  <si>
    <t>row 92</t>
  </si>
  <si>
    <t>row 93</t>
  </si>
  <si>
    <t>row 100</t>
  </si>
  <si>
    <t>Nucor Steel Seattle Inc_Direct Arc Electric Arc Furnace_Pt1Seg1</t>
  </si>
  <si>
    <t>row 7</t>
  </si>
  <si>
    <t>glass</t>
  </si>
  <si>
    <t>Saint-Gobain Containers Inc_Furnace #3_Pt1Seg1</t>
  </si>
  <si>
    <t>Saint-Gobain Containers Inc_Furnace #4_Pt2Seg1</t>
  </si>
  <si>
    <t>Saint-Gobain Containers Inc_Furnace #5_Pt3Seg1</t>
  </si>
  <si>
    <t>Saint-Gobain Containers Inc_Furnace #2_Pt4Seg1</t>
  </si>
  <si>
    <t>row 27</t>
  </si>
  <si>
    <t>row 28</t>
  </si>
  <si>
    <t>row 29</t>
  </si>
  <si>
    <t>row 30</t>
  </si>
  <si>
    <t>2. Convert steel production to Mg</t>
  </si>
  <si>
    <t>3. Aggregate steel production</t>
  </si>
  <si>
    <t>4. Calculate steel emissions</t>
  </si>
  <si>
    <t xml:space="preserve">   EF (default for manufacturing of glass)</t>
  </si>
  <si>
    <t>tonnes CO2/tonne glass</t>
  </si>
  <si>
    <t xml:space="preserve">   CR (cullet ratio for process)</t>
  </si>
  <si>
    <t>pg. 2-29</t>
  </si>
  <si>
    <t xml:space="preserve">     (CO2 emissions) = (M)*(EF)*(1-CR)</t>
  </si>
  <si>
    <t>pg. 2-28, eqn. 2.10</t>
  </si>
  <si>
    <t xml:space="preserve">     (multiply production x nom C loss xCO2.C/1000)</t>
  </si>
  <si>
    <t>Zero removed - no data available as source did not trigger reporting threshold for this year.</t>
  </si>
  <si>
    <t>no data</t>
  </si>
  <si>
    <t>pg. 46</t>
  </si>
  <si>
    <t>TOTAL ROAD EMISSIONS</t>
  </si>
  <si>
    <r>
      <t>MgCO</t>
    </r>
    <r>
      <rPr>
        <vertAlign val="subscript"/>
        <sz val="9"/>
        <color theme="3" tint="0.39997558519241921"/>
        <rFont val="Arial"/>
        <family val="2"/>
      </rPr>
      <t>2</t>
    </r>
    <r>
      <rPr>
        <sz val="9"/>
        <color theme="3" tint="0.39997558519241921"/>
        <rFont val="Arial"/>
        <family val="2"/>
      </rPr>
      <t>e</t>
    </r>
  </si>
  <si>
    <t>CNG Agric</t>
  </si>
  <si>
    <t>CNG Construct</t>
  </si>
  <si>
    <t>CNG Industrial</t>
  </si>
  <si>
    <t>Diesel Agric</t>
  </si>
  <si>
    <t>Diesel Construct</t>
  </si>
  <si>
    <t>Diesel Industrial</t>
  </si>
  <si>
    <t>Diesel Logging</t>
  </si>
  <si>
    <t>Gas Agric</t>
  </si>
  <si>
    <t>Gas Construct</t>
  </si>
  <si>
    <t>Gas Industrial</t>
  </si>
  <si>
    <t>Gas Logging</t>
  </si>
  <si>
    <t>LPG Agric</t>
  </si>
  <si>
    <t>LPG Construct</t>
  </si>
  <si>
    <t>LPG Industrial</t>
  </si>
  <si>
    <t>Total CNG</t>
  </si>
  <si>
    <t>Total Diesel</t>
  </si>
  <si>
    <t>Total Gasoline</t>
  </si>
  <si>
    <t>Total LPG</t>
  </si>
  <si>
    <t>3. Total equipment emissions</t>
  </si>
  <si>
    <t>Diesel Land Rec</t>
  </si>
  <si>
    <t>Gas Res L&amp;G</t>
  </si>
  <si>
    <t>Gas Land Rec</t>
  </si>
  <si>
    <t>LPG Land Rec</t>
  </si>
  <si>
    <t>Diesel Boats</t>
  </si>
  <si>
    <t>Gas Boats</t>
  </si>
  <si>
    <t>scale by tonnage 2008/tonnage 2005</t>
  </si>
  <si>
    <t>Ash Grove Cement Co, E Marginal_Clinker Handling And Storage_Pt1Seg2</t>
  </si>
  <si>
    <t>row 20</t>
  </si>
  <si>
    <t>% WA employees in KC</t>
  </si>
  <si>
    <t>Ash Grove Cement Co, E Marginal_Raw Material Handling &amp; Storage_Pt4Seg1</t>
  </si>
  <si>
    <t>row 23</t>
  </si>
  <si>
    <t>Lafarge North America Inc_Clinker Cooler_Pt2Seg1</t>
  </si>
  <si>
    <t>row 102</t>
  </si>
  <si>
    <t>KC consumption</t>
  </si>
  <si>
    <t>geodata (3)' cell P9</t>
  </si>
  <si>
    <t>geodata (3)' cell P10</t>
  </si>
  <si>
    <t>geodata (3)' cell K9</t>
  </si>
  <si>
    <t>geodata (3)' cell K10</t>
  </si>
  <si>
    <t>Cell F7</t>
  </si>
  <si>
    <t>Cell F5</t>
  </si>
  <si>
    <t>Cell F6</t>
  </si>
  <si>
    <t>Cell C15</t>
  </si>
  <si>
    <t>Cell C13</t>
  </si>
  <si>
    <t>KC housing units w/ oil heat</t>
  </si>
  <si>
    <t>houses</t>
  </si>
  <si>
    <t>cell B11</t>
  </si>
  <si>
    <t>cell D11</t>
  </si>
  <si>
    <t>2. Calculate KC oil use: Multiply WA use by KC/WA ratio of homes with oil</t>
  </si>
  <si>
    <t>2. Prorate for KC employees</t>
  </si>
  <si>
    <t>Was using 2007 value before.</t>
  </si>
  <si>
    <t>cell C14</t>
  </si>
  <si>
    <t>popKC03</t>
  </si>
  <si>
    <t>Scale by population</t>
  </si>
  <si>
    <t>cell F20</t>
  </si>
  <si>
    <t>Industrial Small Equipment</t>
  </si>
  <si>
    <t>Revised units (not TEU)</t>
  </si>
  <si>
    <t>CC</t>
  </si>
  <si>
    <t>First draft of King County 2008 geographic inventory</t>
  </si>
  <si>
    <t>Agr</t>
  </si>
  <si>
    <t>Marine Transportation</t>
  </si>
  <si>
    <t>Industrial - Process Emissions and Fugitive Gases</t>
  </si>
  <si>
    <t>Steel and Glass</t>
  </si>
  <si>
    <t>Soil Management</t>
  </si>
  <si>
    <t>Switchgear Insulation (SF6)</t>
  </si>
  <si>
    <t>Revise chart for sub-groups</t>
  </si>
  <si>
    <t xml:space="preserve">       OGV manuevering at PoS (2005)</t>
  </si>
  <si>
    <t>2. scale cruise by # of days at Port minus days using shore power (2005)</t>
  </si>
  <si>
    <t>3. scale freight by tonnage (2005)</t>
  </si>
  <si>
    <t>4. Add freight and cruise emissions (2005)</t>
  </si>
  <si>
    <t>OGV hotelling at PoS (2005)</t>
  </si>
  <si>
    <t>1. convert to MgCO2e (2005)</t>
  </si>
  <si>
    <t>4. Sum 2005 hotelling: add cruise and freight emissions</t>
  </si>
  <si>
    <t>KC residential use</t>
  </si>
  <si>
    <t>Data relating to KC consumption</t>
  </si>
  <si>
    <t>Table 8, pg. 292</t>
  </si>
  <si>
    <t>Table 8, pg. 345</t>
  </si>
  <si>
    <t>Farm Acreage (cropland)</t>
  </si>
  <si>
    <t>1. Calculate acreage ratio of cropland (KC:US)</t>
  </si>
  <si>
    <t>2. Multiply acreage ratio by direct emissions</t>
  </si>
  <si>
    <t>3. Multiply acreage ratio by indirect emissions</t>
  </si>
  <si>
    <t>4. Sum direct and indirect KC emissions</t>
  </si>
  <si>
    <t>5. Convert to MgCO2e</t>
  </si>
  <si>
    <t>Updated for 2003.</t>
  </si>
  <si>
    <t>2005 Cruise Passengers</t>
  </si>
  <si>
    <t>2003 Cruise Passengers</t>
  </si>
  <si>
    <t>passengers</t>
  </si>
  <si>
    <t>Scaled from 2005 by cruise passengers.</t>
  </si>
  <si>
    <t>2. scale cruise by # of calls</t>
  </si>
  <si>
    <t>% SeaTac emissions attributable to King County</t>
  </si>
  <si>
    <t>cell C29</t>
  </si>
  <si>
    <t>Ratio is based on population (personal) and employment (business), and origin within airshed.</t>
  </si>
  <si>
    <t>KC08-40-4_LafargeFuel03-09</t>
  </si>
  <si>
    <t>Also in 08-42-4</t>
  </si>
  <si>
    <t>PSE emissions</t>
  </si>
  <si>
    <t>Scale by SCL electricity 2003:2008</t>
  </si>
  <si>
    <t>King County Metro</t>
  </si>
  <si>
    <t>Motorbus</t>
  </si>
  <si>
    <t>biodiesel</t>
  </si>
  <si>
    <t>100% biodiesel</t>
  </si>
  <si>
    <t>KC08-11-3_KCM-Motorbus</t>
  </si>
  <si>
    <t>cell G4</t>
  </si>
  <si>
    <t>cell J4</t>
  </si>
  <si>
    <t>2. compute emisisons</t>
  </si>
  <si>
    <t>cell G920</t>
  </si>
  <si>
    <t>cell N920</t>
  </si>
  <si>
    <t>cell Q920</t>
  </si>
  <si>
    <t>3. Sum Bus emissions</t>
  </si>
  <si>
    <t>Annual vehicle revenue miles (Bus)</t>
  </si>
  <si>
    <t>KC08-11-5_NTD-KCMetro08</t>
  </si>
  <si>
    <t>KC08-11-6_NTD-KCMetro03</t>
  </si>
  <si>
    <t>Scale by annual revenue miles</t>
  </si>
  <si>
    <t>Sound Transit operations: fraction within King County</t>
  </si>
  <si>
    <t>http://www.soundtransit.org/x13832.xml</t>
  </si>
  <si>
    <t>Half of routes are entirely within KC, half of routes are half inside KC, so roughly 75% (.5*1+.5*.5) are assigned to KC.</t>
  </si>
  <si>
    <t>Sound Transit fuel within KC</t>
  </si>
  <si>
    <t>Pleasure Craft</t>
  </si>
  <si>
    <t>Landfills</t>
  </si>
  <si>
    <t>INDUSTRY</t>
  </si>
  <si>
    <t xml:space="preserve"> ODS Substitutes</t>
  </si>
  <si>
    <t>Road</t>
  </si>
  <si>
    <t>Marine and Rail</t>
  </si>
  <si>
    <t>Total Emissions</t>
  </si>
  <si>
    <t>Energy Use</t>
  </si>
  <si>
    <t>Process</t>
  </si>
  <si>
    <t>Glass</t>
  </si>
  <si>
    <t>Calculated PSE EF</t>
  </si>
  <si>
    <t>PSE KC electric usage</t>
  </si>
  <si>
    <t>Lighting</t>
  </si>
  <si>
    <t>cell C6</t>
  </si>
  <si>
    <t>cell C7</t>
  </si>
  <si>
    <t>cell C8</t>
  </si>
  <si>
    <t>cell C9</t>
  </si>
  <si>
    <t>cell C10</t>
  </si>
  <si>
    <t>cell E5</t>
  </si>
  <si>
    <t>cell E6</t>
  </si>
  <si>
    <t>cell E7</t>
  </si>
  <si>
    <r>
      <t>3. Convert to MgCO</t>
    </r>
    <r>
      <rPr>
        <vertAlign val="subscript"/>
        <sz val="10"/>
        <rFont val="Arial"/>
        <family val="2"/>
      </rPr>
      <t>2</t>
    </r>
    <r>
      <rPr>
        <sz val="10"/>
        <rFont val="Arial"/>
        <family val="2"/>
      </rPr>
      <t>e</t>
    </r>
  </si>
  <si>
    <t>2. Calculate Residential Emissions</t>
  </si>
  <si>
    <t>2. Calculate Commercial Emissions</t>
  </si>
  <si>
    <t>2. Calculate Industrial Emissions</t>
  </si>
  <si>
    <t>KC08-14-3_SeaTacFuel</t>
  </si>
  <si>
    <t>Total Enplaned Passengers (domestic and international)</t>
  </si>
  <si>
    <t>Ratio 2003:2005</t>
  </si>
  <si>
    <t>2005 Jet Fuel Consumption</t>
  </si>
  <si>
    <t xml:space="preserve">2003 data not available; 2004 incomplete. </t>
  </si>
  <si>
    <t>KC08-14-4_AnnActReport05</t>
  </si>
  <si>
    <t>Includes domestic and international flights; passenger flights only.</t>
  </si>
  <si>
    <t>KC08-14-5_AnnActReport03</t>
  </si>
  <si>
    <t>KC08-14-2_AnnActReport08</t>
  </si>
  <si>
    <t>landings</t>
  </si>
  <si>
    <t>Landings</t>
  </si>
  <si>
    <t>All-Cargo Landings</t>
  </si>
  <si>
    <t>Total Landings</t>
  </si>
  <si>
    <t>KC08-14-1_SeaTacRatio '2008'</t>
  </si>
  <si>
    <t>KC08-14-1_SeaTacRatio '2003'</t>
  </si>
  <si>
    <t>cell C28</t>
  </si>
  <si>
    <t>Total Ops</t>
  </si>
  <si>
    <t>Assume roughly equal to 2008</t>
  </si>
  <si>
    <t>aircraft operations</t>
  </si>
  <si>
    <t>08-14-1</t>
  </si>
  <si>
    <t>Scale by historical activity</t>
  </si>
  <si>
    <t>popKC04</t>
  </si>
  <si>
    <t>Petroleum (Heating)</t>
  </si>
  <si>
    <t>Petroleum (Heat and Other)</t>
  </si>
  <si>
    <t>Tire</t>
  </si>
  <si>
    <t>Cement (Calcination)</t>
  </si>
  <si>
    <t>King Co. Airport</t>
  </si>
  <si>
    <t>SeaTac Air Travel</t>
  </si>
  <si>
    <r>
      <t>All figures shown are in metric tons of CO2 equivalent (MgCO</t>
    </r>
    <r>
      <rPr>
        <b/>
        <vertAlign val="subscript"/>
        <sz val="9"/>
        <rFont val="Arial"/>
        <family val="2"/>
      </rPr>
      <t>2</t>
    </r>
    <r>
      <rPr>
        <b/>
        <sz val="9"/>
        <rFont val="Arial"/>
        <family val="2"/>
      </rPr>
      <t xml:space="preserve">e) </t>
    </r>
  </si>
  <si>
    <t>All figures shown are in metric tons of CO2 equivalent (MgCO2e) and rounded to nearest 1,000 where possible</t>
  </si>
  <si>
    <r>
      <t>Switchgear Insulation (SF</t>
    </r>
    <r>
      <rPr>
        <b/>
        <vertAlign val="subscript"/>
        <sz val="9"/>
        <rFont val="Arial"/>
        <family val="2"/>
      </rPr>
      <t>6</t>
    </r>
    <r>
      <rPr>
        <b/>
        <sz val="9"/>
        <rFont val="Arial"/>
        <family val="2"/>
      </rPr>
      <t>)</t>
    </r>
  </si>
  <si>
    <t>2008 population</t>
  </si>
  <si>
    <t>2007 population</t>
  </si>
  <si>
    <t>popWA08</t>
  </si>
  <si>
    <t>popWA07</t>
  </si>
  <si>
    <t>2003 population</t>
  </si>
  <si>
    <t>popWA03</t>
  </si>
  <si>
    <t xml:space="preserve"> Ozone-Depleting Substances (ODS) Substitutes</t>
  </si>
  <si>
    <t>2. Calculate KC-associated consumption</t>
  </si>
  <si>
    <t>8. Emissions using US vehicle efficiency</t>
  </si>
  <si>
    <t>KC08-11-2_TripsVMT-KC</t>
  </si>
  <si>
    <r>
      <t xml:space="preserve">scale by 2008 to 2005 calls </t>
    </r>
    <r>
      <rPr>
        <i/>
        <sz val="9"/>
        <rFont val="Arial"/>
        <family val="2"/>
      </rPr>
      <t>(removed shore power scaling because maneuvering is not at a dock)</t>
    </r>
  </si>
  <si>
    <t>Total Natural Gas Consumption</t>
  </si>
  <si>
    <t>6. Calculate emissions</t>
  </si>
  <si>
    <t>Trans-Road</t>
  </si>
  <si>
    <t>Trans-Marine</t>
  </si>
  <si>
    <t>Trans-Air</t>
  </si>
  <si>
    <t>Ind- Small Equip</t>
  </si>
  <si>
    <t xml:space="preserve">Metric tons of carbon dioxide equivalent (CO2e) </t>
  </si>
  <si>
    <t>Per Capita GHG Emissions by Sector</t>
  </si>
  <si>
    <t>Petroleum (Yard Equipment)</t>
  </si>
  <si>
    <t>Natural Gas (Commercial Equipment)</t>
  </si>
  <si>
    <t>Natural Gas (Heat and Other)</t>
  </si>
  <si>
    <t>Petroleum (Commercial Equipment)</t>
  </si>
  <si>
    <t>ODS Substitutes</t>
  </si>
  <si>
    <t>Switchgear Insulation</t>
  </si>
  <si>
    <t>Natural Gas (Industrial Equipment)</t>
  </si>
  <si>
    <t>Petroleum (Industrial Equipment)</t>
  </si>
  <si>
    <t>KC08-61-2_PSE03</t>
  </si>
  <si>
    <t>KC08-61-1_PSE08</t>
  </si>
  <si>
    <t>South Plant Facility</t>
  </si>
  <si>
    <t>Cedar Falls</t>
  </si>
  <si>
    <t>Enumclaw</t>
  </si>
  <si>
    <t>Hobart</t>
  </si>
  <si>
    <t>Vashon</t>
  </si>
  <si>
    <t>Cedar Hills Landfill in King County (active)</t>
  </si>
  <si>
    <t>MSW - King County Solid Waste Division</t>
  </si>
  <si>
    <t>Seattle Public Utilities</t>
  </si>
  <si>
    <t>1. Aggregate emissions</t>
  </si>
  <si>
    <t>transportation to landfill</t>
  </si>
  <si>
    <t>carbon sequestration</t>
  </si>
  <si>
    <r>
      <t>MgCO</t>
    </r>
    <r>
      <rPr>
        <vertAlign val="subscript"/>
        <sz val="9"/>
        <rFont val="Arial"/>
        <family val="2"/>
      </rPr>
      <t>2</t>
    </r>
    <r>
      <rPr>
        <sz val="9"/>
        <rFont val="Arial"/>
        <family val="2"/>
      </rPr>
      <t>e</t>
    </r>
  </si>
  <si>
    <t>emissions from disposal of MSW</t>
  </si>
  <si>
    <t>King County's Community GHG Emissions Inventory (Draft)</t>
  </si>
  <si>
    <t>cell R223</t>
  </si>
  <si>
    <t>Emissions monitoring</t>
  </si>
  <si>
    <t>methane flare rate</t>
  </si>
  <si>
    <t>1.  Convert to L/day</t>
  </si>
  <si>
    <t>2. Convert to g/day</t>
  </si>
  <si>
    <t>3. Convert to mg/yr</t>
  </si>
  <si>
    <t>Combustion efficiency</t>
  </si>
  <si>
    <t>Collection efficiency</t>
  </si>
  <si>
    <t>4.  Calculate release of methane from flare system</t>
  </si>
  <si>
    <t>5.  Calculate fugitive methane releases</t>
  </si>
  <si>
    <t>6.  Calculate total methane release</t>
  </si>
  <si>
    <t>7.  Calculate methane emissions</t>
  </si>
  <si>
    <t>Cedar Hills landfill</t>
  </si>
  <si>
    <t>Closed landfills</t>
  </si>
  <si>
    <t>Soil oxidation rate</t>
  </si>
  <si>
    <t>list of worksheets</t>
  </si>
  <si>
    <t>Revision history (beginning after the October 2010 delivery of the full inventory).</t>
  </si>
  <si>
    <t>Land Use Change - Emissions from Clearing for Residential Development</t>
  </si>
  <si>
    <t>Building permits issued for new residential construction</t>
  </si>
  <si>
    <t>Number of permits</t>
  </si>
  <si>
    <t>KC08-80-2</t>
  </si>
  <si>
    <t>tons C / hectare</t>
  </si>
  <si>
    <t>Parcel starting conditions</t>
  </si>
  <si>
    <t>Mean canopy cover</t>
  </si>
  <si>
    <t>Mean carbon density</t>
  </si>
  <si>
    <t>a. Land cleared (assuming 100% cleared)</t>
  </si>
  <si>
    <t>a.  Carbon per acre * acres cleared</t>
  </si>
  <si>
    <t>b.  Convert to CO2</t>
  </si>
  <si>
    <t>LAND USE</t>
  </si>
  <si>
    <t>Clearing for residential development</t>
  </si>
  <si>
    <t>Clearing for Residential Development</t>
  </si>
  <si>
    <t>Residential Development</t>
  </si>
  <si>
    <t>LAND USE CHANGE</t>
  </si>
  <si>
    <t>Less than or equal to 0.25 acres</t>
  </si>
  <si>
    <t>Acreage of parcels</t>
  </si>
  <si>
    <t>0.25 to 1 acres</t>
  </si>
  <si>
    <t>&gt;1 acre</t>
  </si>
  <si>
    <t>Assumed clearing</t>
  </si>
  <si>
    <t>1.  Total acres cleared</t>
  </si>
  <si>
    <t>2.  Estimate carbon stocks  per acre</t>
  </si>
  <si>
    <t>3.  Estimate carbon lost by clearing</t>
  </si>
  <si>
    <t>This carbon density assumes the mean canopy cover rate above and includes only aboveground live biomass in trees</t>
  </si>
  <si>
    <t>Ratio of belowground to aboveground live biomass</t>
  </si>
  <si>
    <t>KC08-80-4</t>
  </si>
  <si>
    <t>a.  Carbon per hectare - aboveground</t>
  </si>
  <si>
    <t>c.  Convert to tons C/acre</t>
  </si>
  <si>
    <t>b.  Add in belowground carbon</t>
  </si>
  <si>
    <t>N2O</t>
  </si>
  <si>
    <t>CH4</t>
  </si>
  <si>
    <t>VMT</t>
  </si>
  <si>
    <t>Emissions Source</t>
  </si>
  <si>
    <t xml:space="preserve">Core </t>
  </si>
  <si>
    <t>Transportation: Road</t>
  </si>
  <si>
    <t>Emissions (MtCO2e)</t>
  </si>
  <si>
    <t>VMT (billions miles)</t>
  </si>
  <si>
    <t>Buildings: Residential &amp; Commercial</t>
  </si>
  <si>
    <t>Waste: Landfills</t>
  </si>
  <si>
    <t>Emissions per capita (tCO2e/resident)</t>
  </si>
  <si>
    <t>Residential waste per capita (tons / resident)</t>
  </si>
  <si>
    <t>Nonresidential waste per capita (tons / employee)</t>
  </si>
  <si>
    <t>Expanded: Consumption</t>
  </si>
  <si>
    <t>n/a</t>
  </si>
  <si>
    <t>Expanded: Production</t>
  </si>
  <si>
    <t>Other Industry</t>
  </si>
  <si>
    <t>Port of Seattle</t>
  </si>
  <si>
    <t>Land Use</t>
  </si>
  <si>
    <t>In-region Landfills</t>
  </si>
  <si>
    <t>VMT per capita (thousand miles/resident)</t>
  </si>
  <si>
    <t>Emissions per mile (kgCO2e/VMT)</t>
  </si>
  <si>
    <t>3. Calculate oil emissions</t>
  </si>
  <si>
    <t>Residential Energy use (trillion BTU)</t>
  </si>
  <si>
    <t>Commercial energy use (trillion BTU)</t>
  </si>
  <si>
    <t>Energy use (trillion BTU)</t>
  </si>
  <si>
    <t>Residential energy per capita (million BTU/resident)</t>
  </si>
  <si>
    <t>tonne steel</t>
  </si>
  <si>
    <t>tonne glass</t>
  </si>
  <si>
    <t xml:space="preserve">             Nucor only</t>
  </si>
  <si>
    <t>tonne clinker</t>
  </si>
  <si>
    <t>Residential waste (tons)</t>
  </si>
  <si>
    <t>Nonresidential waste (tons)</t>
  </si>
  <si>
    <t>tCO2e</t>
  </si>
  <si>
    <t>MtCO2e</t>
  </si>
  <si>
    <t>row 26</t>
  </si>
  <si>
    <t>No longer subtracting out residential equipment</t>
  </si>
  <si>
    <t>Corrected to subtract out all natural gas from point sources</t>
  </si>
  <si>
    <t>row 21</t>
  </si>
  <si>
    <t>Moved Jorgensen natural gas from Ind- Process tab</t>
  </si>
  <si>
    <t>5. Aggregate Saint-Gobain glass production</t>
  </si>
  <si>
    <t>6. Convert to Mg</t>
  </si>
  <si>
    <t>7. Calculate glass production emissions:</t>
  </si>
  <si>
    <t>8. Calculate total Other Process Emissions</t>
  </si>
  <si>
    <t>row 50</t>
  </si>
  <si>
    <t>No longer adding Jorgensen natural gas</t>
  </si>
  <si>
    <t>Calculated steel emissions from Nucor separately</t>
  </si>
  <si>
    <t>row 52</t>
  </si>
  <si>
    <t>Res- Garden &amp; Rec</t>
  </si>
  <si>
    <t>Commercial energy per employee (million BTU/employee)</t>
  </si>
  <si>
    <t>Freight Truck VMT (billion miles)</t>
  </si>
  <si>
    <t>Energy use per capita per heat demand (thousand BTU per capita per HDD)</t>
  </si>
  <si>
    <t>Industrial Activity ($)</t>
  </si>
  <si>
    <t># of animals</t>
  </si>
  <si>
    <t>throghput (tonnes)</t>
  </si>
  <si>
    <t>Heating oil</t>
  </si>
  <si>
    <t>Electricty</t>
  </si>
  <si>
    <r>
      <t>Emissions per BTU (kg CO</t>
    </r>
    <r>
      <rPr>
        <vertAlign val="subscript"/>
        <sz val="8"/>
        <rFont val="Calibri"/>
        <family val="2"/>
      </rPr>
      <t>2</t>
    </r>
    <r>
      <rPr>
        <sz val="8"/>
        <rFont val="Calibri"/>
        <family val="2"/>
      </rPr>
      <t>e/million BTU)</t>
    </r>
  </si>
  <si>
    <t>Embodied Emissions (MtCO2e)</t>
  </si>
  <si>
    <t>Recycling tons relative to national average</t>
  </si>
  <si>
    <t>per capita</t>
  </si>
  <si>
    <t>Embodied emissions in food, goods, and services</t>
  </si>
  <si>
    <t>Avoided Manufacturing Emissions due to Recycling</t>
  </si>
  <si>
    <t>kgC02e/$</t>
  </si>
  <si>
    <t>Adjusted Emissions</t>
  </si>
  <si>
    <t>GHG intensity of fuels (kg CO2e / MBTU)</t>
  </si>
  <si>
    <t>Freight truck emissions per mile (kgCO2e/VMT)</t>
  </si>
  <si>
    <r>
      <t>Residential GHG intensity of energy (kg CO</t>
    </r>
    <r>
      <rPr>
        <vertAlign val="subscript"/>
        <sz val="8"/>
        <rFont val="Calibri"/>
        <family val="2"/>
      </rPr>
      <t>2</t>
    </r>
    <r>
      <rPr>
        <sz val="8"/>
        <rFont val="Calibri"/>
        <family val="2"/>
      </rPr>
      <t>e/million BTU)</t>
    </r>
  </si>
  <si>
    <r>
      <t>Commercial GHG intensity of energy (kg CO</t>
    </r>
    <r>
      <rPr>
        <vertAlign val="subscript"/>
        <sz val="8"/>
        <rFont val="Calibri"/>
        <family val="2"/>
      </rPr>
      <t>2</t>
    </r>
    <r>
      <rPr>
        <sz val="8"/>
        <rFont val="Calibri"/>
        <family val="2"/>
      </rPr>
      <t>e/million BTU)</t>
    </r>
  </si>
  <si>
    <t>total animal mass, tonnes</t>
  </si>
  <si>
    <t>Air travel</t>
  </si>
  <si>
    <t>Diversion rate</t>
  </si>
  <si>
    <t>Construction</t>
  </si>
  <si>
    <t>Residential emissions</t>
  </si>
  <si>
    <t>Commercial, emissions</t>
  </si>
  <si>
    <t>Residential, per capita</t>
  </si>
  <si>
    <t>Commercial, per capita</t>
  </si>
  <si>
    <t>Composting tons relative to national average</t>
  </si>
  <si>
    <t>Emissions per ton composted</t>
  </si>
  <si>
    <t>Recycling Emissions (MtCO2e)</t>
  </si>
  <si>
    <t>Avoided emissions per resident (tCO2e/resident)</t>
  </si>
  <si>
    <t>Avoided emissions per ton recycled</t>
  </si>
  <si>
    <t>Avoided composting emissions (MtCO2e)</t>
  </si>
  <si>
    <t>KC08-11-13_Light_truck</t>
  </si>
  <si>
    <t>Heating degree days (HDD)</t>
  </si>
  <si>
    <t>Cooling degree days (CDD)</t>
  </si>
  <si>
    <t>2003 to 2008 change</t>
  </si>
  <si>
    <t>2009</t>
  </si>
  <si>
    <t>Population</t>
  </si>
  <si>
    <t>Employment</t>
  </si>
  <si>
    <t>2003 commercial employees</t>
  </si>
  <si>
    <t>empComKC03</t>
  </si>
  <si>
    <t>empIndKC03</t>
  </si>
  <si>
    <t>2003 industrial employees</t>
  </si>
  <si>
    <t>empComWA03</t>
  </si>
  <si>
    <t>empIndWA03</t>
  </si>
  <si>
    <t>popKC07</t>
  </si>
  <si>
    <t>popKC01</t>
  </si>
  <si>
    <t>popKC02</t>
  </si>
  <si>
    <t>popKC06</t>
  </si>
  <si>
    <t>popKC09</t>
  </si>
  <si>
    <t>short tons</t>
  </si>
  <si>
    <t>PE</t>
  </si>
  <si>
    <t>Natural gas is not a process emission</t>
  </si>
  <si>
    <t>Population; ref</t>
  </si>
  <si>
    <t>numerous</t>
  </si>
  <si>
    <t>popSea90</t>
  </si>
  <si>
    <t>popSea00</t>
  </si>
  <si>
    <t>popSea05</t>
  </si>
  <si>
    <t>popSea08</t>
  </si>
  <si>
    <t>popUS06</t>
  </si>
  <si>
    <t>popUS07</t>
  </si>
  <si>
    <t>popUS03</t>
  </si>
  <si>
    <t>popUS04</t>
  </si>
  <si>
    <t>Tables and charts for the summary report</t>
  </si>
  <si>
    <t>Updated population totals from U.S. Census Bureau; updated commercial and industrial employment for 2003 (previous was 2004); this change propagated throughout multiple sheets, including small changes to many results</t>
  </si>
  <si>
    <t>KC08-65-1_PSE10</t>
  </si>
  <si>
    <t>cell E9</t>
  </si>
  <si>
    <t>Cell F12</t>
  </si>
  <si>
    <t>2010</t>
  </si>
  <si>
    <t>popKC10</t>
  </si>
  <si>
    <t>Assume same as 2008</t>
  </si>
  <si>
    <t>KC08-64-1_SCLkWh10</t>
  </si>
  <si>
    <t>Cell F15</t>
  </si>
  <si>
    <t>cell E10</t>
  </si>
  <si>
    <t>cell E11</t>
  </si>
  <si>
    <t>cell E12</t>
  </si>
  <si>
    <t>ref tab</t>
  </si>
  <si>
    <t>2011</t>
  </si>
  <si>
    <t>popKC11</t>
  </si>
  <si>
    <t>Updated for 2008.</t>
  </si>
  <si>
    <t>row 186; 2008-2008 data: Zero removed - no data available as source did not trigger reporting threshold for this year.</t>
  </si>
  <si>
    <t>row 94; 2000-2008 data: Zero removed - no data available as source did not trigger reporting threshold for this year.  Units reported incorrect.  Divided by 1000 since reported in "therms" not "1000 therms." Agata McIntyre @ PSCAA encountered this units issue when doing calculations.  CAVEAT w/ time series: zero values do not actually indicate zero emissions for that year.  It just means that the facility did not exceed the threshold to report to PSCAA.  Careful how interpret changes (not as drastic as may seem).</t>
  </si>
  <si>
    <t>row 95; 2000-2008 data: Zero removed - no data available as source did not trigger reporting threshold for this year. Units reported incorrect.  Divided by 1000 since reported in "therms" not "1000 therms." Agata McIntyre @ PSCAA encountered this units issue when doing calculations.</t>
  </si>
  <si>
    <t>row 97; 2008-2008 data: Zero removed - no data available as source did not trigger reporting threshold for this year. Units reported incorrect.  Divided by 1000 since reported in "therms" not "1000 therms." Agata McIntyre @ PSCAA encountered this units issue when doing calculations.</t>
  </si>
  <si>
    <t>row 99; 2008-2008 data: Zero removed - no data available as source did not trigger reporting threshold for this year. Units reported incorrect.  Divided by 1000 since reported in "therms" not "1000 therms." Agata McIntyre @ PSCAA encountered this units issue when doing calculations.</t>
  </si>
  <si>
    <t>cell D28 + F28. Includes deliveries to commercial and oil company consumers.</t>
  </si>
  <si>
    <t>cell D23 + F23. Includes deliveries to commercial and oil company consumers.</t>
  </si>
  <si>
    <t>row 96; 2000-2008: Zero removed - no data available as source did not trigger reporting threshold for this year. Units reported incorrect.  Divided by 1000 since reported in "gallons" not "1000 gallons." Agata McIntyre @ PSCAA encountered this units issue when doing calculations.</t>
  </si>
  <si>
    <t>row 98; 2000-2008: Zero removed - no data available as source did not trigger reporting threshold for this year. Units reported incorrect.  Divided by 1000 since reported in "gallons" not "1000 gallons." Agata McIntyre @ PSCAA encountered this units issue when doing calculations.</t>
  </si>
  <si>
    <t>row 100; 2000-2008: Zero removed - no data available as source did not trigger reporting threshold for this year. Units reported incorrect.  Divided by 1000 since reported in "gallons" not "1000 gallons." Agata McIntyre @ PSCAA encountered this units issue when doing calculations.</t>
  </si>
  <si>
    <t>1000 Gal</t>
  </si>
  <si>
    <t>1000 Therms</t>
  </si>
  <si>
    <t>cell E4.</t>
  </si>
  <si>
    <t>Lighting included as part of "Commercial."</t>
  </si>
  <si>
    <t>KC08-11-4_T17EnergyCons</t>
  </si>
  <si>
    <t>Passenger VMT (billion miles)</t>
  </si>
  <si>
    <t>Passenger emissions per mile (kgCO2e/VMT)</t>
  </si>
  <si>
    <r>
      <t>Emissions per person (MT CO</t>
    </r>
    <r>
      <rPr>
        <vertAlign val="subscript"/>
        <sz val="8"/>
        <rFont val="Calibri"/>
        <family val="2"/>
      </rPr>
      <t>2</t>
    </r>
    <r>
      <rPr>
        <sz val="8"/>
        <rFont val="Calibri"/>
        <family val="2"/>
      </rPr>
      <t>e/resident)</t>
    </r>
  </si>
  <si>
    <r>
      <t>Passenger emissions per person (MT CO</t>
    </r>
    <r>
      <rPr>
        <vertAlign val="subscript"/>
        <sz val="8"/>
        <rFont val="Calibri"/>
        <family val="2"/>
      </rPr>
      <t>2</t>
    </r>
    <r>
      <rPr>
        <sz val="8"/>
        <rFont val="Calibri"/>
        <family val="2"/>
      </rPr>
      <t>e/resident)</t>
    </r>
  </si>
  <si>
    <t>Freight emissions per person (MT CO2e/resident)</t>
  </si>
  <si>
    <t>Passenger VMT/person (thousand miles/resident)</t>
  </si>
  <si>
    <t>Freight Truck VMT/person (thousand miles/resident)</t>
  </si>
  <si>
    <t>Need better data for oil, especially for commercial.</t>
  </si>
  <si>
    <t>Freight = medium and heavy duty trucks</t>
  </si>
  <si>
    <t>Passenger = Cars. light trucks, buses</t>
  </si>
  <si>
    <t>For Sound Transit buses, used fuel use * EF from Metro buses.  In future iterations, recommend just getting bus VMT data from PSRC along with the other modes.</t>
  </si>
  <si>
    <t>Excludes equipment</t>
  </si>
  <si>
    <t>Includes oil at Seattle Steam</t>
  </si>
  <si>
    <t>2010 population</t>
  </si>
  <si>
    <t>popWA10</t>
  </si>
  <si>
    <t>Source file: KC08-22-0_HDD_CDD</t>
  </si>
  <si>
    <t>Emissions (MT CO2e)</t>
  </si>
  <si>
    <t>Emissions (Million MT CO2e)</t>
  </si>
  <si>
    <t>Residential Emissions (Million MT CO2e)</t>
  </si>
  <si>
    <t>Commercial Emissions (Million MT CO2e)</t>
  </si>
  <si>
    <r>
      <t>Emissions per capita (MT CO</t>
    </r>
    <r>
      <rPr>
        <vertAlign val="subscript"/>
        <sz val="8"/>
        <rFont val="Calibri"/>
        <family val="2"/>
      </rPr>
      <t>2</t>
    </r>
    <r>
      <rPr>
        <sz val="8"/>
        <rFont val="Calibri"/>
        <family val="2"/>
      </rPr>
      <t>e/resident)</t>
    </r>
  </si>
  <si>
    <r>
      <t>Residential emissions per capita (MT CO</t>
    </r>
    <r>
      <rPr>
        <vertAlign val="subscript"/>
        <sz val="8"/>
        <rFont val="Calibri"/>
        <family val="2"/>
      </rPr>
      <t>2</t>
    </r>
    <r>
      <rPr>
        <sz val="8"/>
        <rFont val="Calibri"/>
        <family val="2"/>
      </rPr>
      <t>e/resident)</t>
    </r>
  </si>
  <si>
    <r>
      <t>Commercial emissions per capita (MT CO</t>
    </r>
    <r>
      <rPr>
        <vertAlign val="subscript"/>
        <sz val="8"/>
        <rFont val="Calibri"/>
        <family val="2"/>
      </rPr>
      <t>2</t>
    </r>
    <r>
      <rPr>
        <sz val="8"/>
        <rFont val="Calibri"/>
        <family val="2"/>
      </rPr>
      <t>e/resident)</t>
    </r>
  </si>
  <si>
    <t>Emissions per capita (MT CO2e/resident)</t>
  </si>
  <si>
    <t>Emissions per ton disposed (MT CO2e/ton)</t>
  </si>
  <si>
    <t>Emissions per output (MT CO2e/tonne clinker)</t>
  </si>
  <si>
    <t>This is Nucor steel only (which makes raw steel), not Jorgensen (which is a forge)</t>
  </si>
  <si>
    <t>Emissions per output (MT CO2e/tonne glass)</t>
  </si>
  <si>
    <t>Emissions per output (MT CO2e/tonne steel)</t>
  </si>
  <si>
    <t>Source:KC08-43-1; is value-added by NAICS codes 31-33 (manufacturing), 21 (mining), and 23 (construction) from the U.S. Economic Census for 2007</t>
  </si>
  <si>
    <t>Source: KC08-40-5; these figures for cement, steel, and glass are from 2006 and are measurements from the stock.  Need a better methodology for estimating in the future</t>
  </si>
  <si>
    <t>excludes fugitive gas, switchgear</t>
  </si>
  <si>
    <t>Emisions per animal (MT CO2e/animal)</t>
  </si>
  <si>
    <t>Emissions per animal mass (MT CO2e/t animal)</t>
  </si>
  <si>
    <t>Emissions per tonne throughput (MT CO2e/tonne throughput)</t>
  </si>
  <si>
    <t>Embodied Emissions (Million MT CO2e)</t>
  </si>
  <si>
    <t>Includes natural gas for steam and likely a small emough for equipment</t>
  </si>
  <si>
    <t>efgasoline08</t>
  </si>
  <si>
    <t>efgasoline03</t>
  </si>
  <si>
    <t>Annex 2, Table A-43.</t>
  </si>
  <si>
    <t>KC08-11-12</t>
  </si>
  <si>
    <t>Annex 2, page A-22</t>
  </si>
  <si>
    <t>efgasoline09</t>
  </si>
  <si>
    <t>distillate fuel oil (#2)</t>
  </si>
  <si>
    <t>residual fuel oil (#6)</t>
  </si>
  <si>
    <t>Annex 2, Table A-53.</t>
  </si>
  <si>
    <t>Annex 2, Table A-33.</t>
  </si>
  <si>
    <t>Annex 2, Table A-34.  Nominal value (mode, 1990-2004 bins).</t>
  </si>
  <si>
    <t xml:space="preserve">Annex 2, Table A-34. </t>
  </si>
  <si>
    <t>Annex 2, Table A-34.  Nominal value (mode, 2003-2008).</t>
  </si>
  <si>
    <t>Ref tab</t>
  </si>
  <si>
    <t>2010 commercial employees</t>
  </si>
  <si>
    <t>2010 industrial employees</t>
  </si>
  <si>
    <t>empComKC10</t>
  </si>
  <si>
    <t>empIndKC10</t>
  </si>
  <si>
    <t>empComWA10</t>
  </si>
  <si>
    <t>empIndWA10</t>
  </si>
  <si>
    <t>KC08-11-15_FHWA2009</t>
  </si>
  <si>
    <t>Using 2009.  Assume same as light duty vehicles long WB</t>
  </si>
  <si>
    <t>KC08-11-16_T17EnergyCons10</t>
  </si>
  <si>
    <t>per commercial (not incl indust) employee</t>
  </si>
  <si>
    <t>Note: numbers formatted in source file: actually gallons (not 1000 gallons) when link. DO+PT.</t>
  </si>
  <si>
    <t>KC08-11-14_T19OpStats</t>
  </si>
  <si>
    <t>May include small amount of emissions from CNG-fueled equipment that could not be excluded; does include emissions from diesel-powered equipment that could not be excluded</t>
  </si>
  <si>
    <t>Passenger Cars</t>
  </si>
  <si>
    <t>Fuel</t>
  </si>
  <si>
    <t>Other 2-axle 4-tire</t>
  </si>
  <si>
    <t>Total mpg</t>
  </si>
  <si>
    <t>efgasoline07</t>
  </si>
  <si>
    <t>efgasoline06</t>
  </si>
  <si>
    <t>efgasoline04</t>
  </si>
  <si>
    <t>efgasoline02</t>
  </si>
  <si>
    <t>efgasoline01</t>
  </si>
  <si>
    <t>litres/mile</t>
  </si>
  <si>
    <t>kgCO2/mile</t>
  </si>
  <si>
    <t>cell D30 + F30.  Includes deliveries to commercial and oil company consumers.</t>
  </si>
  <si>
    <t xml:space="preserve">GHG intensity of building energy </t>
  </si>
  <si>
    <t>GHG intensity of PSE electricity</t>
  </si>
  <si>
    <t>Tracking_Framework</t>
  </si>
  <si>
    <t>Added tracking framework tab and populated with 2003 and 2008 results</t>
  </si>
  <si>
    <t>Update to tracking framework to include 2010</t>
  </si>
  <si>
    <t>Update tabs with placeholder for 2011</t>
  </si>
  <si>
    <t>Update tabs for 2010</t>
  </si>
  <si>
    <t>Trans- Road; Res-Heat &amp; Hot Water; Commercial- Heat &amp; Hot Water; Electricity</t>
  </si>
  <si>
    <t>Trans- Road; Res-Heat &amp; Hot Water; Res- Garden &amp; Rec; Commercial- Heat &amp; Hot Water; Commercial- Equip; Electricity</t>
  </si>
  <si>
    <t>Tracking_Framework; Res-Heat &amp; Hot Water; Commerical- Heat&amp; Hot Water</t>
  </si>
  <si>
    <t>Updated data on residential and commerical oil heat</t>
  </si>
  <si>
    <t>73,380</t>
  </si>
  <si>
    <t>35,277</t>
  </si>
  <si>
    <t>Therm</t>
  </si>
  <si>
    <t>Million Cu Ft Burned</t>
  </si>
  <si>
    <t>Million Cu Ft</t>
  </si>
  <si>
    <t>Gal</t>
  </si>
  <si>
    <t>Ton</t>
  </si>
  <si>
    <t>Tons Clinker Produce</t>
  </si>
  <si>
    <t>TON</t>
  </si>
  <si>
    <t>Tons Produced</t>
  </si>
  <si>
    <t>Ton glass pulled</t>
  </si>
  <si>
    <t>C-W Notes</t>
  </si>
  <si>
    <t>2003-2008</t>
  </si>
  <si>
    <r>
      <t>Maximum methane generation potential (B</t>
    </r>
    <r>
      <rPr>
        <vertAlign val="subscript"/>
        <sz val="9"/>
        <rFont val="Calibri"/>
        <family val="2"/>
        <scheme val="minor"/>
      </rPr>
      <t>o</t>
    </r>
    <r>
      <rPr>
        <sz val="9"/>
        <rFont val="Calibri"/>
        <family val="2"/>
        <scheme val="minor"/>
      </rPr>
      <t>)</t>
    </r>
  </si>
  <si>
    <r>
      <t>m</t>
    </r>
    <r>
      <rPr>
        <vertAlign val="superscript"/>
        <sz val="9"/>
        <rFont val="Calibri"/>
        <family val="2"/>
        <scheme val="minor"/>
      </rPr>
      <t>3</t>
    </r>
    <r>
      <rPr>
        <sz val="9"/>
        <rFont val="Calibri"/>
        <family val="2"/>
        <scheme val="minor"/>
      </rPr>
      <t>CH4/kg VS added</t>
    </r>
  </si>
  <si>
    <r>
      <t>Excreted Nitrogen (N</t>
    </r>
    <r>
      <rPr>
        <vertAlign val="subscript"/>
        <sz val="9"/>
        <rFont val="Calibri"/>
        <family val="2"/>
        <scheme val="minor"/>
      </rPr>
      <t>e</t>
    </r>
    <r>
      <rPr>
        <sz val="9"/>
        <rFont val="Calibri"/>
        <family val="2"/>
        <scheme val="minor"/>
      </rPr>
      <t>)</t>
    </r>
  </si>
  <si>
    <r>
      <t>kgCH4/m</t>
    </r>
    <r>
      <rPr>
        <vertAlign val="superscript"/>
        <sz val="9"/>
        <rFont val="Calibri"/>
        <family val="2"/>
        <scheme val="minor"/>
      </rPr>
      <t>3</t>
    </r>
    <r>
      <rPr>
        <sz val="9"/>
        <rFont val="Calibri"/>
        <family val="2"/>
        <scheme val="minor"/>
      </rPr>
      <t>CH4</t>
    </r>
  </si>
  <si>
    <r>
      <t>2. multiply: AnimalPop*TAM*(kg/1000kg)*VS*(days/year)*B</t>
    </r>
    <r>
      <rPr>
        <vertAlign val="subscript"/>
        <sz val="9"/>
        <rFont val="Calibri"/>
        <family val="2"/>
        <scheme val="minor"/>
      </rPr>
      <t>o</t>
    </r>
    <r>
      <rPr>
        <sz val="9"/>
        <rFont val="Calibri"/>
        <family val="2"/>
        <scheme val="minor"/>
      </rPr>
      <t>*MCF*ρCH4</t>
    </r>
  </si>
  <si>
    <r>
      <t>kg N2O-N / kgN</t>
    </r>
    <r>
      <rPr>
        <vertAlign val="subscript"/>
        <sz val="9"/>
        <rFont val="Calibri"/>
        <family val="2"/>
        <scheme val="minor"/>
      </rPr>
      <t>e</t>
    </r>
  </si>
  <si>
    <r>
      <t>kg N2O-N / kgN</t>
    </r>
    <r>
      <rPr>
        <b/>
        <vertAlign val="subscript"/>
        <sz val="9"/>
        <rFont val="Calibri"/>
        <family val="2"/>
        <scheme val="minor"/>
      </rPr>
      <t>e</t>
    </r>
  </si>
  <si>
    <t>2015</t>
  </si>
  <si>
    <t>Brightwater Facility</t>
  </si>
  <si>
    <t xml:space="preserve">Water- Wastewater </t>
  </si>
  <si>
    <t>Energy-related Emissions Associated with Water Delivery and Treatment</t>
  </si>
  <si>
    <t>Appenix:</t>
  </si>
  <si>
    <t>F</t>
  </si>
  <si>
    <t>Page:</t>
  </si>
  <si>
    <t>U.S. Community Protocol Notes</t>
  </si>
  <si>
    <t>Extraction</t>
  </si>
  <si>
    <t>Conveyance</t>
  </si>
  <si>
    <t>Treatment</t>
  </si>
  <si>
    <t>Distribution</t>
  </si>
  <si>
    <t>E</t>
  </si>
  <si>
    <r>
      <t>MgCO</t>
    </r>
    <r>
      <rPr>
        <vertAlign val="subscript"/>
        <sz val="9"/>
        <rFont val="Arial"/>
        <family val="2"/>
      </rPr>
      <t>2</t>
    </r>
    <r>
      <rPr>
        <sz val="9"/>
        <rFont val="Arial"/>
        <family val="2"/>
      </rPr>
      <t>e</t>
    </r>
  </si>
  <si>
    <t>INDUSTRIAL FUGITIVE GASES</t>
  </si>
  <si>
    <r>
      <t>tons CO</t>
    </r>
    <r>
      <rPr>
        <vertAlign val="subscript"/>
        <sz val="9"/>
        <rFont val="Arial"/>
        <family val="2"/>
      </rPr>
      <t>2</t>
    </r>
    <r>
      <rPr>
        <sz val="9"/>
        <rFont val="Arial"/>
        <family val="2"/>
      </rPr>
      <t>e</t>
    </r>
  </si>
  <si>
    <t>f</t>
  </si>
  <si>
    <t>INDUSTRIAL OPERATIONS</t>
  </si>
  <si>
    <t>2003-2010</t>
  </si>
  <si>
    <t>Residential Stationary Fuel Use</t>
  </si>
  <si>
    <t>Electricity Usage</t>
  </si>
  <si>
    <t>King County International Airport LTO Emissions</t>
  </si>
  <si>
    <t>Airports</t>
  </si>
  <si>
    <t>KC15-11-02</t>
  </si>
  <si>
    <t>mmTc/QBTU</t>
  </si>
  <si>
    <t>2014</t>
  </si>
  <si>
    <t>2013</t>
  </si>
  <si>
    <t>2012</t>
  </si>
  <si>
    <t>1995</t>
  </si>
  <si>
    <t>efgasoline15</t>
  </si>
  <si>
    <t>efgasoline14</t>
  </si>
  <si>
    <t>efgasoline13</t>
  </si>
  <si>
    <t>efgasoline12</t>
  </si>
  <si>
    <t>efgasoline11</t>
  </si>
  <si>
    <t>efgasoline10</t>
  </si>
  <si>
    <t>efggasoline15</t>
  </si>
  <si>
    <r>
      <t>gCO</t>
    </r>
    <r>
      <rPr>
        <vertAlign val="subscript"/>
        <sz val="9"/>
        <rFont val="Arial"/>
        <family val="2"/>
      </rPr>
      <t>2</t>
    </r>
    <r>
      <rPr>
        <sz val="9"/>
        <rFont val="Arial"/>
        <family val="2"/>
      </rPr>
      <t>/gal</t>
    </r>
  </si>
  <si>
    <t>efggasoline14</t>
  </si>
  <si>
    <t>efggasoline13</t>
  </si>
  <si>
    <t>efggasoline12</t>
  </si>
  <si>
    <t>efggasoline11</t>
  </si>
  <si>
    <t>efggasoline10</t>
  </si>
  <si>
    <t>efggasoline9</t>
  </si>
  <si>
    <t>efggasoline8</t>
  </si>
  <si>
    <t>efggasoline7</t>
  </si>
  <si>
    <t>efggasoline6</t>
  </si>
  <si>
    <t>efggasoline5</t>
  </si>
  <si>
    <t>efggasoline4</t>
  </si>
  <si>
    <t>efggasoline3</t>
  </si>
  <si>
    <t>efggasoline2</t>
  </si>
  <si>
    <t>efggasoline1</t>
  </si>
  <si>
    <t>efggasoline0</t>
  </si>
  <si>
    <t>efggasoline95</t>
  </si>
  <si>
    <t>effgasoline90</t>
  </si>
  <si>
    <t>Annex 2, Table A-49.</t>
  </si>
  <si>
    <t>efdistillate</t>
  </si>
  <si>
    <t>efgdistillate</t>
  </si>
  <si>
    <r>
      <t>residential stationary CH</t>
    </r>
    <r>
      <rPr>
        <vertAlign val="subscript"/>
        <sz val="9"/>
        <rFont val="Arial"/>
        <family val="2"/>
      </rPr>
      <t>4</t>
    </r>
    <r>
      <rPr>
        <sz val="9"/>
        <rFont val="Arial"/>
        <family val="2"/>
      </rPr>
      <t xml:space="preserve"> emission factor</t>
    </r>
  </si>
  <si>
    <t>KC15-20-01</t>
  </si>
  <si>
    <t>Appendix C Table B.4</t>
  </si>
  <si>
    <r>
      <t>residential stationary N</t>
    </r>
    <r>
      <rPr>
        <vertAlign val="subscript"/>
        <sz val="9"/>
        <rFont val="Arial"/>
        <family val="2"/>
      </rPr>
      <t>2</t>
    </r>
    <r>
      <rPr>
        <sz val="9"/>
        <rFont val="Arial"/>
        <family val="2"/>
      </rPr>
      <t>O emission factor</t>
    </r>
  </si>
  <si>
    <r>
      <t>commercial stationary CH</t>
    </r>
    <r>
      <rPr>
        <vertAlign val="subscript"/>
        <sz val="9"/>
        <rFont val="Arial"/>
        <family val="2"/>
      </rPr>
      <t>4</t>
    </r>
    <r>
      <rPr>
        <sz val="9"/>
        <rFont val="Arial"/>
        <family val="2"/>
      </rPr>
      <t xml:space="preserve"> emission factor</t>
    </r>
  </si>
  <si>
    <r>
      <t>commercial stationary N</t>
    </r>
    <r>
      <rPr>
        <vertAlign val="subscript"/>
        <sz val="9"/>
        <rFont val="Arial"/>
        <family val="2"/>
      </rPr>
      <t>2</t>
    </r>
    <r>
      <rPr>
        <sz val="9"/>
        <rFont val="Arial"/>
        <family val="2"/>
      </rPr>
      <t>0 emission factor</t>
    </r>
  </si>
  <si>
    <r>
      <t>industrial stationary CH</t>
    </r>
    <r>
      <rPr>
        <vertAlign val="subscript"/>
        <sz val="9"/>
        <rFont val="Arial"/>
        <family val="2"/>
      </rPr>
      <t>4</t>
    </r>
    <r>
      <rPr>
        <sz val="9"/>
        <rFont val="Arial"/>
        <family val="2"/>
      </rPr>
      <t xml:space="preserve"> emission factors</t>
    </r>
  </si>
  <si>
    <r>
      <t>industrial stationary N</t>
    </r>
    <r>
      <rPr>
        <vertAlign val="subscript"/>
        <sz val="9"/>
        <rFont val="Arial"/>
        <family val="2"/>
      </rPr>
      <t>2</t>
    </r>
    <r>
      <rPr>
        <sz val="9"/>
        <rFont val="Arial"/>
        <family val="2"/>
      </rPr>
      <t>O emission factors</t>
    </r>
  </si>
  <si>
    <t>efgresidual</t>
  </si>
  <si>
    <t>KC15-11-03</t>
  </si>
  <si>
    <t>efgLPG</t>
  </si>
  <si>
    <t>emission factor (g/gal)</t>
  </si>
  <si>
    <t>efgjetfuel</t>
  </si>
  <si>
    <t>efgavgas</t>
  </si>
  <si>
    <t>US community protocol, Appendix C, page 60</t>
  </si>
  <si>
    <r>
      <t>Transportation CH</t>
    </r>
    <r>
      <rPr>
        <vertAlign val="subscript"/>
        <sz val="16"/>
        <rFont val="Arial"/>
        <family val="2"/>
      </rPr>
      <t>4</t>
    </r>
    <r>
      <rPr>
        <sz val="16"/>
        <rFont val="Arial"/>
        <family val="2"/>
      </rPr>
      <t xml:space="preserve"> N</t>
    </r>
    <r>
      <rPr>
        <vertAlign val="subscript"/>
        <sz val="16"/>
        <rFont val="Arial"/>
        <family val="2"/>
      </rPr>
      <t>2</t>
    </r>
    <r>
      <rPr>
        <sz val="16"/>
        <rFont val="Arial"/>
        <family val="2"/>
      </rPr>
      <t>O Emission Factors</t>
    </r>
  </si>
  <si>
    <t>vehicle type</t>
  </si>
  <si>
    <t>emission type</t>
  </si>
  <si>
    <t>call. no</t>
  </si>
  <si>
    <t>gasoline passenger cars</t>
  </si>
  <si>
    <t>EPA Tier 2</t>
  </si>
  <si>
    <t>g/mi</t>
  </si>
  <si>
    <t>KC15-11-06</t>
  </si>
  <si>
    <t>Annex 2, A-108</t>
  </si>
  <si>
    <t>Low Emission Vehicles</t>
  </si>
  <si>
    <t>EPA Tier 1</t>
  </si>
  <si>
    <t>EPA Tier 0</t>
  </si>
  <si>
    <t>Oxidation Catalyst</t>
  </si>
  <si>
    <t>Non-catalyst Control</t>
  </si>
  <si>
    <t>Uncontrolled</t>
  </si>
  <si>
    <t>gasoline light trucks</t>
  </si>
  <si>
    <t>gasoline heavy-duty vehicles</t>
  </si>
  <si>
    <t>diesel passenger cars</t>
  </si>
  <si>
    <t>Advanced</t>
  </si>
  <si>
    <t>Moderate</t>
  </si>
  <si>
    <t>diesel light-duty trucks</t>
  </si>
  <si>
    <t>diesel medium- and heavy-duty trucks and buses</t>
  </si>
  <si>
    <t>Aftertreatment</t>
  </si>
  <si>
    <t>motorcycles</t>
  </si>
  <si>
    <t>alternative-fuel light duty vehicles</t>
  </si>
  <si>
    <t>Methanol</t>
  </si>
  <si>
    <t>KC15-11-07</t>
  </si>
  <si>
    <t>Annex 2, A-109</t>
  </si>
  <si>
    <t>Ethanol</t>
  </si>
  <si>
    <t>Biodiesel</t>
  </si>
  <si>
    <t>alternative-fuel medium- and heavy-duty trucks</t>
  </si>
  <si>
    <t>LNG</t>
  </si>
  <si>
    <t>alternative fuel buses</t>
  </si>
  <si>
    <t>ships and boats</t>
  </si>
  <si>
    <t>residual</t>
  </si>
  <si>
    <t>g/kg</t>
  </si>
  <si>
    <t>KC15-12-02</t>
  </si>
  <si>
    <t>Annex 2, A-110</t>
  </si>
  <si>
    <t>rail</t>
  </si>
  <si>
    <t>agricultural equipment</t>
  </si>
  <si>
    <t>construction/mining equipment</t>
  </si>
  <si>
    <t>all-other non-road</t>
  </si>
  <si>
    <t>aircraft</t>
  </si>
  <si>
    <t>jet</t>
  </si>
  <si>
    <t>aviation</t>
  </si>
  <si>
    <t>KC15_70_01</t>
  </si>
  <si>
    <t>Potable Water</t>
  </si>
  <si>
    <t>As calculated</t>
  </si>
  <si>
    <t>As printed</t>
  </si>
  <si>
    <t>CCG notes</t>
  </si>
  <si>
    <t>Per-capita water use</t>
  </si>
  <si>
    <t>gal/day/capita</t>
  </si>
  <si>
    <t>KC15_45_01</t>
  </si>
  <si>
    <t>Cedar</t>
  </si>
  <si>
    <t>proportion groundwater</t>
  </si>
  <si>
    <t>prorportion surface water</t>
  </si>
  <si>
    <t>Cedar river is the supply</t>
  </si>
  <si>
    <t>Volume surface and groundwater</t>
  </si>
  <si>
    <t>Volume groundwater</t>
  </si>
  <si>
    <t>Volume surface water</t>
  </si>
  <si>
    <t>energy per unit groundwater</t>
  </si>
  <si>
    <t>kWh/MG</t>
  </si>
  <si>
    <t>Total energy consumed by groundwater</t>
  </si>
  <si>
    <t>GHG emissions</t>
  </si>
  <si>
    <t>Tolt</t>
  </si>
  <si>
    <t>KC GHG emissions from extraction</t>
  </si>
  <si>
    <t>Energy consumed per unit conveyance</t>
  </si>
  <si>
    <t>multply by process energy per unit water (step 4)</t>
  </si>
  <si>
    <t>multiply by appropriate GHG emissions factor (step 5)</t>
  </si>
  <si>
    <t>multiply by process energy per unit water (step 4)</t>
  </si>
  <si>
    <t>KC GHG emissions from conveyance</t>
  </si>
  <si>
    <t>Energy consumed per unit treatment</t>
  </si>
  <si>
    <t>Total energy consumed</t>
  </si>
  <si>
    <t>multiply total energy consumed by the appropriate GHG emission factor for the community (step 4)</t>
  </si>
  <si>
    <t>KC GHG emissions from treatment</t>
  </si>
  <si>
    <t>Water distributed</t>
  </si>
  <si>
    <t>Energy Intensity for distribution</t>
  </si>
  <si>
    <t>Total energy consumed for distribution</t>
  </si>
  <si>
    <t>&lt;0.1</t>
  </si>
  <si>
    <t/>
  </si>
  <si>
    <t>Emissions, MgCO2e</t>
  </si>
  <si>
    <t>Use of fuel in residential and commercial stationary combustion equipment</t>
  </si>
  <si>
    <t>Industrial stationary combustion sources</t>
  </si>
  <si>
    <t>Use of electricity by the community</t>
  </si>
  <si>
    <t>Industrial process emissions in the community</t>
  </si>
  <si>
    <t>Transportation and Other Mobile Sources</t>
  </si>
  <si>
    <t>On-road passenger vehicles operating within the community boundary</t>
  </si>
  <si>
    <t>On-road freight and service vehicles operating within the community boundary</t>
  </si>
  <si>
    <t>On-road transit vehicles operating within the community boundary</t>
  </si>
  <si>
    <t>Transit rail vehicles operating within the community boundary</t>
  </si>
  <si>
    <t>Freight rail vehicles operating within the community boundary</t>
  </si>
  <si>
    <t>Marine vessels operating within the community boundary</t>
  </si>
  <si>
    <t>Off-road surface vehicles and other mobile equipment operating within the community boundary</t>
  </si>
  <si>
    <t xml:space="preserve">Solid Waste </t>
  </si>
  <si>
    <t>Operation of solid waste disposal facilities in the community</t>
  </si>
  <si>
    <t>Generation and disposal of solid waste by the community</t>
  </si>
  <si>
    <t xml:space="preserve">Water and Wastewater </t>
  </si>
  <si>
    <t>Use of energy associated with use of potable water by the community</t>
  </si>
  <si>
    <t>Process emissions associated with generation of wastewater by the community</t>
  </si>
  <si>
    <t xml:space="preserve">Agriculture </t>
  </si>
  <si>
    <t>Domesticated animal production</t>
  </si>
  <si>
    <t>Manure decomposition and treatment</t>
  </si>
  <si>
    <t>Other emission types included by KC that are not part of the Community Protocol</t>
  </si>
  <si>
    <t>Built Environment</t>
  </si>
  <si>
    <t>Offsets retired by Seattle City Light</t>
  </si>
  <si>
    <t>Emissions benefits of public transit</t>
  </si>
  <si>
    <t>Emissions benefits of waste diversion</t>
  </si>
  <si>
    <t>Soil management</t>
  </si>
  <si>
    <t>Residential development</t>
  </si>
  <si>
    <t>Carbon sequestered in forests</t>
  </si>
  <si>
    <t>Fuel Oil</t>
  </si>
  <si>
    <t>All other stationary combustion equipment</t>
  </si>
  <si>
    <t>Marine vessels</t>
  </si>
  <si>
    <t>Operation of solid waste disposal facilities</t>
  </si>
  <si>
    <t>Generation and disposal of solid waste</t>
  </si>
  <si>
    <t>Digester gas</t>
  </si>
  <si>
    <t>Total emissions by plant</t>
  </si>
  <si>
    <t>KC15_100_01</t>
  </si>
  <si>
    <t>KC15_100_05</t>
  </si>
  <si>
    <t>KC15_100_03</t>
  </si>
  <si>
    <t>KC15_100_02</t>
  </si>
  <si>
    <t>KC15_100_04</t>
  </si>
  <si>
    <t>According to 2012 report, 7 farms total. 2 are in KC</t>
  </si>
  <si>
    <t>KC15_100_09</t>
  </si>
  <si>
    <t>KC15_100_06</t>
  </si>
  <si>
    <t>KC15_103_01</t>
  </si>
  <si>
    <t>Annex 2, Table A-171</t>
  </si>
  <si>
    <t>KC15_103_02</t>
  </si>
  <si>
    <t>Annex 2, Table A-174</t>
  </si>
  <si>
    <t>KC15_105_03</t>
  </si>
  <si>
    <t>KC15_102_0</t>
  </si>
  <si>
    <t>KC15_105_01</t>
  </si>
  <si>
    <t>Table A-180</t>
  </si>
  <si>
    <t>KC15_105_05</t>
  </si>
  <si>
    <t>kg/animal/yr</t>
  </si>
  <si>
    <t>KC15_00_02</t>
  </si>
  <si>
    <t>Table A-182</t>
  </si>
  <si>
    <t>Table A-181</t>
  </si>
  <si>
    <t>KC15_105_02</t>
  </si>
  <si>
    <t>KC15_105_04</t>
  </si>
  <si>
    <t>KC15_100_07</t>
  </si>
  <si>
    <t>KC15_100_08</t>
  </si>
  <si>
    <t>KC15_00_01</t>
  </si>
  <si>
    <t>Table 5-17</t>
  </si>
  <si>
    <t>Table 5-18</t>
  </si>
  <si>
    <t>Natural Gas (Equipment)</t>
  </si>
  <si>
    <t>Petroleum (Non-road equipment)</t>
  </si>
  <si>
    <t>Petroleum (Equipment)</t>
  </si>
  <si>
    <t>Stationary combustion</t>
  </si>
  <si>
    <r>
      <t>Stationary CH</t>
    </r>
    <r>
      <rPr>
        <b/>
        <vertAlign val="subscript"/>
        <sz val="9"/>
        <rFont val="Arial"/>
        <family val="2"/>
      </rPr>
      <t>4</t>
    </r>
    <r>
      <rPr>
        <b/>
        <sz val="9"/>
        <rFont val="Arial"/>
        <family val="2"/>
      </rPr>
      <t xml:space="preserve"> Emissions from Incomplete Combustion of Digester Gas </t>
    </r>
  </si>
  <si>
    <t>ppl</t>
  </si>
  <si>
    <t>KC15_65_05</t>
  </si>
  <si>
    <t>KC housing units w/ Natural gas</t>
  </si>
  <si>
    <t>KC15_65_01</t>
  </si>
  <si>
    <t>CO2e/house</t>
  </si>
  <si>
    <t>MgCO2e/KC house</t>
  </si>
  <si>
    <t>WA housing units w/ Natural gas</t>
  </si>
  <si>
    <t>KC15_65_02</t>
  </si>
  <si>
    <t>KC15_65_04</t>
  </si>
  <si>
    <t>Percentage of energy lost</t>
  </si>
  <si>
    <t>percent</t>
  </si>
  <si>
    <t>Energy lost</t>
  </si>
  <si>
    <t>kWh waste</t>
  </si>
  <si>
    <t>Already accounted for in total</t>
  </si>
  <si>
    <t>Waste - Already accounted for</t>
  </si>
  <si>
    <t xml:space="preserve">GHG emissions generated at SCL </t>
  </si>
  <si>
    <t>Calculation steps -- analagous to BE.2.1</t>
  </si>
  <si>
    <t>GHG emissions generated at PSE</t>
  </si>
  <si>
    <t>Sensitivity Analysis</t>
  </si>
  <si>
    <t>SCL</t>
  </si>
  <si>
    <t>Total-regional</t>
  </si>
  <si>
    <t>PSE</t>
  </si>
  <si>
    <t>Average diesel fuel price</t>
  </si>
  <si>
    <t>USD/gal</t>
  </si>
  <si>
    <t>KC15_12_09</t>
  </si>
  <si>
    <t>Bremerton fuel cost</t>
  </si>
  <si>
    <t>KC15_12_08</t>
  </si>
  <si>
    <t>Bainbridge fuel cost</t>
  </si>
  <si>
    <t>Vashon fuel cost</t>
  </si>
  <si>
    <t>Pt. Defiance fuel cost</t>
  </si>
  <si>
    <t>Proportion in KC</t>
  </si>
  <si>
    <t>Bremerton</t>
  </si>
  <si>
    <t>Bainbridge</t>
  </si>
  <si>
    <t>Pt. Defiance</t>
  </si>
  <si>
    <t xml:space="preserve"> GHG emissions Bremerton</t>
  </si>
  <si>
    <t>GHG emissions Bainbridge</t>
  </si>
  <si>
    <t>GHG emissions Vashon</t>
  </si>
  <si>
    <t>GHG emissions Pt. Defiance</t>
  </si>
  <si>
    <t>GHG emissions for KC ferries</t>
  </si>
  <si>
    <t>KC15-12-03</t>
  </si>
  <si>
    <t>Table 2.16</t>
  </si>
  <si>
    <t xml:space="preserve">       Cruise</t>
    <phoneticPr fontId="0" type="noConversion"/>
  </si>
  <si>
    <t xml:space="preserve">       Freight</t>
    <phoneticPr fontId="0" type="noConversion"/>
  </si>
  <si>
    <t>KC15-12-05</t>
  </si>
  <si>
    <t>2014 data</t>
  </si>
  <si>
    <t>scaled to 2015 tonnage</t>
  </si>
  <si>
    <t>KC15-12-04</t>
  </si>
  <si>
    <t>scaled from 2005</t>
  </si>
  <si>
    <t>tons</t>
  </si>
  <si>
    <t>KC15-12-06</t>
  </si>
  <si>
    <t>KC15-12-07</t>
  </si>
  <si>
    <t>2015 data</t>
  </si>
  <si>
    <t>1. convert to MgCO2e</t>
    <phoneticPr fontId="0" type="noConversion"/>
  </si>
  <si>
    <t xml:space="preserve">       OGV manuevering at PoS</t>
    <phoneticPr fontId="0" type="noConversion"/>
  </si>
  <si>
    <t>3. scale freight by tonnage</t>
    <phoneticPr fontId="0" type="noConversion"/>
  </si>
  <si>
    <t>Sum hotelling: add cruise and freight emissions</t>
  </si>
  <si>
    <t>GHG emissions Marine</t>
  </si>
  <si>
    <t>As reported</t>
  </si>
  <si>
    <t>KC15_12_03</t>
  </si>
  <si>
    <t>2010/2011 ratio</t>
  </si>
  <si>
    <t>2015/2011 ratio</t>
  </si>
  <si>
    <t>KC15_40_01</t>
  </si>
  <si>
    <t>Annual Bremerton fuel use</t>
  </si>
  <si>
    <t>Annual Bainbridge fuel use</t>
  </si>
  <si>
    <t>USD/yr</t>
  </si>
  <si>
    <t>Annual Vashon fuel use</t>
  </si>
  <si>
    <t>Annual Pt. Defiance fuel use</t>
  </si>
  <si>
    <t>Annual Fuel used in KC</t>
  </si>
  <si>
    <r>
      <t>tonCO</t>
    </r>
    <r>
      <rPr>
        <vertAlign val="subscript"/>
        <sz val="9"/>
        <rFont val="Arial"/>
        <family val="2"/>
      </rPr>
      <t>2</t>
    </r>
    <r>
      <rPr>
        <sz val="9"/>
        <rFont val="Arial"/>
        <family val="2"/>
      </rPr>
      <t>e</t>
    </r>
  </si>
  <si>
    <r>
      <t>MgCO</t>
    </r>
    <r>
      <rPr>
        <vertAlign val="subscript"/>
        <sz val="9"/>
        <rFont val="Arial"/>
        <family val="2"/>
      </rPr>
      <t>2</t>
    </r>
    <r>
      <rPr>
        <sz val="9"/>
        <rFont val="Arial"/>
        <family val="2"/>
      </rPr>
      <t>e</t>
    </r>
  </si>
  <si>
    <r>
      <t>tonsCO</t>
    </r>
    <r>
      <rPr>
        <vertAlign val="subscript"/>
        <sz val="9"/>
        <rFont val="Arial"/>
        <family val="2"/>
      </rPr>
      <t>2</t>
    </r>
    <r>
      <rPr>
        <sz val="9"/>
        <rFont val="Arial"/>
        <family val="2"/>
      </rPr>
      <t>e</t>
    </r>
  </si>
  <si>
    <t>Remove cold-ironing port calls</t>
  </si>
  <si>
    <t>Proportion water supplied by Cedar River</t>
  </si>
  <si>
    <t>Proportion water supplied by Tolt River</t>
  </si>
  <si>
    <t>KC population supplied</t>
  </si>
  <si>
    <t>Water use</t>
  </si>
  <si>
    <t>gal/day</t>
  </si>
  <si>
    <t>per capita emissions</t>
  </si>
  <si>
    <r>
      <t>MgCO</t>
    </r>
    <r>
      <rPr>
        <b/>
        <vertAlign val="subscript"/>
        <sz val="9"/>
        <color theme="3" tint="0.39997558519241921"/>
        <rFont val="Arial"/>
        <family val="2"/>
      </rPr>
      <t>2</t>
    </r>
    <r>
      <rPr>
        <b/>
        <sz val="9"/>
        <color theme="3" tint="0.39997558519241921"/>
        <rFont val="Arial"/>
        <family val="2"/>
      </rPr>
      <t>e/person</t>
    </r>
  </si>
  <si>
    <t>residential per capita emissions</t>
  </si>
  <si>
    <t>residential per capita energy</t>
  </si>
  <si>
    <t>MWh/person</t>
  </si>
  <si>
    <t xml:space="preserve">Natural Gas </t>
  </si>
  <si>
    <t>Tolt river is the supply</t>
  </si>
  <si>
    <t>all goats category</t>
  </si>
  <si>
    <t>Annex 2, Table A-171, called "beef bulls"</t>
  </si>
  <si>
    <t>Do not have source</t>
  </si>
  <si>
    <t>cruisecalls15</t>
  </si>
  <si>
    <t>portcalls15</t>
  </si>
  <si>
    <t>shorepow15</t>
  </si>
  <si>
    <t>Estimate based on ratio of cruise ship calls and previous proportion shore powered</t>
  </si>
  <si>
    <t>portton15</t>
  </si>
  <si>
    <t>portton14</t>
  </si>
  <si>
    <t>popSea15</t>
  </si>
  <si>
    <t>popKC12</t>
  </si>
  <si>
    <t>popKC13</t>
  </si>
  <si>
    <t>popKC14</t>
  </si>
  <si>
    <t>popKC15</t>
  </si>
  <si>
    <t>KC_15_70_01</t>
  </si>
  <si>
    <t>KC15_70_04</t>
  </si>
  <si>
    <t>KC15_70_05</t>
  </si>
  <si>
    <t>2011 population</t>
  </si>
  <si>
    <t>2012 population</t>
  </si>
  <si>
    <t>2013 population</t>
  </si>
  <si>
    <t>2014 population</t>
  </si>
  <si>
    <t>2015 population</t>
  </si>
  <si>
    <t>popWA11</t>
  </si>
  <si>
    <t>popWA12</t>
  </si>
  <si>
    <t>popWA13</t>
  </si>
  <si>
    <t>popWA14</t>
  </si>
  <si>
    <t>popWA15</t>
  </si>
  <si>
    <t>KC15_70_06</t>
  </si>
  <si>
    <t>KC15_70_03</t>
  </si>
  <si>
    <t>KC_15_70_06</t>
  </si>
  <si>
    <t>KC15-70-08</t>
  </si>
  <si>
    <t>KC15_70_08</t>
  </si>
  <si>
    <t>KC15-20-02</t>
  </si>
  <si>
    <t>popUS15</t>
  </si>
  <si>
    <t>captia</t>
  </si>
  <si>
    <t xml:space="preserve">Fugitive gas </t>
  </si>
  <si>
    <t>Reported SCL EF</t>
  </si>
  <si>
    <t>2015 Invenotry Update</t>
  </si>
  <si>
    <t>Update to U.S. Community Protocol</t>
  </si>
  <si>
    <t>Levels for Totals</t>
  </si>
  <si>
    <t>A</t>
  </si>
  <si>
    <t>On-road vehicles</t>
  </si>
  <si>
    <t>Passenger vehicles</t>
  </si>
  <si>
    <t>Freight and service vehicles</t>
  </si>
  <si>
    <t>Transit vehicles</t>
  </si>
  <si>
    <t>Off-road vehicles and other mobile equipment</t>
  </si>
  <si>
    <t>Core</t>
  </si>
  <si>
    <t>Expanded: Cons.</t>
  </si>
  <si>
    <t>Expanded: Supp.</t>
  </si>
  <si>
    <t>●</t>
  </si>
  <si>
    <t>Required</t>
  </si>
  <si>
    <t>Included</t>
  </si>
  <si>
    <t>C/E</t>
  </si>
  <si>
    <t>S-A</t>
  </si>
  <si>
    <t>Wastewater process emissions</t>
  </si>
  <si>
    <t>Potable water process emissions</t>
  </si>
  <si>
    <t>RHts</t>
  </si>
  <si>
    <t>Raw Emissison Estimates</t>
  </si>
  <si>
    <t xml:space="preserve">Use of air travel by the community </t>
  </si>
  <si>
    <t xml:space="preserve">Upstream Impacts of Community-Wide Activities   </t>
  </si>
  <si>
    <t>Upstream impacts of fuels used in stationary applications by the community</t>
  </si>
  <si>
    <t>Upstream and transmission and distribution (T&amp;D) impacts of purchased electricity used by the community</t>
  </si>
  <si>
    <t>Upstream impacts of fuels used for transportation in trips associated with the community</t>
  </si>
  <si>
    <t>Upstream impacts of fuels used by water and wastewater facilities for water used and wastewater generated within the community boundary</t>
  </si>
  <si>
    <t>Upstream impacts of select materials (concrete, food, paper, carpets, etc.) used by the whole community. Note: Additional community-wide flows of goods &amp; services will create significant double counting issues.</t>
  </si>
  <si>
    <t xml:space="preserve">﻿Independent Consumption-Based Accounting   </t>
  </si>
  <si>
    <t>Household Consumption (e.g., gas &amp; electricity, transportation, and the purchase of all other food, goods and services by all households in the community)</t>
  </si>
  <si>
    <t>Government Consumption (e.g., gas &amp; electricity, transportation, and the purchase of all other food, goods and services by all governments in the community)</t>
  </si>
  <si>
    <t>Life cycle emissions of community businesses (e.g., gas &amp; electricity, transportation, and the purchase of all other food, goods and services by all businesses in the community)</t>
  </si>
  <si>
    <t>&lt;KC15-00-1&gt; - 2015 King County GHG Inventory Master Spreadsheet</t>
  </si>
  <si>
    <t>Summary_RptTbls</t>
  </si>
  <si>
    <t>Water-Potable</t>
  </si>
  <si>
    <t>Water-Waste</t>
  </si>
  <si>
    <r>
      <t>GHG Emissions by Sector (MTCO</t>
    </r>
    <r>
      <rPr>
        <b/>
        <vertAlign val="subscript"/>
        <sz val="9"/>
        <rFont val="Calibri"/>
        <family val="2"/>
        <scheme val="minor"/>
      </rPr>
      <t>2</t>
    </r>
    <r>
      <rPr>
        <b/>
        <sz val="9"/>
        <rFont val="Calibri"/>
        <family val="2"/>
        <scheme val="minor"/>
      </rPr>
      <t>e)</t>
    </r>
  </si>
  <si>
    <r>
      <t>GHG Emissions by Sector (Million MTCO</t>
    </r>
    <r>
      <rPr>
        <b/>
        <vertAlign val="subscript"/>
        <sz val="9"/>
        <rFont val="Calibri"/>
        <family val="2"/>
        <scheme val="minor"/>
      </rPr>
      <t>2</t>
    </r>
    <r>
      <rPr>
        <b/>
        <sz val="9"/>
        <rFont val="Calibri"/>
        <family val="2"/>
        <scheme val="minor"/>
      </rPr>
      <t>e)</t>
    </r>
  </si>
  <si>
    <t>Core &amp; Expanded: Production</t>
  </si>
  <si>
    <t>Core &amp; Expanded Production</t>
  </si>
  <si>
    <t>Scaling Factor (Million MTCO2e)---&gt;&gt;</t>
  </si>
  <si>
    <t>Rounding Factor ---&gt;</t>
  </si>
  <si>
    <t>Status</t>
  </si>
  <si>
    <t>DATE</t>
  </si>
  <si>
    <t>Need building permit data from Matt</t>
  </si>
  <si>
    <t>Waiting on VMT data from PSRC and Metro Transit data - request ST from Kendra</t>
  </si>
  <si>
    <t>Check SCL emission factors</t>
  </si>
  <si>
    <t>Ready for QC</t>
  </si>
  <si>
    <t>Run non-roads model</t>
  </si>
  <si>
    <t>Confirm this is not within the USCP scope</t>
  </si>
  <si>
    <t>Waiting on data from PSRC</t>
  </si>
  <si>
    <t>Use utility data from SCL &amp; PSRC</t>
  </si>
  <si>
    <t>Ready to check</t>
  </si>
  <si>
    <t>Update from gold mine</t>
  </si>
  <si>
    <t>Review</t>
  </si>
  <si>
    <t>Check</t>
  </si>
  <si>
    <t>Qcer</t>
  </si>
  <si>
    <t>Original Action Items</t>
  </si>
  <si>
    <t>Update SCL emission factors</t>
  </si>
  <si>
    <t>Update emisison factors for res/com</t>
  </si>
  <si>
    <t xml:space="preserve">Maintain </t>
  </si>
  <si>
    <t>Update 2010 to 2011 report</t>
  </si>
  <si>
    <t>Latest WARM model</t>
  </si>
  <si>
    <t>Waiting on data from PSCAA</t>
  </si>
  <si>
    <t>Waiting for data from KC</t>
  </si>
  <si>
    <t>mill gal/day</t>
  </si>
  <si>
    <t>Regional emission factor (NWPP)</t>
  </si>
  <si>
    <t>BTU to MMBTU</t>
  </si>
  <si>
    <t>Methane emission factor</t>
  </si>
  <si>
    <t>Kg/MMBTU</t>
  </si>
  <si>
    <t>Days per year</t>
  </si>
  <si>
    <t>Kg to Metric tons</t>
  </si>
  <si>
    <t>Mt/kg</t>
  </si>
  <si>
    <t>GWP of methane</t>
  </si>
  <si>
    <t>CO2e</t>
  </si>
  <si>
    <t>Equation WW.2.a of the Community Protocol</t>
  </si>
  <si>
    <t>Nitrous oxide emission factor</t>
  </si>
  <si>
    <t>GWP of nitrous oxide</t>
  </si>
  <si>
    <t>proportion KC population served</t>
  </si>
  <si>
    <t>Equation WW.8 of the Community Protocol</t>
  </si>
  <si>
    <t>Factor for Nitrogen loading with Commericial/Industrial discharge</t>
  </si>
  <si>
    <t>Emissions factor for plants without nitrification/denitrification</t>
  </si>
  <si>
    <t>g N2O/person/year</t>
  </si>
  <si>
    <t>Conversion from g to Mt</t>
  </si>
  <si>
    <t>Mt/g</t>
  </si>
  <si>
    <t>Equation WW.12.alt of the Community Protocol</t>
  </si>
  <si>
    <t>Factor for industrial/commercial discharge</t>
  </si>
  <si>
    <t>Avg. total N per day</t>
  </si>
  <si>
    <t>kg/person/day</t>
  </si>
  <si>
    <t>Nitrogen uptake for cell growth in anaerobic conditions</t>
  </si>
  <si>
    <t>kg N/kg BOD</t>
  </si>
  <si>
    <t>Daily BOD produced per capita</t>
  </si>
  <si>
    <r>
      <t>Emission factor for N</t>
    </r>
    <r>
      <rPr>
        <vertAlign val="subscript"/>
        <sz val="10"/>
        <rFont val="Arial"/>
        <family val="2"/>
      </rPr>
      <t>2</t>
    </r>
    <r>
      <rPr>
        <sz val="10"/>
        <rFont val="Arial"/>
        <family val="2"/>
      </rPr>
      <t>O</t>
    </r>
  </si>
  <si>
    <t>kg N2O/kg sewage</t>
  </si>
  <si>
    <r>
      <t>Ratio of molecular weights of N</t>
    </r>
    <r>
      <rPr>
        <vertAlign val="subscript"/>
        <sz val="10"/>
        <rFont val="Arial"/>
        <family val="2"/>
      </rPr>
      <t>2</t>
    </r>
    <r>
      <rPr>
        <sz val="10"/>
        <rFont val="Arial"/>
        <family val="2"/>
      </rPr>
      <t>O and N</t>
    </r>
    <r>
      <rPr>
        <vertAlign val="subscript"/>
        <sz val="10"/>
        <rFont val="Arial"/>
        <family val="2"/>
      </rPr>
      <t>2</t>
    </r>
  </si>
  <si>
    <t>Fraction N removed from plant</t>
  </si>
  <si>
    <t>days to year</t>
  </si>
  <si>
    <t>conversion from kg to Mt</t>
  </si>
  <si>
    <t>kg/Mt</t>
  </si>
  <si>
    <r>
      <t>GWP N</t>
    </r>
    <r>
      <rPr>
        <vertAlign val="subscript"/>
        <sz val="10"/>
        <rFont val="Arial"/>
        <family val="2"/>
      </rPr>
      <t>2</t>
    </r>
    <r>
      <rPr>
        <sz val="10"/>
        <rFont val="Arial"/>
        <family val="2"/>
      </rPr>
      <t>O</t>
    </r>
  </si>
  <si>
    <t>efgdistillate.res.n2o</t>
  </si>
  <si>
    <t>efgdistillate.res.ch4</t>
  </si>
  <si>
    <t>added in methane and n2o</t>
  </si>
  <si>
    <t>efgas.res.ch4</t>
  </si>
  <si>
    <t>efgas.res.n2o</t>
  </si>
  <si>
    <t>efgdistillate.com.ch4</t>
  </si>
  <si>
    <t>efgdistillate.com.n2o</t>
  </si>
  <si>
    <t>Convert to gallons</t>
  </si>
  <si>
    <t>KC15_65_08</t>
  </si>
  <si>
    <t>KC15_65_07</t>
  </si>
  <si>
    <t>KC15_65_09</t>
  </si>
  <si>
    <t>KC15_65_10</t>
  </si>
  <si>
    <t>2014 est.</t>
  </si>
  <si>
    <r>
      <t>MgCO</t>
    </r>
    <r>
      <rPr>
        <b/>
        <vertAlign val="subscript"/>
        <sz val="9"/>
        <color theme="1"/>
        <rFont val="Arial"/>
        <family val="2"/>
      </rPr>
      <t>2</t>
    </r>
    <r>
      <rPr>
        <b/>
        <sz val="9"/>
        <color theme="1"/>
        <rFont val="Arial"/>
        <family val="2"/>
      </rPr>
      <t>e</t>
    </r>
  </si>
  <si>
    <t>Cedar river water use</t>
  </si>
  <si>
    <t>Tolt River water use</t>
  </si>
  <si>
    <r>
      <t>MgCO</t>
    </r>
    <r>
      <rPr>
        <vertAlign val="subscript"/>
        <sz val="9"/>
        <rFont val="Arial"/>
        <family val="2"/>
      </rPr>
      <t>2</t>
    </r>
    <r>
      <rPr>
        <sz val="9"/>
        <rFont val="Arial"/>
        <family val="2"/>
      </rPr>
      <t>e</t>
    </r>
  </si>
  <si>
    <t>2011 report, Table 6.2, p.213</t>
  </si>
  <si>
    <t>2011 report, Table 6.1, p 212</t>
  </si>
  <si>
    <t>2011 report, Table 6.3 p. 213</t>
  </si>
  <si>
    <t>2011 report, Table 6.6, p 214</t>
  </si>
  <si>
    <t>KC15-12-10</t>
  </si>
  <si>
    <t>2003/2005 ratio</t>
  </si>
  <si>
    <t>2008/2011 ratio</t>
  </si>
  <si>
    <t>2005 report, Table 6.4, p. 345</t>
  </si>
  <si>
    <t>2005 report, Table 6.6, p. 346</t>
  </si>
  <si>
    <t>2005 report, Table 6.12, p. 349</t>
  </si>
  <si>
    <t>2005 report, Table 6.11, p. 348</t>
  </si>
  <si>
    <t>Ratio to KC 15 population</t>
  </si>
  <si>
    <t>Calculated as proportion of 08 KC pop to KC 15 pop + half the proportion of people now served by brightwater</t>
  </si>
  <si>
    <t>Calculated as proportion of 08 KC pop to KC 15 pop +half the proportion of people now served by brightwater</t>
  </si>
  <si>
    <t>proportion KC use</t>
  </si>
  <si>
    <t>Digester gas KC</t>
  </si>
  <si>
    <t>Brightwater Facility KC</t>
  </si>
  <si>
    <t>Stationary nitrous oxide emissions from combustion of digester gas</t>
  </si>
  <si>
    <r>
      <t>Calculation of N</t>
    </r>
    <r>
      <rPr>
        <b/>
        <vertAlign val="subscript"/>
        <sz val="10"/>
        <rFont val="Arial"/>
        <family val="2"/>
      </rPr>
      <t>2</t>
    </r>
    <r>
      <rPr>
        <b/>
        <sz val="10"/>
        <rFont val="Arial"/>
        <family val="2"/>
      </rPr>
      <t>O emissions from effluent discharge</t>
    </r>
  </si>
  <si>
    <r>
      <t>N</t>
    </r>
    <r>
      <rPr>
        <b/>
        <vertAlign val="subscript"/>
        <sz val="10"/>
        <rFont val="Arial"/>
        <family val="2"/>
      </rPr>
      <t>2</t>
    </r>
    <r>
      <rPr>
        <b/>
        <sz val="10"/>
        <rFont val="Arial"/>
        <family val="2"/>
      </rPr>
      <t>O process emissions from wastewater treatment plants without nitrification or denitrification</t>
    </r>
  </si>
  <si>
    <t>Septic Emissions</t>
  </si>
  <si>
    <t>Population on septic</t>
  </si>
  <si>
    <t>Avg. people per household</t>
  </si>
  <si>
    <r>
      <t>BOD</t>
    </r>
    <r>
      <rPr>
        <vertAlign val="subscript"/>
        <sz val="9"/>
        <rFont val="Arial"/>
        <family val="2"/>
      </rPr>
      <t>5</t>
    </r>
    <r>
      <rPr>
        <sz val="9"/>
        <rFont val="Arial"/>
        <family val="2"/>
      </rPr>
      <t>/capita/day</t>
    </r>
  </si>
  <si>
    <r>
      <t>kgCH</t>
    </r>
    <r>
      <rPr>
        <vertAlign val="subscript"/>
        <sz val="9"/>
        <rFont val="Arial"/>
        <family val="2"/>
      </rPr>
      <t>4</t>
    </r>
    <r>
      <rPr>
        <sz val="9"/>
        <rFont val="Arial"/>
        <family val="2"/>
      </rPr>
      <t>/kgBOD</t>
    </r>
    <r>
      <rPr>
        <vertAlign val="subscript"/>
        <sz val="9"/>
        <rFont val="Arial"/>
        <family val="2"/>
      </rPr>
      <t>5</t>
    </r>
  </si>
  <si>
    <t>CH4 correction factor</t>
  </si>
  <si>
    <t>Maximum CH4 producing capacity</t>
  </si>
  <si>
    <t>BOD5 loading</t>
  </si>
  <si>
    <t>popSea03</t>
  </si>
  <si>
    <t>Removed pop from Seattle because few if any septic in Seattle</t>
  </si>
  <si>
    <t>Community Protocol Appendix F page 48 Box WW.11(alt)</t>
  </si>
  <si>
    <t>KC15_90_03</t>
  </si>
  <si>
    <t>KC15_90_04</t>
  </si>
  <si>
    <t>Vessel calls</t>
  </si>
  <si>
    <t>Cruise calls</t>
  </si>
  <si>
    <t>Total OGV Metric</t>
  </si>
  <si>
    <t>Total OGV manuevering at PoS</t>
  </si>
  <si>
    <t>Table 2.16, 2011</t>
  </si>
  <si>
    <t>2011 data</t>
  </si>
  <si>
    <t>Port tonnage</t>
  </si>
  <si>
    <t>KC15_65_11</t>
  </si>
  <si>
    <t>TCR EF</t>
  </si>
  <si>
    <t>therms</t>
  </si>
  <si>
    <t>KC15_90_01</t>
  </si>
  <si>
    <t>KC15_90_02</t>
  </si>
  <si>
    <t>back-calculated from 2015</t>
  </si>
  <si>
    <t xml:space="preserve">   2015 industrial employees</t>
  </si>
  <si>
    <t xml:space="preserve">   2015 commercial employees</t>
  </si>
  <si>
    <t>cmpIndKC15</t>
  </si>
  <si>
    <t>empComKC15</t>
  </si>
  <si>
    <t>empComWA15</t>
  </si>
  <si>
    <t>empIndWA15</t>
  </si>
  <si>
    <t>2015 industrial employees</t>
  </si>
  <si>
    <t>2015 commercial employees</t>
  </si>
  <si>
    <t>no call number</t>
  </si>
  <si>
    <t>KC15_12_11</t>
  </si>
  <si>
    <t>Jet fuel</t>
  </si>
  <si>
    <t>Boeing Internal Combustion</t>
  </si>
  <si>
    <r>
      <t>gCO</t>
    </r>
    <r>
      <rPr>
        <vertAlign val="subscript"/>
        <sz val="9"/>
        <rFont val="Arial"/>
        <family val="2"/>
      </rPr>
      <t>2</t>
    </r>
    <r>
      <rPr>
        <sz val="9"/>
        <rFont val="Arial"/>
        <family val="2"/>
      </rPr>
      <t>/gal</t>
    </r>
  </si>
  <si>
    <r>
      <t>MgCO</t>
    </r>
    <r>
      <rPr>
        <vertAlign val="subscript"/>
        <sz val="9"/>
        <rFont val="Arial"/>
        <family val="2"/>
      </rPr>
      <t>2</t>
    </r>
    <r>
      <rPr>
        <sz val="9"/>
        <rFont val="Arial"/>
        <family val="2"/>
      </rPr>
      <t>e</t>
    </r>
  </si>
  <si>
    <t>Calculate emissions</t>
  </si>
  <si>
    <t xml:space="preserve">Convert to metric tons </t>
  </si>
  <si>
    <t>KC15_40_03</t>
  </si>
  <si>
    <t>KC15_40_02</t>
  </si>
  <si>
    <t xml:space="preserve">Fuel use </t>
  </si>
  <si>
    <t>includes diesel from Access and DART</t>
  </si>
  <si>
    <t xml:space="preserve">Not summed </t>
  </si>
  <si>
    <t>Metro Emissions from electricity</t>
  </si>
  <si>
    <t>Includes Access, DART, and Alt. services</t>
  </si>
  <si>
    <t>Access</t>
  </si>
  <si>
    <t>KC15_40_04</t>
  </si>
  <si>
    <t>Changed name to Star Forge in 2016, no longer operating at PSCAA threshold</t>
  </si>
  <si>
    <t>Now acting as a cement terminal- receiving and sending but no longer producing</t>
  </si>
  <si>
    <t>below PSCAA thresholds</t>
  </si>
  <si>
    <t>2008 data</t>
  </si>
  <si>
    <r>
      <t>MgCO</t>
    </r>
    <r>
      <rPr>
        <vertAlign val="subscript"/>
        <sz val="9"/>
        <rFont val="Arial"/>
        <family val="2"/>
      </rPr>
      <t>2</t>
    </r>
    <r>
      <rPr>
        <sz val="9"/>
        <rFont val="Arial"/>
        <family val="2"/>
      </rPr>
      <t>e</t>
    </r>
  </si>
  <si>
    <t>KC15-80-01</t>
  </si>
  <si>
    <t>KC15-80-02</t>
  </si>
  <si>
    <t>KC15-90-07</t>
  </si>
  <si>
    <t>KC15-90-06</t>
  </si>
  <si>
    <t>2003 data</t>
  </si>
  <si>
    <t>2005 data</t>
  </si>
  <si>
    <t>KC15_50_05</t>
  </si>
  <si>
    <t>Total Gallons</t>
  </si>
  <si>
    <t>1. Convert to gal</t>
  </si>
  <si>
    <t>KC15-11-08</t>
  </si>
  <si>
    <t>KC15-11-09</t>
  </si>
  <si>
    <t>Modeled on production of 2015 compared to 2008</t>
  </si>
  <si>
    <t>residential stationary CH4 emission factor</t>
  </si>
  <si>
    <t>residential stationary N2O emission factor</t>
  </si>
  <si>
    <t>commercial stationary CH4 emission factor</t>
  </si>
  <si>
    <t>commercial stationary N20 emission factor</t>
  </si>
  <si>
    <t>industrial stationary CH4 emission factors</t>
  </si>
  <si>
    <t>industrial stationary N2O emission factors</t>
  </si>
  <si>
    <t>Annex 2, Table A-52. (value for C3H8)</t>
  </si>
  <si>
    <t>efgdistillate.ind.ch4</t>
  </si>
  <si>
    <t>efgdistillate.ind.n2o</t>
  </si>
  <si>
    <t>efTDF-previous</t>
  </si>
  <si>
    <t>g/gal</t>
  </si>
  <si>
    <t>efgresidual.res.ch4</t>
  </si>
  <si>
    <t>efgresidual.res.n2o</t>
  </si>
  <si>
    <t>efgresidual.com.ch4</t>
  </si>
  <si>
    <t>efgresidual.com.n2o</t>
  </si>
  <si>
    <t>efgresidual.ind.ch4</t>
  </si>
  <si>
    <t>efgresidual.ind.n2o</t>
  </si>
  <si>
    <t>Propane</t>
  </si>
  <si>
    <t>Emissions from combustion</t>
  </si>
  <si>
    <r>
      <t>MgCO</t>
    </r>
    <r>
      <rPr>
        <vertAlign val="subscript"/>
        <sz val="9"/>
        <rFont val="Arial"/>
        <family val="2"/>
      </rPr>
      <t>2</t>
    </r>
    <r>
      <rPr>
        <sz val="9"/>
        <rFont val="Arial"/>
        <family val="2"/>
      </rPr>
      <t>e</t>
    </r>
  </si>
  <si>
    <t>8 counties served</t>
  </si>
  <si>
    <t>mmbtu</t>
  </si>
  <si>
    <t>kgCO2/mmBTU</t>
  </si>
  <si>
    <t>KgCO2/Scf</t>
  </si>
  <si>
    <t>efCNGmobile</t>
  </si>
  <si>
    <t>gCO2/gal</t>
  </si>
  <si>
    <t>Diesel L &amp; G Rec</t>
  </si>
  <si>
    <t>LPG L&amp;G</t>
  </si>
  <si>
    <t>Fuel Consumption, NONROAD2008 output</t>
  </si>
  <si>
    <t>Airport</t>
  </si>
  <si>
    <t>Equipment</t>
  </si>
  <si>
    <t>KC15-20-03</t>
  </si>
  <si>
    <t>Petroleum (non-road equipment)</t>
  </si>
  <si>
    <t>Petroleum (heating)</t>
  </si>
  <si>
    <t>Natural gas (heat and other)</t>
  </si>
  <si>
    <t>Natural gas (equipment)</t>
  </si>
  <si>
    <t xml:space="preserve">Natural gas </t>
  </si>
  <si>
    <t>Petroleum (heat and other)</t>
  </si>
  <si>
    <t>Petroleum (equipment)</t>
  </si>
  <si>
    <t xml:space="preserve">Expanded: Supplementary </t>
  </si>
  <si>
    <t>KC15-11-10</t>
  </si>
  <si>
    <t>KC15-20-04</t>
  </si>
  <si>
    <t>KC15-20-05</t>
  </si>
  <si>
    <t>KC15-20-06</t>
  </si>
  <si>
    <t>KC15-20-07</t>
  </si>
  <si>
    <t>KC15-20-08</t>
  </si>
  <si>
    <t>KC15-20-09</t>
  </si>
  <si>
    <t>KC15-20-10</t>
  </si>
  <si>
    <t>KC15-20-11</t>
  </si>
  <si>
    <t>KC15-20-12</t>
  </si>
  <si>
    <t>KC15-20-13</t>
  </si>
  <si>
    <t>Supplementary Emission Sectors</t>
  </si>
  <si>
    <t>QC Tracker</t>
  </si>
  <si>
    <t>QC'r</t>
  </si>
  <si>
    <t>Date</t>
  </si>
  <si>
    <t>Tab</t>
  </si>
  <si>
    <t>TCR factors do not date back this far. This factor created with methods analagous to TCR protocol.</t>
  </si>
  <si>
    <t>cell K15</t>
  </si>
  <si>
    <t>Andrea M</t>
  </si>
  <si>
    <t>QC complete</t>
  </si>
  <si>
    <t>Comments Addressed?</t>
  </si>
  <si>
    <t>cell C23</t>
  </si>
  <si>
    <t>Cell P10</t>
  </si>
  <si>
    <t>Cell P09</t>
  </si>
  <si>
    <t>gCO2/mmBTU</t>
  </si>
  <si>
    <t>gCH4/mmbtu</t>
  </si>
  <si>
    <t>gN2O/mmbtu</t>
  </si>
  <si>
    <t>Closed Landfills</t>
  </si>
  <si>
    <t>KC15-40-04</t>
  </si>
  <si>
    <t>Lines 26-32 converted into gallons</t>
  </si>
  <si>
    <t>1. Reported N20 emissions</t>
  </si>
  <si>
    <t>2. Calculate N20 emissions</t>
  </si>
  <si>
    <t>3. Sum methane and N2O emissions</t>
  </si>
  <si>
    <t>KC15-50-08</t>
  </si>
  <si>
    <t>cell IR4</t>
  </si>
  <si>
    <t>Updated (used 2007 value in previous 2008 report).</t>
  </si>
  <si>
    <t>added methane and nitrous oxide, which previously was not included</t>
  </si>
  <si>
    <t>data below threshold, unreported</t>
  </si>
  <si>
    <t xml:space="preserve">no data available as source did not trigger reporting threshold for this year.  </t>
  </si>
  <si>
    <t>scale by % KC employees</t>
  </si>
  <si>
    <t>no citation available</t>
  </si>
  <si>
    <t>Fuel Consumption, MOVES 2014 NONROAD output)</t>
  </si>
  <si>
    <t>KC15_65_05, KC15-65-12</t>
  </si>
  <si>
    <t>correct value, but considerably higher than previous years</t>
  </si>
  <si>
    <t>needed ratio of commercial to industrial to calculate 2003 data</t>
  </si>
  <si>
    <t>Lafarge currently not producing cement in Seattle plant</t>
  </si>
  <si>
    <r>
      <t>MgCO</t>
    </r>
    <r>
      <rPr>
        <b/>
        <vertAlign val="subscript"/>
        <sz val="9"/>
        <color theme="3" tint="0.39997558519241921"/>
        <rFont val="Arial"/>
        <family val="2"/>
      </rPr>
      <t>2</t>
    </r>
    <r>
      <rPr>
        <b/>
        <sz val="9"/>
        <color theme="3" tint="0.39994506668294322"/>
        <rFont val="Arial"/>
        <family val="2"/>
      </rPr>
      <t>e</t>
    </r>
  </si>
  <si>
    <t>test engine not for planes</t>
  </si>
  <si>
    <t>below threshold</t>
  </si>
  <si>
    <t>p. 326- do not have file</t>
  </si>
  <si>
    <t>p. 326 - do not have file</t>
  </si>
  <si>
    <r>
      <t>MgCO</t>
    </r>
    <r>
      <rPr>
        <vertAlign val="subscript"/>
        <sz val="9"/>
        <rFont val="Arial"/>
        <family val="2"/>
      </rPr>
      <t>2</t>
    </r>
    <r>
      <rPr>
        <sz val="9"/>
        <rFont val="Arial"/>
        <family val="2"/>
      </rPr>
      <t>e</t>
    </r>
  </si>
  <si>
    <t>scaled to KC</t>
  </si>
  <si>
    <t>popUS09</t>
  </si>
  <si>
    <t>National fugitive gas (no SF6 for transmission)</t>
  </si>
  <si>
    <t>2. Scale to King County by population and year</t>
  </si>
  <si>
    <t xml:space="preserve">unknown quantity, estimated as avg of 2008+2015. </t>
  </si>
  <si>
    <t>Convert to mmbtu</t>
  </si>
  <si>
    <t>KC08-21-0</t>
  </si>
  <si>
    <t>KC08-40-1_00-08</t>
  </si>
  <si>
    <t>KC08-61-2</t>
  </si>
  <si>
    <r>
      <t>lbCO</t>
    </r>
    <r>
      <rPr>
        <vertAlign val="subscript"/>
        <sz val="9"/>
        <rFont val="Arial"/>
        <family val="2"/>
      </rPr>
      <t>2</t>
    </r>
    <r>
      <rPr>
        <sz val="9"/>
        <rFont val="Arial"/>
        <family val="2"/>
      </rPr>
      <t>/MWh</t>
    </r>
  </si>
  <si>
    <t>KC15-65-13</t>
  </si>
  <si>
    <t>SLC EF in tons</t>
  </si>
  <si>
    <t>45.57</t>
  </si>
  <si>
    <t>KC08-21-0_EIA</t>
  </si>
  <si>
    <t>cost unavailable, ratio of FY2003 to FY2015 sailings</t>
  </si>
  <si>
    <t>Natural gas (note that these are accounted for in the overall PSE-derived natural gas amounts)</t>
  </si>
  <si>
    <t>cell F50</t>
  </si>
  <si>
    <t>cell F51</t>
  </si>
  <si>
    <t>Trans-Rail</t>
  </si>
  <si>
    <t>proportion based on 3-way path between Vashon, Southworth, Seattle</t>
  </si>
  <si>
    <t>Table ES-2</t>
  </si>
  <si>
    <t>2005 National refrigerants, HFC- substitution of ozone depleting substances</t>
  </si>
  <si>
    <t>2010 National refrigerants, HFC- substitution of ozone depleting substances</t>
  </si>
  <si>
    <t>2014 (newest) national refrigerants, HFC- substitution of ozone depleting substances</t>
  </si>
  <si>
    <r>
      <t>MgSF</t>
    </r>
    <r>
      <rPr>
        <vertAlign val="subscript"/>
        <sz val="9"/>
        <rFont val="Arial"/>
        <family val="2"/>
      </rPr>
      <t>6</t>
    </r>
  </si>
  <si>
    <r>
      <t>lbs SF</t>
    </r>
    <r>
      <rPr>
        <vertAlign val="subscript"/>
        <sz val="9"/>
        <rFont val="Arial"/>
        <family val="2"/>
      </rPr>
      <t>6</t>
    </r>
  </si>
  <si>
    <t>Facility Combustion (non-biogenic)</t>
  </si>
  <si>
    <t>Non-point source industrial</t>
  </si>
  <si>
    <t>row 92, Changed name to Star Forge in 2016, no longer operating at PSCAA threshold</t>
  </si>
  <si>
    <t>Fuel Consumption, MOVES 2014 NONROAD output</t>
  </si>
  <si>
    <r>
      <t>MgCO</t>
    </r>
    <r>
      <rPr>
        <b/>
        <vertAlign val="subscript"/>
        <sz val="9"/>
        <rFont val="Calibri"/>
        <family val="2"/>
        <scheme val="minor"/>
      </rPr>
      <t>2</t>
    </r>
    <r>
      <rPr>
        <b/>
        <sz val="9"/>
        <rFont val="Calibri"/>
        <family val="2"/>
        <scheme val="minor"/>
      </rPr>
      <t>e</t>
    </r>
  </si>
  <si>
    <r>
      <t>MgCO</t>
    </r>
    <r>
      <rPr>
        <b/>
        <vertAlign val="subscript"/>
        <sz val="9"/>
        <color theme="4"/>
        <rFont val="Calibri"/>
        <family val="2"/>
        <scheme val="minor"/>
      </rPr>
      <t>2</t>
    </r>
    <r>
      <rPr>
        <b/>
        <sz val="9"/>
        <color theme="4"/>
        <rFont val="Calibri"/>
        <family val="2"/>
        <scheme val="minor"/>
      </rPr>
      <t>e</t>
    </r>
  </si>
  <si>
    <r>
      <t>MgCO</t>
    </r>
    <r>
      <rPr>
        <b/>
        <vertAlign val="subscript"/>
        <sz val="9"/>
        <color theme="3" tint="0.39997558519241921"/>
        <rFont val="Calibri"/>
        <family val="2"/>
        <scheme val="minor"/>
      </rPr>
      <t>2</t>
    </r>
    <r>
      <rPr>
        <b/>
        <sz val="9"/>
        <color theme="3" tint="0.39997558519241921"/>
        <rFont val="Calibri"/>
        <family val="2"/>
        <scheme val="minor"/>
      </rPr>
      <t>e</t>
    </r>
  </si>
  <si>
    <r>
      <t>kgN</t>
    </r>
    <r>
      <rPr>
        <vertAlign val="subscript"/>
        <sz val="9"/>
        <rFont val="Calibri"/>
        <family val="2"/>
        <scheme val="minor"/>
      </rPr>
      <t>2</t>
    </r>
    <r>
      <rPr>
        <sz val="9"/>
        <rFont val="Calibri"/>
        <family val="2"/>
        <scheme val="minor"/>
      </rPr>
      <t>O</t>
    </r>
  </si>
  <si>
    <r>
      <t>kgN</t>
    </r>
    <r>
      <rPr>
        <b/>
        <vertAlign val="subscript"/>
        <sz val="9"/>
        <rFont val="Calibri"/>
        <family val="2"/>
        <scheme val="minor"/>
      </rPr>
      <t>2</t>
    </r>
    <r>
      <rPr>
        <b/>
        <sz val="9"/>
        <rFont val="Calibri"/>
        <family val="2"/>
        <scheme val="minor"/>
      </rPr>
      <t>O</t>
    </r>
  </si>
  <si>
    <r>
      <t>MgN</t>
    </r>
    <r>
      <rPr>
        <b/>
        <vertAlign val="subscript"/>
        <sz val="9"/>
        <rFont val="Calibri"/>
        <family val="2"/>
        <scheme val="minor"/>
      </rPr>
      <t>2</t>
    </r>
    <r>
      <rPr>
        <b/>
        <sz val="9"/>
        <rFont val="Calibri"/>
        <family val="2"/>
        <scheme val="minor"/>
      </rPr>
      <t>O</t>
    </r>
  </si>
  <si>
    <r>
      <t>kgCH</t>
    </r>
    <r>
      <rPr>
        <b/>
        <vertAlign val="subscript"/>
        <sz val="9"/>
        <rFont val="Calibri"/>
        <family val="2"/>
        <scheme val="minor"/>
      </rPr>
      <t>4</t>
    </r>
  </si>
  <si>
    <r>
      <t>MgCH</t>
    </r>
    <r>
      <rPr>
        <b/>
        <vertAlign val="subscript"/>
        <sz val="9"/>
        <rFont val="Calibri"/>
        <family val="2"/>
        <scheme val="minor"/>
      </rPr>
      <t>4</t>
    </r>
  </si>
  <si>
    <r>
      <t>kgCH</t>
    </r>
    <r>
      <rPr>
        <vertAlign val="subscript"/>
        <sz val="9"/>
        <rFont val="Calibri"/>
        <family val="2"/>
        <scheme val="minor"/>
      </rPr>
      <t>4</t>
    </r>
  </si>
  <si>
    <r>
      <t>kgCH</t>
    </r>
    <r>
      <rPr>
        <vertAlign val="subscript"/>
        <sz val="9"/>
        <rFont val="Calibri"/>
        <family val="2"/>
        <scheme val="minor"/>
      </rPr>
      <t>4</t>
    </r>
    <r>
      <rPr>
        <sz val="11"/>
        <color theme="1"/>
        <rFont val="Calibri"/>
        <family val="2"/>
        <scheme val="minor"/>
      </rPr>
      <t/>
    </r>
  </si>
  <si>
    <r>
      <t>kgCH</t>
    </r>
    <r>
      <rPr>
        <b/>
        <vertAlign val="subscript"/>
        <sz val="9"/>
        <rFont val="Calibri"/>
        <family val="2"/>
        <scheme val="minor"/>
      </rPr>
      <t>4</t>
    </r>
    <r>
      <rPr>
        <sz val="11"/>
        <color theme="1"/>
        <rFont val="Calibri"/>
        <family val="2"/>
        <scheme val="minor"/>
      </rPr>
      <t/>
    </r>
  </si>
  <si>
    <r>
      <t>kgCO</t>
    </r>
    <r>
      <rPr>
        <vertAlign val="subscript"/>
        <sz val="9"/>
        <rFont val="Calibri"/>
        <family val="2"/>
        <scheme val="minor"/>
      </rPr>
      <t>2</t>
    </r>
    <r>
      <rPr>
        <sz val="9"/>
        <rFont val="Calibri"/>
        <family val="2"/>
        <scheme val="minor"/>
      </rPr>
      <t>e</t>
    </r>
  </si>
  <si>
    <t>KC08-40-1_08</t>
  </si>
  <si>
    <t>KC08-40-03</t>
  </si>
  <si>
    <t>KC08-40-02</t>
  </si>
  <si>
    <t>KC08-20-1</t>
  </si>
  <si>
    <t>KC08-61-1</t>
  </si>
  <si>
    <t>KC08-65-1</t>
  </si>
  <si>
    <t>KC08-23-0</t>
  </si>
  <si>
    <t>KC08-20-2</t>
  </si>
  <si>
    <t>KC08-60-1</t>
  </si>
  <si>
    <t>KC08-60-4 - Data missing</t>
  </si>
  <si>
    <t>KC08-12-2</t>
  </si>
  <si>
    <t>KC08-12-1</t>
  </si>
  <si>
    <t>KC15-50-2</t>
  </si>
  <si>
    <t>KC08-50-09</t>
  </si>
  <si>
    <t>KC08-50-10</t>
  </si>
  <si>
    <t>KC08-50-2</t>
  </si>
  <si>
    <t>KC08-102-0 Table 7-2</t>
  </si>
  <si>
    <t>KC08-102-0 Table 7-3</t>
  </si>
  <si>
    <t>KC08-102-0 Table 7-7</t>
  </si>
  <si>
    <t>from KC08-101-0_02</t>
  </si>
  <si>
    <t>from KC08-103-1 Table K-7 (year 2000).</t>
  </si>
  <si>
    <t>from KC08-103-3 Table A-152</t>
  </si>
  <si>
    <t>KC08-102-0 Table 7-4</t>
  </si>
  <si>
    <t>KC08-105-2</t>
  </si>
  <si>
    <t>KC08-102-0</t>
  </si>
  <si>
    <t>KC08-105-1</t>
  </si>
  <si>
    <t>KC08-100-1_07</t>
  </si>
  <si>
    <t>KC08-100-4_07</t>
  </si>
  <si>
    <t xml:space="preserve">KC08-103-4 </t>
  </si>
  <si>
    <t>KC08-103-4</t>
  </si>
  <si>
    <t>from KC08-103-3 Table A-157</t>
  </si>
  <si>
    <t>KC08-102-0 Table 7-8</t>
  </si>
  <si>
    <t>KC08-101-1_07</t>
  </si>
  <si>
    <t>KC08-102-0, Table 7-4</t>
  </si>
  <si>
    <t>assumed all cleared</t>
  </si>
  <si>
    <t>assumed half cleared</t>
  </si>
  <si>
    <t>assumed 6% cleared</t>
  </si>
  <si>
    <t>MgC</t>
  </si>
  <si>
    <t>KC15_12_12</t>
  </si>
  <si>
    <t>FY 15</t>
  </si>
  <si>
    <t>FY 08</t>
  </si>
  <si>
    <t>all</t>
  </si>
  <si>
    <t>Calculate Calcination EF</t>
  </si>
  <si>
    <t>Running Emissions</t>
  </si>
  <si>
    <t>Start Emissions</t>
  </si>
  <si>
    <t>Day to Year Conversion Factor</t>
  </si>
  <si>
    <t>Annual VMT</t>
  </si>
  <si>
    <t>Medium Truck daily VMT</t>
  </si>
  <si>
    <t>Medium Truck annual running emissions</t>
  </si>
  <si>
    <t>Medium Truck annual start emissions</t>
  </si>
  <si>
    <t>Medium Truck annual emissions</t>
  </si>
  <si>
    <t>Heavy Truck daily VMT</t>
  </si>
  <si>
    <t>Heavy Truck annual running emissions</t>
  </si>
  <si>
    <t>Heavy Truck annual start emissions</t>
  </si>
  <si>
    <t>Heavy Truck annual emissions</t>
  </si>
  <si>
    <t>D24</t>
  </si>
  <si>
    <t>D25</t>
  </si>
  <si>
    <t>E24</t>
  </si>
  <si>
    <t>E25</t>
  </si>
  <si>
    <t>B24</t>
  </si>
  <si>
    <t>B25</t>
  </si>
  <si>
    <t>B10</t>
  </si>
  <si>
    <t>C10</t>
  </si>
  <si>
    <t>D10</t>
  </si>
  <si>
    <t>F10</t>
  </si>
  <si>
    <t>G10</t>
  </si>
  <si>
    <t>B8</t>
  </si>
  <si>
    <t>C8</t>
  </si>
  <si>
    <t>D8</t>
  </si>
  <si>
    <t>B18</t>
  </si>
  <si>
    <t>B19</t>
  </si>
  <si>
    <r>
      <t>MgCO</t>
    </r>
    <r>
      <rPr>
        <vertAlign val="subscript"/>
        <sz val="9"/>
        <rFont val="Arial"/>
        <family val="2"/>
      </rPr>
      <t>2</t>
    </r>
    <r>
      <rPr>
        <sz val="9"/>
        <rFont val="Arial"/>
        <family val="2"/>
      </rPr>
      <t>e</t>
    </r>
  </si>
  <si>
    <t>D18</t>
  </si>
  <si>
    <t>D19</t>
  </si>
  <si>
    <t>F8</t>
  </si>
  <si>
    <t>G8</t>
  </si>
  <si>
    <t>E18</t>
  </si>
  <si>
    <t>E19</t>
  </si>
  <si>
    <t>E12</t>
  </si>
  <si>
    <t>E13</t>
  </si>
  <si>
    <t>F7</t>
  </si>
  <si>
    <t>G7</t>
  </si>
  <si>
    <t>baseline daily DVMT</t>
  </si>
  <si>
    <r>
      <t>gCO</t>
    </r>
    <r>
      <rPr>
        <vertAlign val="subscript"/>
        <sz val="9"/>
        <rFont val="Arial"/>
        <family val="2"/>
      </rPr>
      <t>2</t>
    </r>
  </si>
  <si>
    <r>
      <t>gCO</t>
    </r>
    <r>
      <rPr>
        <vertAlign val="subscript"/>
        <sz val="9"/>
        <rFont val="Arial"/>
        <family val="2"/>
      </rPr>
      <t>2</t>
    </r>
    <r>
      <rPr>
        <sz val="9"/>
        <rFont val="Arial"/>
        <family val="2"/>
      </rPr>
      <t>e</t>
    </r>
  </si>
  <si>
    <t>B7</t>
  </si>
  <si>
    <t>C7</t>
  </si>
  <si>
    <t>D7</t>
  </si>
  <si>
    <t>B12</t>
  </si>
  <si>
    <t>B13</t>
  </si>
  <si>
    <t>Data available for 2015 differs vans</t>
  </si>
  <si>
    <t>MRR Reported Emissions</t>
  </si>
  <si>
    <t>modeled, B17</t>
  </si>
  <si>
    <t>modeled C17</t>
  </si>
  <si>
    <t>modeled D17</t>
  </si>
  <si>
    <t>Ratio 2003/2006 miles * 2006 emissions</t>
  </si>
  <si>
    <t>Passenger Miles</t>
  </si>
  <si>
    <t>Probably underestimate- gives 2003 the fuel efficiceny of 2008</t>
  </si>
  <si>
    <t>C14</t>
  </si>
  <si>
    <t>D14</t>
  </si>
  <si>
    <t>U.S. Community Protocol Table WW.14.2</t>
  </si>
  <si>
    <t>U.S. Community Protocol Table WW.14.3</t>
  </si>
  <si>
    <t>U.S. Community Protocol Table WW.14.4</t>
  </si>
  <si>
    <r>
      <t xml:space="preserve">Notes: </t>
    </r>
    <r>
      <rPr>
        <sz val="9"/>
        <rFont val="Arial"/>
        <family val="2"/>
      </rPr>
      <t>future consideration of Cascade Water Alliance may be warranted. Currently water purveyor, but controls some future supply options (Lake Tapps)</t>
    </r>
  </si>
  <si>
    <t>Equation WW.1.a of the U.S. Community Protocol</t>
  </si>
  <si>
    <t>kg/MMBTU</t>
  </si>
  <si>
    <t>Row 6 (King Co Ntrl Res Wastewater Treatment)</t>
  </si>
  <si>
    <t>kWh/MG/day</t>
  </si>
  <si>
    <t>kWh/day</t>
  </si>
  <si>
    <r>
      <t>MgCO</t>
    </r>
    <r>
      <rPr>
        <vertAlign val="subscript"/>
        <sz val="9"/>
        <rFont val="Arial"/>
        <family val="2"/>
      </rPr>
      <t>2</t>
    </r>
    <r>
      <rPr>
        <sz val="9"/>
        <rFont val="Arial"/>
        <family val="2"/>
      </rPr>
      <t>e/day</t>
    </r>
  </si>
  <si>
    <r>
      <t>MgCO</t>
    </r>
    <r>
      <rPr>
        <vertAlign val="subscript"/>
        <sz val="9"/>
        <rFont val="Arial"/>
        <family val="2"/>
      </rPr>
      <t>2</t>
    </r>
    <r>
      <rPr>
        <sz val="9"/>
        <rFont val="Arial"/>
        <family val="2"/>
      </rPr>
      <t>e</t>
    </r>
  </si>
  <si>
    <t>KC15_90_08</t>
  </si>
  <si>
    <t>KC15_90_09</t>
  </si>
  <si>
    <t>page 11, 2015 forecast</t>
  </si>
  <si>
    <t>QC complete, found better H2O estimates</t>
  </si>
  <si>
    <t>no citation, previously assumed to match that of a goat</t>
  </si>
  <si>
    <t>cows were 2015 only, so left at same</t>
  </si>
  <si>
    <t>Rail (Freight/Commuter Rail)</t>
  </si>
  <si>
    <t>KC15-11-11_2015_Energy_consumption</t>
  </si>
  <si>
    <r>
      <t>MgCO</t>
    </r>
    <r>
      <rPr>
        <b/>
        <vertAlign val="subscript"/>
        <sz val="9"/>
        <color theme="0"/>
        <rFont val="Arial"/>
        <family val="2"/>
      </rPr>
      <t>2</t>
    </r>
    <r>
      <rPr>
        <b/>
        <sz val="9"/>
        <color theme="0"/>
        <rFont val="Arial"/>
        <family val="2"/>
      </rPr>
      <t>e</t>
    </r>
  </si>
  <si>
    <t>Light Rail</t>
  </si>
  <si>
    <t>Sound transit light rail electricity: SCL</t>
  </si>
  <si>
    <t>Sound transit light rail electricity: PSE</t>
  </si>
  <si>
    <t>Sound transit light rail electricity: Total</t>
  </si>
  <si>
    <t>Emissions factors</t>
  </si>
  <si>
    <t>tCO2/MWh</t>
  </si>
  <si>
    <t>assumed same as goat</t>
  </si>
  <si>
    <t>Light rail emissons</t>
  </si>
  <si>
    <t>Light rail electricity emissions</t>
  </si>
  <si>
    <t>KC15-12-03_SoundTransitElectricity</t>
  </si>
  <si>
    <t>Proportion SCL</t>
  </si>
  <si>
    <t>assumes LR DO is Tacoma Link</t>
  </si>
  <si>
    <t>less light rail</t>
  </si>
  <si>
    <t>Waste- Management - Landfill Disposal</t>
  </si>
  <si>
    <t>Waste- Management - Composting</t>
  </si>
  <si>
    <t>2005 data, Table 5-17</t>
  </si>
  <si>
    <t>2005 data, Table 5-18</t>
  </si>
  <si>
    <t>Table 8</t>
  </si>
  <si>
    <r>
      <t>million MgCO</t>
    </r>
    <r>
      <rPr>
        <vertAlign val="subscript"/>
        <sz val="9"/>
        <rFont val="Calibri"/>
        <family val="2"/>
      </rPr>
      <t>2</t>
    </r>
    <r>
      <rPr>
        <sz val="9"/>
        <rFont val="Calibri"/>
        <family val="2"/>
      </rPr>
      <t>e</t>
    </r>
  </si>
  <si>
    <t>Beef MCF</t>
  </si>
  <si>
    <t>Dairy MCF</t>
  </si>
  <si>
    <t>Swine MCF</t>
  </si>
  <si>
    <t>Poultry MCF</t>
  </si>
  <si>
    <t>For not species specific MCF's Average of liquid/slurry and uncovered anaerobic lagoon</t>
  </si>
  <si>
    <t>High uncertainty for not species-specific MCF's.  Using same averaged MCF for all animal types, though certain animals, such as poultry, actually have a much smaller MCF (1.5%) (from IPCC guidelines).  Also could be inaccurate because this is not accounting for any dry spreading that may happen during the spring and summer (as mentioned in the PSCAA report).</t>
  </si>
  <si>
    <t>Table A-187</t>
  </si>
  <si>
    <t>MMBTU/BTU</t>
  </si>
  <si>
    <t>Mg/kg</t>
  </si>
  <si>
    <r>
      <t>CO</t>
    </r>
    <r>
      <rPr>
        <vertAlign val="subscript"/>
        <sz val="9"/>
        <rFont val="Arial"/>
        <family val="2"/>
      </rPr>
      <t>2</t>
    </r>
    <r>
      <rPr>
        <sz val="9"/>
        <rFont val="Arial"/>
        <family val="2"/>
      </rPr>
      <t>e</t>
    </r>
  </si>
  <si>
    <t>KC Waste Characterization Study</t>
  </si>
  <si>
    <t>transportation to compost facility</t>
  </si>
  <si>
    <t>KC15-50-9_Compost</t>
  </si>
  <si>
    <t>fugitive emissions</t>
  </si>
  <si>
    <t>soil carbon storage</t>
  </si>
  <si>
    <t>Composting emissions</t>
  </si>
  <si>
    <t>MTCO2e</t>
  </si>
  <si>
    <t>Total sequestration</t>
  </si>
  <si>
    <t>Volatilization Nitrogen Loss</t>
  </si>
  <si>
    <t>Poultry Volatilization Nitrogen Loss</t>
  </si>
  <si>
    <t xml:space="preserve">Runoff </t>
  </si>
  <si>
    <t>Runoff Poultry</t>
  </si>
  <si>
    <r>
      <t>kgN</t>
    </r>
    <r>
      <rPr>
        <vertAlign val="subscript"/>
        <sz val="9"/>
        <rFont val="Calibri"/>
        <family val="2"/>
      </rPr>
      <t>2</t>
    </r>
    <r>
      <rPr>
        <sz val="9"/>
        <rFont val="Calibri"/>
        <family val="2"/>
      </rPr>
      <t>O</t>
    </r>
  </si>
  <si>
    <r>
      <t>MgN</t>
    </r>
    <r>
      <rPr>
        <b/>
        <vertAlign val="subscript"/>
        <sz val="9"/>
        <rFont val="Calibri"/>
        <family val="2"/>
      </rPr>
      <t>2</t>
    </r>
    <r>
      <rPr>
        <b/>
        <sz val="9"/>
        <rFont val="Calibri"/>
        <family val="2"/>
      </rPr>
      <t>O</t>
    </r>
  </si>
  <si>
    <r>
      <t>MgCO</t>
    </r>
    <r>
      <rPr>
        <b/>
        <vertAlign val="subscript"/>
        <sz val="9"/>
        <color theme="3" tint="0.39997558519241921"/>
        <rFont val="Calibri"/>
        <family val="2"/>
      </rPr>
      <t>2</t>
    </r>
    <r>
      <rPr>
        <b/>
        <sz val="9"/>
        <color theme="3" tint="0.39997558519241921"/>
        <rFont val="Calibri"/>
        <family val="2"/>
      </rPr>
      <t>e</t>
    </r>
  </si>
  <si>
    <t>Indirect N20 Emissions</t>
  </si>
  <si>
    <t>2012 data, fairly flat trend, so data likely similar to 2015 estimates</t>
  </si>
  <si>
    <t>Table 34 Divided number of mink by number of farms, multiplied by number of farms within KC, analogous to previous method</t>
  </si>
  <si>
    <t>Freight and Passenger rail</t>
  </si>
  <si>
    <t>Freight and passenger rail</t>
  </si>
  <si>
    <t>Total rail emissions</t>
  </si>
  <si>
    <t>probably overestimate as PSE EF used for all- SCL would have some as well, but it is not being summed into GHG inventory</t>
  </si>
  <si>
    <t>Sequestration</t>
  </si>
  <si>
    <t>Solid waste disposal</t>
  </si>
  <si>
    <r>
      <t>tCO</t>
    </r>
    <r>
      <rPr>
        <vertAlign val="subscript"/>
        <sz val="9"/>
        <rFont val="Arial"/>
        <family val="2"/>
      </rPr>
      <t>2</t>
    </r>
    <r>
      <rPr>
        <sz val="9"/>
        <rFont val="Arial"/>
        <family val="2"/>
      </rPr>
      <t>e/MWh</t>
    </r>
  </si>
  <si>
    <t>2009 value- not recorded pre-2009</t>
  </si>
  <si>
    <t>2009 value</t>
  </si>
  <si>
    <t>2010 value</t>
  </si>
  <si>
    <t>2014 value</t>
  </si>
  <si>
    <r>
      <t>lbCO</t>
    </r>
    <r>
      <rPr>
        <vertAlign val="subscript"/>
        <sz val="9"/>
        <rFont val="Arial"/>
        <family val="2"/>
      </rPr>
      <t>2</t>
    </r>
    <r>
      <rPr>
        <sz val="9"/>
        <rFont val="Arial"/>
        <family val="2"/>
      </rPr>
      <t>e/MWh</t>
    </r>
  </si>
  <si>
    <t>KC15_65_14</t>
  </si>
  <si>
    <t>2004 estimate, Table 1</t>
  </si>
  <si>
    <t>avg of 2007 and 2009 estimates- no 2008 est, Table 1</t>
  </si>
  <si>
    <t>KC15_65_15, KC15_65_16</t>
  </si>
  <si>
    <t>KC15_65_17</t>
  </si>
  <si>
    <t>2014 value, table 1</t>
  </si>
  <si>
    <t>KC15_65_18</t>
  </si>
  <si>
    <t>Total (w/o energy lost)</t>
  </si>
  <si>
    <t>KC15-50-02</t>
  </si>
  <si>
    <t>Landfills reported in the City of Seattle Inventory</t>
  </si>
  <si>
    <t>Seattle reported CO2e</t>
  </si>
  <si>
    <t>No longer reported by City of Seattle</t>
  </si>
  <si>
    <t>includes residential proportioned waste energy</t>
  </si>
  <si>
    <t>includes commercial proportioned waste energy</t>
  </si>
  <si>
    <t>includes industrial proportioned waste energy</t>
  </si>
  <si>
    <t>Quantity lost</t>
  </si>
  <si>
    <t>Percent lost</t>
  </si>
  <si>
    <t>Kendra</t>
  </si>
  <si>
    <t>Kirstin</t>
  </si>
  <si>
    <t>page 11</t>
  </si>
  <si>
    <t>Total-utility-specific</t>
  </si>
  <si>
    <t>Utility-specific vs. regional</t>
  </si>
  <si>
    <t>total emissions</t>
  </si>
  <si>
    <t>per ton</t>
  </si>
  <si>
    <t>tons landfilled/composted</t>
  </si>
  <si>
    <t>Total-Utility-specific</t>
  </si>
  <si>
    <t>Both</t>
  </si>
  <si>
    <t>Utility-specific</t>
  </si>
  <si>
    <t>eGRID</t>
  </si>
  <si>
    <t>KC15_65_19</t>
  </si>
  <si>
    <t>KC15_65_20</t>
  </si>
  <si>
    <t>KC15_65_21</t>
  </si>
  <si>
    <t>Landfill</t>
  </si>
  <si>
    <t>Composting</t>
  </si>
  <si>
    <t>GGL tab</t>
  </si>
  <si>
    <t>GGL tab- oldest available 2009</t>
  </si>
  <si>
    <t>3. Add proportion waste</t>
  </si>
  <si>
    <r>
      <t>MgCO</t>
    </r>
    <r>
      <rPr>
        <vertAlign val="subscript"/>
        <sz val="9"/>
        <rFont val="Arial"/>
        <family val="2"/>
      </rPr>
      <t>2</t>
    </r>
    <r>
      <rPr>
        <sz val="9"/>
        <rFont val="Arial"/>
        <family val="2"/>
      </rPr>
      <t>e/MWh</t>
    </r>
  </si>
  <si>
    <t>Emissions factors (MgCO2e/MWh)</t>
  </si>
  <si>
    <t>Calculate proportion KC SF6 emissions</t>
  </si>
  <si>
    <t>Proportion of energy consumed  by 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</si>
</sst>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quot;$&quot;* #,##0.00_);_(&quot;$&quot;* \(#,##0.00\);_(&quot;$&quot;* &quot;-&quot;??_);_(@_)"/>
    <numFmt numFmtId="43" formatCode="_(* #,##0.00_);_(* \(#,##0.00\);_(* &quot;-&quot;??_);_(@_)"/>
    <numFmt numFmtId="164" formatCode="#,##0.000"/>
    <numFmt numFmtId="165" formatCode="#,##0.0"/>
    <numFmt numFmtId="166" formatCode="0.0000"/>
    <numFmt numFmtId="167" formatCode="0.0000000"/>
    <numFmt numFmtId="168" formatCode="#,##0.000000"/>
    <numFmt numFmtId="169" formatCode="0.0"/>
    <numFmt numFmtId="170" formatCode="0.000"/>
    <numFmt numFmtId="171" formatCode="0.00000"/>
    <numFmt numFmtId="172" formatCode="0.000000"/>
    <numFmt numFmtId="173" formatCode="0.000E+00"/>
    <numFmt numFmtId="174" formatCode="#,##0.00000"/>
    <numFmt numFmtId="175" formatCode="#,##0.0000"/>
    <numFmt numFmtId="176" formatCode="0.000%"/>
    <numFmt numFmtId="177" formatCode="0.0000E+00"/>
    <numFmt numFmtId="178" formatCode="0.0%"/>
    <numFmt numFmtId="179" formatCode="#,##0_);\(#,##0\);&quot;-&quot;_);@_)"/>
    <numFmt numFmtId="180" formatCode="mm/dd/yy;@"/>
    <numFmt numFmtId="181" formatCode="_(* #,##0_);_(* \(#,##0\);_(* &quot;-&quot;??_);_(@_)"/>
    <numFmt numFmtId="182" formatCode="_(* #,##0.0_);_(* \(#,##0.0\);_(* &quot;-&quot;??_);_(@_)"/>
    <numFmt numFmtId="183" formatCode="_(* #,##0.000_);_(* \(#,##0.000\);_(* &quot;-&quot;??_);_(@_)"/>
    <numFmt numFmtId="184" formatCode="#,##0.0_);\(#,##0.0\)"/>
    <numFmt numFmtId="185" formatCode="#,##0.0000000000000000000"/>
    <numFmt numFmtId="186" formatCode="_(&quot;$&quot;* #,##0_);_(&quot;$&quot;* \(#,##0\);_(&quot;$&quot;* &quot;-&quot;??_);_(@_)"/>
    <numFmt numFmtId="187" formatCode="_(* #,##0.00000_);_(* \(#,##0.00000\);_(* &quot;-&quot;??_);_(@_)"/>
    <numFmt numFmtId="188" formatCode="_(* #,##0.0000_);_(* \(#,##0.0000\);_(* &quot;-&quot;??_);_(@_)"/>
    <numFmt numFmtId="189" formatCode="_(* #,##0_);_(* \(#,##0\);_(* &quot;-&quot;???_);_(@_)"/>
  </numFmts>
  <fonts count="134" x14ac:knownFonts="1">
    <font>
      <sz val="9"/>
      <name val="Arial"/>
      <family val="2"/>
    </font>
    <font>
      <sz val="11"/>
      <color theme="1"/>
      <name val="Calibri"/>
      <family val="2"/>
      <scheme val="minor"/>
    </font>
    <font>
      <sz val="10"/>
      <name val="Arial"/>
      <family val="2"/>
    </font>
    <font>
      <b/>
      <sz val="12"/>
      <name val="Arial"/>
      <family val="2"/>
    </font>
    <font>
      <sz val="8"/>
      <color indexed="81"/>
      <name val="Tahoma"/>
      <family val="2"/>
    </font>
    <font>
      <b/>
      <sz val="8"/>
      <color indexed="81"/>
      <name val="Tahoma"/>
      <family val="2"/>
    </font>
    <font>
      <b/>
      <sz val="10"/>
      <name val="Arial"/>
      <family val="2"/>
    </font>
    <font>
      <sz val="9"/>
      <name val="Arial"/>
      <family val="2"/>
    </font>
    <font>
      <b/>
      <sz val="9"/>
      <name val="Arial"/>
      <family val="2"/>
    </font>
    <font>
      <b/>
      <sz val="16"/>
      <name val="Arial"/>
      <family val="2"/>
    </font>
    <font>
      <sz val="9"/>
      <color indexed="12"/>
      <name val="Arial"/>
      <family val="2"/>
    </font>
    <font>
      <sz val="9"/>
      <color indexed="39"/>
      <name val="Arial"/>
      <family val="2"/>
    </font>
    <font>
      <sz val="9"/>
      <name val="Times New Roman"/>
      <family val="1"/>
    </font>
    <font>
      <vertAlign val="superscript"/>
      <sz val="9"/>
      <name val="Arial"/>
      <family val="2"/>
    </font>
    <font>
      <vertAlign val="subscript"/>
      <sz val="9"/>
      <name val="Arial"/>
      <family val="2"/>
    </font>
    <font>
      <b/>
      <vertAlign val="subscript"/>
      <sz val="9"/>
      <name val="Arial"/>
      <family val="2"/>
    </font>
    <font>
      <b/>
      <sz val="9"/>
      <color indexed="10"/>
      <name val="Arial"/>
      <family val="2"/>
    </font>
    <font>
      <sz val="8"/>
      <color indexed="39"/>
      <name val="Tahoma"/>
      <family val="2"/>
    </font>
    <font>
      <sz val="8"/>
      <name val="Arial"/>
      <family val="2"/>
    </font>
    <font>
      <sz val="9"/>
      <name val="Arial"/>
      <family val="2"/>
    </font>
    <font>
      <b/>
      <sz val="7"/>
      <name val="Arial"/>
      <family val="2"/>
    </font>
    <font>
      <i/>
      <sz val="9"/>
      <name val="Arial"/>
      <family val="2"/>
    </font>
    <font>
      <b/>
      <i/>
      <sz val="9"/>
      <color indexed="10"/>
      <name val="Arial"/>
      <family val="2"/>
    </font>
    <font>
      <sz val="10"/>
      <name val="Arial"/>
      <family val="2"/>
    </font>
    <font>
      <sz val="8"/>
      <name val="Helv"/>
    </font>
    <font>
      <sz val="11"/>
      <color indexed="8"/>
      <name val="Calibri"/>
      <family val="2"/>
    </font>
    <font>
      <sz val="9"/>
      <color indexed="8"/>
      <name val="Arial"/>
      <family val="2"/>
    </font>
    <font>
      <sz val="9"/>
      <name val="Arial"/>
      <family val="2"/>
    </font>
    <font>
      <sz val="8"/>
      <color indexed="63"/>
      <name val="Verdana"/>
      <family val="2"/>
    </font>
    <font>
      <sz val="9"/>
      <color indexed="8"/>
      <name val="Arial"/>
      <family val="2"/>
    </font>
    <font>
      <sz val="8"/>
      <name val="Verdana"/>
      <family val="2"/>
    </font>
    <font>
      <sz val="9"/>
      <name val="Arial"/>
      <family val="2"/>
    </font>
    <font>
      <sz val="7"/>
      <name val="Arial"/>
      <family val="2"/>
    </font>
    <font>
      <sz val="7"/>
      <color indexed="8"/>
      <name val="Arial"/>
      <family val="2"/>
    </font>
    <font>
      <sz val="11"/>
      <name val="Arial"/>
      <family val="2"/>
    </font>
    <font>
      <i/>
      <sz val="10"/>
      <name val="Arial"/>
      <family val="2"/>
    </font>
    <font>
      <sz val="10"/>
      <color indexed="10"/>
      <name val="Arial"/>
      <family val="2"/>
    </font>
    <font>
      <sz val="12"/>
      <name val="Arial"/>
      <family val="2"/>
    </font>
    <font>
      <sz val="9"/>
      <name val="Arial"/>
      <family val="2"/>
    </font>
    <font>
      <sz val="9"/>
      <name val="Arial"/>
      <family val="2"/>
    </font>
    <font>
      <sz val="10"/>
      <name val="Arial"/>
      <family val="2"/>
    </font>
    <font>
      <sz val="10"/>
      <name val="Arial"/>
      <family val="2"/>
    </font>
    <font>
      <sz val="13"/>
      <name val="Arial"/>
      <family val="2"/>
    </font>
    <font>
      <b/>
      <sz val="14"/>
      <color indexed="9"/>
      <name val="Arial"/>
      <family val="2"/>
    </font>
    <font>
      <vertAlign val="subscript"/>
      <sz val="10"/>
      <name val="Arial"/>
      <family val="2"/>
    </font>
    <font>
      <b/>
      <sz val="13"/>
      <name val="Calibri"/>
      <family val="2"/>
      <scheme val="minor"/>
    </font>
    <font>
      <b/>
      <sz val="12"/>
      <name val="Calibri"/>
      <family val="2"/>
      <scheme val="minor"/>
    </font>
    <font>
      <sz val="10"/>
      <name val="Calibri"/>
      <family val="2"/>
      <scheme val="minor"/>
    </font>
    <font>
      <b/>
      <sz val="10"/>
      <color indexed="9"/>
      <name val="Calibri"/>
      <family val="2"/>
      <scheme val="minor"/>
    </font>
    <font>
      <sz val="12"/>
      <name val="Calibri"/>
      <family val="2"/>
      <scheme val="minor"/>
    </font>
    <font>
      <i/>
      <sz val="10"/>
      <name val="Calibri"/>
      <family val="2"/>
      <scheme val="minor"/>
    </font>
    <font>
      <b/>
      <i/>
      <sz val="10"/>
      <name val="Calibri"/>
      <family val="2"/>
      <scheme val="minor"/>
    </font>
    <font>
      <b/>
      <sz val="13"/>
      <color indexed="9"/>
      <name val="Calibri"/>
      <family val="2"/>
      <scheme val="minor"/>
    </font>
    <font>
      <sz val="13"/>
      <color indexed="9"/>
      <name val="Calibri"/>
      <family val="2"/>
      <scheme val="minor"/>
    </font>
    <font>
      <sz val="9"/>
      <name val="Calibri"/>
      <family val="2"/>
      <scheme val="minor"/>
    </font>
    <font>
      <b/>
      <sz val="10"/>
      <name val="Calibri"/>
      <family val="2"/>
      <scheme val="minor"/>
    </font>
    <font>
      <b/>
      <sz val="13"/>
      <color theme="0"/>
      <name val="Calibri"/>
      <family val="2"/>
      <scheme val="minor"/>
    </font>
    <font>
      <sz val="13"/>
      <color theme="0"/>
      <name val="Calibri"/>
      <family val="2"/>
      <scheme val="minor"/>
    </font>
    <font>
      <sz val="10"/>
      <color theme="0"/>
      <name val="Calibri"/>
      <family val="2"/>
      <scheme val="minor"/>
    </font>
    <font>
      <b/>
      <sz val="10"/>
      <color theme="0"/>
      <name val="Calibri"/>
      <family val="2"/>
      <scheme val="minor"/>
    </font>
    <font>
      <b/>
      <sz val="9"/>
      <color indexed="9"/>
      <name val="Arial"/>
      <family val="2"/>
    </font>
    <font>
      <sz val="9"/>
      <color indexed="9"/>
      <name val="Arial"/>
      <family val="2"/>
    </font>
    <font>
      <b/>
      <i/>
      <sz val="9"/>
      <name val="Arial"/>
      <family val="2"/>
    </font>
    <font>
      <sz val="9"/>
      <color indexed="81"/>
      <name val="Tahoma"/>
      <family val="2"/>
    </font>
    <font>
      <b/>
      <sz val="9"/>
      <color indexed="81"/>
      <name val="Tahoma"/>
      <family val="2"/>
    </font>
    <font>
      <b/>
      <sz val="9"/>
      <color rgb="FFFF0000"/>
      <name val="Arial"/>
      <family val="2"/>
    </font>
    <font>
      <b/>
      <sz val="9"/>
      <color theme="3" tint="0.39997558519241921"/>
      <name val="Arial"/>
      <family val="2"/>
    </font>
    <font>
      <u/>
      <sz val="9"/>
      <color theme="10"/>
      <name val="Arial"/>
      <family val="2"/>
    </font>
    <font>
      <u/>
      <sz val="9"/>
      <name val="Arial"/>
      <family val="2"/>
    </font>
    <font>
      <sz val="9"/>
      <color theme="0" tint="-0.34998626667073579"/>
      <name val="Arial"/>
      <family val="2"/>
    </font>
    <font>
      <b/>
      <vertAlign val="subscript"/>
      <sz val="9"/>
      <color theme="3" tint="0.39997558519241921"/>
      <name val="Arial"/>
      <family val="2"/>
    </font>
    <font>
      <b/>
      <sz val="9"/>
      <color theme="0" tint="-0.34998626667073579"/>
      <name val="Arial"/>
      <family val="2"/>
    </font>
    <font>
      <sz val="9"/>
      <color theme="3" tint="0.39997558519241921"/>
      <name val="Arial"/>
      <family val="2"/>
    </font>
    <font>
      <vertAlign val="subscript"/>
      <sz val="9"/>
      <color theme="3" tint="0.39997558519241921"/>
      <name val="Arial"/>
      <family val="2"/>
    </font>
    <font>
      <b/>
      <sz val="9"/>
      <color theme="0"/>
      <name val="Arial"/>
      <family val="2"/>
    </font>
    <font>
      <sz val="9"/>
      <color theme="0"/>
      <name val="Arial"/>
      <family val="2"/>
    </font>
    <font>
      <b/>
      <sz val="11"/>
      <name val="Calibri"/>
      <family val="2"/>
    </font>
    <font>
      <sz val="9"/>
      <color theme="0" tint="-0.249977111117893"/>
      <name val="Arial"/>
      <family val="2"/>
    </font>
    <font>
      <sz val="8"/>
      <name val="Calibri"/>
      <family val="2"/>
    </font>
    <font>
      <b/>
      <sz val="8"/>
      <name val="Calibri"/>
      <family val="2"/>
    </font>
    <font>
      <vertAlign val="subscript"/>
      <sz val="8"/>
      <name val="Calibri"/>
      <family val="2"/>
    </font>
    <font>
      <sz val="8"/>
      <name val="Calibri"/>
      <family val="2"/>
      <scheme val="minor"/>
    </font>
    <font>
      <b/>
      <sz val="8"/>
      <name val="Arial"/>
      <family val="2"/>
    </font>
    <font>
      <sz val="8"/>
      <color rgb="FFFF0000"/>
      <name val="Arial"/>
      <family val="2"/>
    </font>
    <font>
      <b/>
      <sz val="9"/>
      <color theme="0" tint="-0.249977111117893"/>
      <name val="Arial"/>
      <family val="2"/>
    </font>
    <font>
      <b/>
      <sz val="9"/>
      <name val="Calibri"/>
      <family val="2"/>
      <scheme val="minor"/>
    </font>
    <font>
      <b/>
      <sz val="9"/>
      <color theme="4"/>
      <name val="Calibri"/>
      <family val="2"/>
      <scheme val="minor"/>
    </font>
    <font>
      <vertAlign val="subscript"/>
      <sz val="9"/>
      <name val="Calibri"/>
      <family val="2"/>
      <scheme val="minor"/>
    </font>
    <font>
      <vertAlign val="superscript"/>
      <sz val="9"/>
      <name val="Calibri"/>
      <family val="2"/>
      <scheme val="minor"/>
    </font>
    <font>
      <b/>
      <vertAlign val="subscript"/>
      <sz val="9"/>
      <name val="Calibri"/>
      <family val="2"/>
      <scheme val="minor"/>
    </font>
    <font>
      <b/>
      <sz val="9"/>
      <color theme="3" tint="0.39997558519241921"/>
      <name val="Calibri"/>
      <family val="2"/>
      <scheme val="minor"/>
    </font>
    <font>
      <u/>
      <sz val="9"/>
      <name val="Calibri"/>
      <family val="2"/>
      <scheme val="minor"/>
    </font>
    <font>
      <u/>
      <sz val="9"/>
      <color theme="10"/>
      <name val="Calibri"/>
      <family val="2"/>
      <scheme val="minor"/>
    </font>
    <font>
      <b/>
      <sz val="12"/>
      <color theme="0"/>
      <name val="Calibri"/>
      <family val="2"/>
      <scheme val="minor"/>
    </font>
    <font>
      <b/>
      <sz val="7"/>
      <color theme="0"/>
      <name val="Arial"/>
      <family val="2"/>
    </font>
    <font>
      <sz val="7"/>
      <color theme="0"/>
      <name val="Arial"/>
      <family val="2"/>
    </font>
    <font>
      <sz val="16"/>
      <name val="Arial"/>
      <family val="2"/>
    </font>
    <font>
      <vertAlign val="subscript"/>
      <sz val="16"/>
      <name val="Arial"/>
      <family val="2"/>
    </font>
    <font>
      <b/>
      <sz val="10"/>
      <name val="Segoe UI"/>
      <family val="2"/>
    </font>
    <font>
      <b/>
      <sz val="10"/>
      <color theme="1"/>
      <name val="Segoe UI"/>
      <family val="2"/>
    </font>
    <font>
      <sz val="10"/>
      <name val="Segoe UI"/>
      <family val="2"/>
    </font>
    <font>
      <sz val="10"/>
      <color theme="1"/>
      <name val="Segoe UI"/>
      <family val="2"/>
    </font>
    <font>
      <sz val="9"/>
      <name val="Segoe UI"/>
      <family val="2"/>
    </font>
    <font>
      <b/>
      <sz val="10"/>
      <color theme="0"/>
      <name val="Segoe UI"/>
      <family val="2"/>
    </font>
    <font>
      <b/>
      <sz val="9"/>
      <name val="Segoe UI"/>
      <family val="2"/>
    </font>
    <font>
      <b/>
      <sz val="9"/>
      <color rgb="FFFFFFFF"/>
      <name val="Segoe UI"/>
      <family val="2"/>
    </font>
    <font>
      <b/>
      <sz val="10"/>
      <color theme="1"/>
      <name val="Calibri"/>
      <family val="2"/>
      <scheme val="minor"/>
    </font>
    <font>
      <sz val="9"/>
      <color theme="0" tint="-0.14999847407452621"/>
      <name val="Calibri"/>
      <family val="2"/>
      <scheme val="minor"/>
    </font>
    <font>
      <sz val="9"/>
      <color theme="0"/>
      <name val="Calibri"/>
      <family val="2"/>
      <scheme val="minor"/>
    </font>
    <font>
      <b/>
      <sz val="9"/>
      <color theme="0" tint="-0.14999847407452621"/>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10"/>
      <color theme="0" tint="-0.14999847407452621"/>
      <name val="Calibri"/>
      <family val="2"/>
      <scheme val="minor"/>
    </font>
    <font>
      <b/>
      <sz val="9"/>
      <color theme="1"/>
      <name val="Arial"/>
      <family val="2"/>
    </font>
    <font>
      <sz val="10"/>
      <color theme="1"/>
      <name val="Arial"/>
      <family val="2"/>
    </font>
    <font>
      <b/>
      <vertAlign val="subscript"/>
      <sz val="9"/>
      <color theme="1"/>
      <name val="Arial"/>
      <family val="2"/>
    </font>
    <font>
      <b/>
      <vertAlign val="subscript"/>
      <sz val="10"/>
      <name val="Arial"/>
      <family val="2"/>
    </font>
    <font>
      <sz val="9"/>
      <color rgb="FFFF0000"/>
      <name val="Arial"/>
      <family val="2"/>
    </font>
    <font>
      <sz val="9"/>
      <color theme="1"/>
      <name val="Arial"/>
      <family val="2"/>
    </font>
    <font>
      <u/>
      <sz val="9"/>
      <color theme="1"/>
      <name val="Arial"/>
      <family val="2"/>
    </font>
    <font>
      <sz val="9"/>
      <name val="Arial"/>
      <family val="2"/>
    </font>
    <font>
      <sz val="9"/>
      <name val="Arial"/>
      <family val="2"/>
    </font>
    <font>
      <b/>
      <sz val="9"/>
      <color theme="3" tint="0.39994506668294322"/>
      <name val="Arial"/>
      <family val="2"/>
    </font>
    <font>
      <b/>
      <vertAlign val="subscript"/>
      <sz val="9"/>
      <color theme="4"/>
      <name val="Calibri"/>
      <family val="2"/>
      <scheme val="minor"/>
    </font>
    <font>
      <b/>
      <vertAlign val="subscript"/>
      <sz val="9"/>
      <color theme="3" tint="0.39997558519241921"/>
      <name val="Calibri"/>
      <family val="2"/>
      <scheme val="minor"/>
    </font>
    <font>
      <b/>
      <vertAlign val="subscript"/>
      <sz val="9"/>
      <color theme="0"/>
      <name val="Arial"/>
      <family val="2"/>
    </font>
    <font>
      <vertAlign val="subscript"/>
      <sz val="9"/>
      <name val="Calibri"/>
      <family val="2"/>
    </font>
    <font>
      <sz val="9"/>
      <name val="Calibri"/>
      <family val="2"/>
    </font>
    <font>
      <sz val="9"/>
      <color theme="3" tint="0.39997558519241921"/>
      <name val="Calibri"/>
      <family val="2"/>
      <scheme val="minor"/>
    </font>
    <font>
      <b/>
      <vertAlign val="subscript"/>
      <sz val="9"/>
      <name val="Calibri"/>
      <family val="2"/>
    </font>
    <font>
      <b/>
      <sz val="9"/>
      <name val="Calibri"/>
      <family val="2"/>
    </font>
    <font>
      <b/>
      <vertAlign val="subscript"/>
      <sz val="9"/>
      <color theme="3" tint="0.39997558519241921"/>
      <name val="Calibri"/>
      <family val="2"/>
    </font>
    <font>
      <b/>
      <sz val="9"/>
      <color theme="3" tint="0.39997558519241921"/>
      <name val="Calibri"/>
      <family val="2"/>
    </font>
  </fonts>
  <fills count="48">
    <fill>
      <patternFill patternType="none"/>
    </fill>
    <fill>
      <patternFill patternType="gray125"/>
    </fill>
    <fill>
      <patternFill patternType="solid">
        <fgColor indexed="42"/>
        <bgColor indexed="64"/>
      </patternFill>
    </fill>
    <fill>
      <patternFill patternType="solid">
        <fgColor indexed="50"/>
        <bgColor indexed="64"/>
      </patternFill>
    </fill>
    <fill>
      <patternFill patternType="solid">
        <fgColor indexed="26"/>
        <bgColor indexed="64"/>
      </patternFill>
    </fill>
    <fill>
      <patternFill patternType="solid">
        <fgColor indexed="23"/>
        <bgColor indexed="64"/>
      </patternFill>
    </fill>
    <fill>
      <patternFill patternType="solid">
        <fgColor theme="0"/>
        <bgColor indexed="64"/>
      </patternFill>
    </fill>
    <fill>
      <patternFill patternType="solid">
        <fgColor rgb="FFFFFF00"/>
        <bgColor indexed="64"/>
      </patternFill>
    </fill>
    <fill>
      <patternFill patternType="solid">
        <fgColor rgb="FFF7994B"/>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9933"/>
        <bgColor indexed="64"/>
      </patternFill>
    </fill>
    <fill>
      <patternFill patternType="solid">
        <fgColor theme="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2" tint="-0.8999908444471571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rgb="FF00B0F0"/>
        <bgColor indexed="64"/>
      </patternFill>
    </fill>
    <fill>
      <patternFill patternType="solid">
        <fgColor rgb="FFFFC000"/>
        <bgColor indexed="64"/>
      </patternFill>
    </fill>
    <fill>
      <patternFill patternType="solid">
        <fgColor rgb="FFFDC703"/>
        <bgColor indexed="64"/>
      </patternFill>
    </fill>
    <fill>
      <patternFill patternType="solid">
        <fgColor rgb="FF0070C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bgColor indexed="64"/>
      </patternFill>
    </fill>
    <fill>
      <patternFill patternType="solid">
        <fgColor theme="4"/>
        <bgColor indexed="64"/>
      </patternFill>
    </fill>
    <fill>
      <patternFill patternType="solid">
        <fgColor theme="4" tint="0.79998168889431442"/>
        <bgColor indexed="64"/>
      </patternFill>
    </fill>
    <fill>
      <patternFill patternType="solid">
        <fgColor theme="6"/>
        <bgColor indexed="64"/>
      </patternFill>
    </fill>
    <fill>
      <patternFill patternType="solid">
        <fgColor theme="2"/>
        <bgColor indexed="64"/>
      </patternFill>
    </fill>
    <fill>
      <patternFill patternType="solid">
        <fgColor theme="2" tint="0.79998168889431442"/>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2" tint="0.59999389629810485"/>
        <bgColor indexed="64"/>
      </patternFill>
    </fill>
    <fill>
      <patternFill patternType="solid">
        <fgColor rgb="FF9FAFA5"/>
        <bgColor indexed="64"/>
      </patternFill>
    </fill>
    <fill>
      <patternFill patternType="solid">
        <fgColor rgb="FF7F7F7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rgb="FFFFFF99"/>
        <bgColor indexed="64"/>
      </patternFill>
    </fill>
  </fills>
  <borders count="43">
    <border>
      <left/>
      <right/>
      <top/>
      <bottom/>
      <diagonal/>
    </border>
    <border>
      <left/>
      <right/>
      <top/>
      <bottom style="medium">
        <color indexed="64"/>
      </bottom>
      <diagonal/>
    </border>
    <border>
      <left/>
      <right style="thin">
        <color indexed="64"/>
      </right>
      <top/>
      <bottom/>
      <diagonal/>
    </border>
    <border>
      <left/>
      <right/>
      <top style="thin">
        <color indexed="64"/>
      </top>
      <bottom style="thick">
        <color indexed="64"/>
      </bottom>
      <diagonal/>
    </border>
    <border>
      <left style="thin">
        <color indexed="64"/>
      </left>
      <right style="thin">
        <color indexed="64"/>
      </right>
      <top/>
      <bottom/>
      <diagonal/>
    </border>
    <border>
      <left style="thin">
        <color indexed="64"/>
      </left>
      <right/>
      <top/>
      <bottom/>
      <diagonal/>
    </border>
    <border>
      <left/>
      <right/>
      <top style="thick">
        <color indexed="64"/>
      </top>
      <bottom style="thin">
        <color indexed="64"/>
      </bottom>
      <diagonal/>
    </border>
    <border>
      <left/>
      <right/>
      <top style="thick">
        <color indexed="64"/>
      </top>
      <bottom/>
      <diagonal/>
    </border>
    <border>
      <left/>
      <right/>
      <top style="thin">
        <color indexed="64"/>
      </top>
      <bottom/>
      <diagonal/>
    </border>
    <border>
      <left/>
      <right/>
      <top/>
      <bottom style="thick">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diagonal/>
    </border>
    <border>
      <left/>
      <right/>
      <top style="medium">
        <color indexed="64"/>
      </top>
      <bottom/>
      <diagonal/>
    </border>
    <border>
      <left/>
      <right style="medium">
        <color indexed="64"/>
      </right>
      <top style="medium">
        <color indexed="64"/>
      </top>
      <bottom/>
      <diagonal/>
    </border>
    <border>
      <left/>
      <right/>
      <top style="thick">
        <color indexed="64"/>
      </top>
      <bottom style="thick">
        <color indexed="64"/>
      </bottom>
      <diagonal/>
    </border>
    <border>
      <left/>
      <right style="thin">
        <color indexed="64"/>
      </right>
      <top/>
      <bottom style="thin">
        <color auto="1"/>
      </bottom>
      <diagonal/>
    </border>
    <border>
      <left style="thin">
        <color indexed="64"/>
      </left>
      <right/>
      <top/>
      <bottom style="thin">
        <color auto="1"/>
      </bottom>
      <diagonal/>
    </border>
    <border>
      <left/>
      <right/>
      <top style="thin">
        <color indexed="64"/>
      </top>
      <bottom style="thick">
        <color theme="0"/>
      </bottom>
      <diagonal/>
    </border>
    <border>
      <left/>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n">
        <color theme="0"/>
      </right>
      <top style="thick">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ck">
        <color theme="0"/>
      </bottom>
      <diagonal/>
    </border>
    <border>
      <left style="thin">
        <color theme="0"/>
      </left>
      <right style="thin">
        <color theme="0"/>
      </right>
      <top style="thick">
        <color theme="0"/>
      </top>
      <bottom/>
      <diagonal/>
    </border>
    <border>
      <left style="thin">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style="thin">
        <color theme="0"/>
      </right>
      <top/>
      <bottom/>
      <diagonal/>
    </border>
    <border>
      <left style="thin">
        <color theme="0"/>
      </left>
      <right style="thin">
        <color theme="0"/>
      </right>
      <top/>
      <bottom style="thick">
        <color theme="0"/>
      </bottom>
      <diagonal/>
    </border>
  </borders>
  <cellStyleXfs count="13">
    <xf numFmtId="0" fontId="0" fillId="0" borderId="0">
      <alignment vertical="top"/>
    </xf>
    <xf numFmtId="43" fontId="2" fillId="0" borderId="0" applyFont="0" applyFill="0" applyBorder="0" applyAlignment="0" applyProtection="0"/>
    <xf numFmtId="0" fontId="6" fillId="0" borderId="1"/>
    <xf numFmtId="0" fontId="7" fillId="0" borderId="0"/>
    <xf numFmtId="9" fontId="2" fillId="0" borderId="0" applyFont="0" applyFill="0" applyBorder="0" applyAlignment="0" applyProtection="0"/>
    <xf numFmtId="0" fontId="24" fillId="0" borderId="0">
      <alignment horizontal="left"/>
    </xf>
    <xf numFmtId="179" fontId="19" fillId="0" borderId="2" applyFont="0" applyFill="0" applyBorder="0" applyProtection="0">
      <alignment horizontal="right" vertical="top"/>
    </xf>
    <xf numFmtId="0" fontId="7" fillId="0" borderId="3">
      <alignment vertical="top"/>
    </xf>
    <xf numFmtId="3" fontId="3" fillId="0" borderId="0" applyNumberFormat="0" applyFill="0" applyBorder="0" applyProtection="0">
      <alignment horizontal="left" vertical="top"/>
    </xf>
    <xf numFmtId="3" fontId="9" fillId="0" borderId="0" applyNumberFormat="0" applyFill="0" applyBorder="0" applyProtection="0">
      <alignment horizontal="left" vertical="top"/>
    </xf>
    <xf numFmtId="0" fontId="67" fillId="0" borderId="0" applyNumberFormat="0" applyFill="0" applyBorder="0" applyAlignment="0" applyProtection="0">
      <alignment vertical="top"/>
    </xf>
    <xf numFmtId="179" fontId="7" fillId="0" borderId="2" applyFont="0" applyFill="0" applyBorder="0" applyProtection="0">
      <alignment horizontal="right" vertical="top"/>
    </xf>
    <xf numFmtId="44" fontId="7" fillId="0" borderId="0" applyFont="0" applyFill="0" applyBorder="0" applyAlignment="0" applyProtection="0"/>
  </cellStyleXfs>
  <cellXfs count="2584">
    <xf numFmtId="0" fontId="0" fillId="0" borderId="0" xfId="0">
      <alignment vertical="top"/>
    </xf>
    <xf numFmtId="0" fontId="0" fillId="0" borderId="2" xfId="0" applyBorder="1">
      <alignment vertical="top"/>
    </xf>
    <xf numFmtId="0" fontId="8" fillId="0" borderId="0" xfId="0" applyFont="1" applyAlignment="1">
      <alignment horizontal="centerContinuous"/>
    </xf>
    <xf numFmtId="0" fontId="8" fillId="0" borderId="2" xfId="0" applyFont="1" applyBorder="1" applyAlignment="1">
      <alignment horizontal="centerContinuous"/>
    </xf>
    <xf numFmtId="0" fontId="8" fillId="0" borderId="2" xfId="0" applyFont="1" applyBorder="1" applyAlignment="1">
      <alignment horizontal="left"/>
    </xf>
    <xf numFmtId="0" fontId="0" fillId="0" borderId="0" xfId="0" applyBorder="1">
      <alignment vertical="top"/>
    </xf>
    <xf numFmtId="0" fontId="8" fillId="0" borderId="0" xfId="0" applyFont="1" applyBorder="1" applyAlignment="1">
      <alignment horizontal="centerContinuous"/>
    </xf>
    <xf numFmtId="0" fontId="8" fillId="0" borderId="2" xfId="0" applyFont="1" applyBorder="1" applyAlignment="1">
      <alignment horizontal="center"/>
    </xf>
    <xf numFmtId="0" fontId="8" fillId="0" borderId="2" xfId="0" applyFont="1" applyBorder="1" applyAlignment="1"/>
    <xf numFmtId="0" fontId="8" fillId="0" borderId="0" xfId="0" applyFont="1" applyAlignment="1"/>
    <xf numFmtId="0" fontId="0" fillId="2" borderId="0" xfId="0" applyFill="1" applyAlignment="1"/>
    <xf numFmtId="0" fontId="0" fillId="2" borderId="2" xfId="0" applyFill="1" applyBorder="1" applyAlignment="1"/>
    <xf numFmtId="0" fontId="0" fillId="2" borderId="0" xfId="0" applyFill="1" applyBorder="1" applyAlignment="1"/>
    <xf numFmtId="0" fontId="0" fillId="0" borderId="0" xfId="0" applyAlignment="1"/>
    <xf numFmtId="3" fontId="9" fillId="0" borderId="0" xfId="9" applyAlignment="1">
      <alignment horizontal="left" vertical="center"/>
    </xf>
    <xf numFmtId="3" fontId="8" fillId="0" borderId="0" xfId="9" applyFont="1">
      <alignment horizontal="left" vertical="top"/>
    </xf>
    <xf numFmtId="0" fontId="7" fillId="0" borderId="0" xfId="3" applyFont="1"/>
    <xf numFmtId="0" fontId="7" fillId="0" borderId="0" xfId="3" applyFont="1" applyAlignment="1">
      <alignment horizontal="center"/>
    </xf>
    <xf numFmtId="3" fontId="8" fillId="0" borderId="0" xfId="9" applyFont="1" applyAlignment="1">
      <alignment horizontal="centerContinuous" vertical="top"/>
    </xf>
    <xf numFmtId="0" fontId="8" fillId="0" borderId="0" xfId="3" applyFont="1" applyAlignment="1">
      <alignment horizontal="center"/>
    </xf>
    <xf numFmtId="3" fontId="8" fillId="0" borderId="0" xfId="9" applyFont="1" applyAlignment="1">
      <alignment horizontal="center" vertical="top"/>
    </xf>
    <xf numFmtId="0" fontId="8" fillId="2" borderId="0" xfId="2" applyFont="1" applyFill="1" applyBorder="1"/>
    <xf numFmtId="164" fontId="7" fillId="0" borderId="0" xfId="3" applyNumberFormat="1" applyFont="1" applyFill="1" applyBorder="1"/>
    <xf numFmtId="166" fontId="7" fillId="0" borderId="0" xfId="3" applyNumberFormat="1" applyFont="1"/>
    <xf numFmtId="0" fontId="10" fillId="0" borderId="0" xfId="3" applyFont="1"/>
    <xf numFmtId="170" fontId="7" fillId="0" borderId="0" xfId="3" applyNumberFormat="1" applyFont="1"/>
    <xf numFmtId="171" fontId="7" fillId="0" borderId="0" xfId="3" applyNumberFormat="1" applyFont="1"/>
    <xf numFmtId="165" fontId="7" fillId="0" borderId="0" xfId="3" applyNumberFormat="1" applyFont="1"/>
    <xf numFmtId="167" fontId="7" fillId="0" borderId="0" xfId="3" applyNumberFormat="1" applyFont="1"/>
    <xf numFmtId="0" fontId="7" fillId="0" borderId="0" xfId="3" applyFont="1" applyFill="1" applyBorder="1"/>
    <xf numFmtId="171" fontId="11" fillId="0" borderId="0" xfId="3" applyNumberFormat="1" applyFont="1"/>
    <xf numFmtId="177" fontId="11" fillId="0" borderId="0" xfId="3" applyNumberFormat="1" applyFont="1"/>
    <xf numFmtId="4" fontId="11" fillId="0" borderId="0" xfId="3" applyNumberFormat="1" applyFont="1"/>
    <xf numFmtId="1" fontId="11" fillId="0" borderId="0" xfId="3" applyNumberFormat="1" applyFont="1"/>
    <xf numFmtId="175" fontId="11" fillId="0" borderId="0" xfId="3" applyNumberFormat="1" applyFont="1"/>
    <xf numFmtId="2" fontId="7" fillId="0" borderId="0" xfId="3" applyNumberFormat="1" applyFont="1"/>
    <xf numFmtId="169" fontId="7" fillId="0" borderId="0" xfId="3" applyNumberFormat="1" applyFont="1"/>
    <xf numFmtId="173" fontId="10" fillId="0" borderId="0" xfId="3" applyNumberFormat="1" applyFont="1"/>
    <xf numFmtId="0" fontId="10" fillId="0" borderId="0" xfId="3" applyNumberFormat="1" applyFont="1"/>
    <xf numFmtId="173" fontId="7" fillId="0" borderId="0" xfId="3" applyNumberFormat="1" applyFont="1"/>
    <xf numFmtId="175" fontId="7" fillId="0" borderId="0" xfId="3" applyNumberFormat="1" applyFont="1"/>
    <xf numFmtId="171" fontId="10" fillId="0" borderId="0" xfId="3" applyNumberFormat="1" applyFont="1"/>
    <xf numFmtId="174" fontId="10" fillId="0" borderId="0" xfId="3" applyNumberFormat="1" applyFont="1"/>
    <xf numFmtId="175" fontId="10" fillId="0" borderId="0" xfId="3" applyNumberFormat="1" applyFont="1"/>
    <xf numFmtId="4" fontId="10" fillId="0" borderId="0" xfId="3" applyNumberFormat="1" applyFont="1"/>
    <xf numFmtId="0" fontId="12" fillId="0" borderId="0" xfId="3" applyFont="1" applyAlignment="1">
      <alignment horizontal="left" indent="2"/>
    </xf>
    <xf numFmtId="0" fontId="10" fillId="0" borderId="0" xfId="3" applyNumberFormat="1" applyFont="1" applyAlignment="1"/>
    <xf numFmtId="172" fontId="7" fillId="0" borderId="0" xfId="3" applyNumberFormat="1" applyFont="1"/>
    <xf numFmtId="0" fontId="12" fillId="0" borderId="0" xfId="3" applyFont="1"/>
    <xf numFmtId="1" fontId="7" fillId="0" borderId="0" xfId="3" applyNumberFormat="1" applyFont="1"/>
    <xf numFmtId="3" fontId="7" fillId="0" borderId="0" xfId="3" applyNumberFormat="1" applyFont="1"/>
    <xf numFmtId="3" fontId="11" fillId="0" borderId="0" xfId="3" applyNumberFormat="1" applyFont="1"/>
    <xf numFmtId="173" fontId="11" fillId="0" borderId="0" xfId="3" applyNumberFormat="1" applyFont="1"/>
    <xf numFmtId="164" fontId="7" fillId="0" borderId="0" xfId="3" applyNumberFormat="1" applyFont="1"/>
    <xf numFmtId="4" fontId="7" fillId="0" borderId="0" xfId="3" applyNumberFormat="1" applyFont="1"/>
    <xf numFmtId="168" fontId="7" fillId="0" borderId="0" xfId="3" applyNumberFormat="1" applyFont="1"/>
    <xf numFmtId="174" fontId="7" fillId="0" borderId="0" xfId="3" applyNumberFormat="1" applyFont="1"/>
    <xf numFmtId="0" fontId="8" fillId="0" borderId="0" xfId="3" applyFont="1"/>
    <xf numFmtId="4" fontId="0" fillId="0" borderId="0" xfId="0" applyNumberFormat="1">
      <alignment vertical="top"/>
    </xf>
    <xf numFmtId="49" fontId="0" fillId="0" borderId="2" xfId="0" applyNumberFormat="1" applyBorder="1" applyAlignment="1">
      <alignment horizontal="center"/>
    </xf>
    <xf numFmtId="0" fontId="7" fillId="0" borderId="0" xfId="0" applyFont="1">
      <alignment vertical="top"/>
    </xf>
    <xf numFmtId="165" fontId="7" fillId="0" borderId="0" xfId="0" applyNumberFormat="1" applyFont="1">
      <alignment vertical="top"/>
    </xf>
    <xf numFmtId="3" fontId="7" fillId="0" borderId="0" xfId="0" applyNumberFormat="1" applyFont="1">
      <alignment vertical="top"/>
    </xf>
    <xf numFmtId="0" fontId="8" fillId="0" borderId="0" xfId="0" applyFont="1" applyAlignment="1">
      <alignment horizontal="left"/>
    </xf>
    <xf numFmtId="0" fontId="7" fillId="0" borderId="0" xfId="0" applyFont="1" applyAlignment="1">
      <alignment horizontal="left"/>
    </xf>
    <xf numFmtId="0" fontId="8" fillId="0" borderId="0" xfId="0" applyFont="1">
      <alignment vertical="top"/>
    </xf>
    <xf numFmtId="3" fontId="9" fillId="0" borderId="0" xfId="9" applyFont="1" applyAlignment="1">
      <alignment horizontal="left" vertical="center"/>
    </xf>
    <xf numFmtId="0" fontId="0" fillId="0" borderId="0" xfId="0" applyFill="1" applyBorder="1">
      <alignment vertical="top"/>
    </xf>
    <xf numFmtId="174" fontId="0" fillId="0" borderId="0" xfId="0" applyNumberFormat="1">
      <alignment vertical="top"/>
    </xf>
    <xf numFmtId="0" fontId="7" fillId="0" borderId="0" xfId="3" applyFont="1" applyAlignment="1"/>
    <xf numFmtId="0" fontId="8" fillId="0" borderId="0" xfId="0" applyFont="1" applyAlignment="1">
      <alignment vertical="top"/>
    </xf>
    <xf numFmtId="49" fontId="8" fillId="2" borderId="0" xfId="2" applyNumberFormat="1" applyFont="1" applyFill="1" applyBorder="1" applyAlignment="1"/>
    <xf numFmtId="0" fontId="0" fillId="0" borderId="0" xfId="0" applyAlignment="1">
      <alignment vertical="top"/>
    </xf>
    <xf numFmtId="0" fontId="8" fillId="2" borderId="0" xfId="2" applyFont="1" applyFill="1" applyBorder="1" applyAlignment="1"/>
    <xf numFmtId="168" fontId="7" fillId="0" borderId="0" xfId="0" applyNumberFormat="1" applyFont="1" applyAlignment="1">
      <alignment vertical="top"/>
    </xf>
    <xf numFmtId="0" fontId="8" fillId="0" borderId="0" xfId="0" applyFont="1" applyAlignment="1">
      <alignment horizontal="right" vertical="top" wrapText="1"/>
    </xf>
    <xf numFmtId="0" fontId="8" fillId="0" borderId="0" xfId="0" applyFont="1" applyAlignment="1">
      <alignment horizontal="right" wrapText="1"/>
    </xf>
    <xf numFmtId="0" fontId="7" fillId="0" borderId="0" xfId="0" applyFont="1" applyAlignment="1"/>
    <xf numFmtId="3" fontId="8" fillId="0" borderId="0" xfId="0" applyNumberFormat="1" applyFont="1" applyFill="1" applyBorder="1" applyAlignment="1" applyProtection="1">
      <alignment vertical="top" wrapText="1"/>
    </xf>
    <xf numFmtId="165" fontId="0" fillId="0" borderId="0" xfId="0" applyNumberFormat="1" applyFill="1" applyAlignment="1">
      <alignment vertical="top" wrapText="1"/>
    </xf>
    <xf numFmtId="3" fontId="0" fillId="0" borderId="0" xfId="0" applyNumberFormat="1" applyFill="1" applyAlignment="1">
      <alignment vertical="top" wrapText="1"/>
    </xf>
    <xf numFmtId="3" fontId="10" fillId="0" borderId="0" xfId="3" applyNumberFormat="1" applyFont="1"/>
    <xf numFmtId="0" fontId="7" fillId="0" borderId="0" xfId="3" applyFont="1" applyAlignment="1">
      <alignment horizontal="left"/>
    </xf>
    <xf numFmtId="0" fontId="8" fillId="0" borderId="0" xfId="3" applyFont="1" applyAlignment="1">
      <alignment horizontal="left"/>
    </xf>
    <xf numFmtId="177" fontId="7" fillId="0" borderId="0" xfId="3" applyNumberFormat="1" applyFont="1" applyAlignment="1">
      <alignment horizontal="left"/>
    </xf>
    <xf numFmtId="4" fontId="0" fillId="0" borderId="0" xfId="0" applyNumberFormat="1" applyFill="1" applyAlignment="1">
      <alignment vertical="top" wrapText="1"/>
    </xf>
    <xf numFmtId="49" fontId="7" fillId="0" borderId="0" xfId="0" applyNumberFormat="1" applyFont="1" applyBorder="1" applyAlignment="1">
      <alignment vertical="top"/>
    </xf>
    <xf numFmtId="0" fontId="7" fillId="0" borderId="2" xfId="0" applyFont="1" applyBorder="1" applyAlignment="1">
      <alignment horizontal="left"/>
    </xf>
    <xf numFmtId="0" fontId="0" fillId="0" borderId="2" xfId="0" applyFill="1" applyBorder="1">
      <alignment vertical="top"/>
    </xf>
    <xf numFmtId="4" fontId="0" fillId="0" borderId="0" xfId="0" applyNumberFormat="1" applyFill="1">
      <alignment vertical="top"/>
    </xf>
    <xf numFmtId="49" fontId="0" fillId="0" borderId="2" xfId="0" applyNumberFormat="1" applyFill="1" applyBorder="1" applyAlignment="1">
      <alignment horizontal="center"/>
    </xf>
    <xf numFmtId="0" fontId="0" fillId="0" borderId="0" xfId="0" applyFill="1">
      <alignment vertical="top"/>
    </xf>
    <xf numFmtId="0" fontId="0" fillId="0" borderId="0" xfId="0" applyFill="1" applyAlignment="1"/>
    <xf numFmtId="0" fontId="0" fillId="0" borderId="2" xfId="0" applyFill="1" applyBorder="1" applyAlignment="1"/>
    <xf numFmtId="0" fontId="0" fillId="0" borderId="0" xfId="0" applyFill="1" applyBorder="1" applyAlignment="1"/>
    <xf numFmtId="165" fontId="0" fillId="0" borderId="0" xfId="0" applyNumberFormat="1" applyFill="1">
      <alignment vertical="top"/>
    </xf>
    <xf numFmtId="49" fontId="0" fillId="0" borderId="2" xfId="0" applyNumberFormat="1" applyFill="1" applyBorder="1" applyAlignment="1">
      <alignment horizontal="center" vertical="top"/>
    </xf>
    <xf numFmtId="9" fontId="0" fillId="0" borderId="0" xfId="0" applyNumberFormat="1" applyFill="1">
      <alignment vertical="top"/>
    </xf>
    <xf numFmtId="164" fontId="0" fillId="0" borderId="0" xfId="0" applyNumberFormat="1" applyFill="1">
      <alignment vertical="top"/>
    </xf>
    <xf numFmtId="0" fontId="0" fillId="0" borderId="2" xfId="0" applyFill="1" applyBorder="1" applyAlignment="1">
      <alignment horizontal="left" vertical="top" wrapText="1" indent="3"/>
    </xf>
    <xf numFmtId="10" fontId="0" fillId="0" borderId="0" xfId="0" applyNumberFormat="1" applyFill="1">
      <alignment vertical="top"/>
    </xf>
    <xf numFmtId="178" fontId="0" fillId="0" borderId="0" xfId="0" applyNumberFormat="1" applyFill="1">
      <alignment vertical="top"/>
    </xf>
    <xf numFmtId="0" fontId="0" fillId="0" borderId="2" xfId="0" applyFill="1" applyBorder="1" applyAlignment="1">
      <alignment horizontal="left" vertical="top" wrapText="1"/>
    </xf>
    <xf numFmtId="174" fontId="0" fillId="0" borderId="0" xfId="0" applyNumberFormat="1" applyFill="1">
      <alignment vertical="top"/>
    </xf>
    <xf numFmtId="3" fontId="0" fillId="0" borderId="0" xfId="0" applyNumberFormat="1" applyFill="1">
      <alignment vertical="top"/>
    </xf>
    <xf numFmtId="3" fontId="19" fillId="0" borderId="0" xfId="0" applyNumberFormat="1" applyFont="1" applyFill="1">
      <alignment vertical="top"/>
    </xf>
    <xf numFmtId="0" fontId="0" fillId="0" borderId="2" xfId="0" applyFill="1" applyBorder="1" applyAlignment="1">
      <alignment vertical="top" wrapText="1"/>
    </xf>
    <xf numFmtId="0" fontId="0" fillId="0" borderId="0" xfId="0" applyFill="1" applyAlignment="1">
      <alignment horizontal="left" vertical="top" wrapText="1" indent="3"/>
    </xf>
    <xf numFmtId="49" fontId="0" fillId="0" borderId="2" xfId="0" applyNumberFormat="1" applyFill="1" applyBorder="1" applyAlignment="1">
      <alignment horizontal="left" indent="3"/>
    </xf>
    <xf numFmtId="9" fontId="0" fillId="0" borderId="0" xfId="0" applyNumberFormat="1" applyFill="1" applyAlignment="1">
      <alignment vertical="top" wrapText="1"/>
    </xf>
    <xf numFmtId="11" fontId="0" fillId="0" borderId="0" xfId="0" applyNumberFormat="1" applyFill="1">
      <alignment vertical="top"/>
    </xf>
    <xf numFmtId="4" fontId="18" fillId="0" borderId="0" xfId="0" applyNumberFormat="1" applyFont="1" applyFill="1">
      <alignment vertical="top"/>
    </xf>
    <xf numFmtId="175" fontId="0" fillId="0" borderId="0" xfId="0" applyNumberFormat="1" applyFill="1">
      <alignment vertical="top"/>
    </xf>
    <xf numFmtId="49" fontId="0" fillId="0" borderId="2" xfId="0" applyNumberFormat="1" applyFill="1" applyBorder="1" applyAlignment="1">
      <alignment horizontal="left" vertical="top" wrapText="1" indent="1"/>
    </xf>
    <xf numFmtId="49" fontId="8" fillId="0" borderId="2" xfId="0" applyNumberFormat="1" applyFont="1" applyBorder="1" applyAlignment="1"/>
    <xf numFmtId="49" fontId="8" fillId="2" borderId="2" xfId="0" applyNumberFormat="1" applyFont="1" applyFill="1" applyBorder="1" applyAlignment="1"/>
    <xf numFmtId="49" fontId="0" fillId="0" borderId="2" xfId="0" applyNumberFormat="1" applyBorder="1">
      <alignment vertical="top"/>
    </xf>
    <xf numFmtId="49" fontId="0" fillId="0" borderId="2" xfId="0" applyNumberFormat="1" applyFill="1" applyBorder="1" applyAlignment="1">
      <alignment horizontal="left" vertical="top" wrapText="1" indent="2"/>
    </xf>
    <xf numFmtId="49" fontId="0" fillId="0" borderId="2" xfId="0" applyNumberFormat="1" applyFill="1" applyBorder="1">
      <alignment vertical="top"/>
    </xf>
    <xf numFmtId="49" fontId="8" fillId="0" borderId="2" xfId="0" applyNumberFormat="1" applyFont="1" applyFill="1" applyBorder="1" applyAlignment="1"/>
    <xf numFmtId="49" fontId="0" fillId="0" borderId="2" xfId="0" applyNumberFormat="1" applyFill="1" applyBorder="1" applyAlignment="1">
      <alignment horizontal="left" vertical="top" wrapText="1"/>
    </xf>
    <xf numFmtId="49" fontId="8" fillId="0" borderId="2" xfId="0" applyNumberFormat="1" applyFont="1" applyFill="1" applyBorder="1" applyAlignment="1">
      <alignment horizontal="left" vertical="top" wrapText="1" indent="2"/>
    </xf>
    <xf numFmtId="49" fontId="0" fillId="0" borderId="2" xfId="0" applyNumberFormat="1" applyFill="1" applyBorder="1" applyAlignment="1">
      <alignment horizontal="left" vertical="top" wrapText="1" indent="3"/>
    </xf>
    <xf numFmtId="49" fontId="7" fillId="0" borderId="0" xfId="3" applyNumberFormat="1" applyFont="1"/>
    <xf numFmtId="49" fontId="8" fillId="0" borderId="2" xfId="0" applyNumberFormat="1" applyFont="1" applyBorder="1" applyAlignment="1">
      <alignment horizontal="centerContinuous"/>
    </xf>
    <xf numFmtId="49" fontId="8" fillId="0" borderId="2" xfId="0" applyNumberFormat="1" applyFont="1" applyBorder="1" applyAlignment="1">
      <alignment horizontal="center"/>
    </xf>
    <xf numFmtId="49" fontId="0" fillId="2" borderId="2" xfId="0" applyNumberFormat="1" applyFill="1" applyBorder="1" applyAlignment="1">
      <alignment horizontal="center"/>
    </xf>
    <xf numFmtId="0" fontId="7" fillId="0" borderId="0" xfId="0" applyNumberFormat="1" applyFont="1" applyAlignment="1">
      <alignment horizontal="left"/>
    </xf>
    <xf numFmtId="49" fontId="8" fillId="0" borderId="0" xfId="9" applyNumberFormat="1" applyFont="1" applyAlignment="1">
      <alignment vertical="top"/>
    </xf>
    <xf numFmtId="49" fontId="8" fillId="2" borderId="0" xfId="0" applyNumberFormat="1" applyFont="1" applyFill="1" applyBorder="1" applyAlignment="1">
      <alignment vertical="top"/>
    </xf>
    <xf numFmtId="49" fontId="0" fillId="0" borderId="0" xfId="0" applyNumberFormat="1" applyFill="1" applyBorder="1" applyAlignment="1">
      <alignment vertical="top"/>
    </xf>
    <xf numFmtId="49" fontId="8" fillId="0" borderId="0" xfId="0" applyNumberFormat="1" applyFont="1" applyFill="1" applyBorder="1" applyAlignment="1">
      <alignment vertical="top"/>
    </xf>
    <xf numFmtId="49" fontId="0" fillId="0" borderId="0" xfId="0" applyNumberFormat="1" applyBorder="1" applyAlignment="1">
      <alignment vertical="top"/>
    </xf>
    <xf numFmtId="49" fontId="8" fillId="0" borderId="0" xfId="0" applyNumberFormat="1" applyFont="1" applyAlignment="1">
      <alignment horizontal="centerContinuous" vertical="top"/>
    </xf>
    <xf numFmtId="49" fontId="8" fillId="0" borderId="0" xfId="0" applyNumberFormat="1" applyFont="1" applyBorder="1" applyAlignment="1">
      <alignment horizontal="center" vertical="top"/>
    </xf>
    <xf numFmtId="0" fontId="0" fillId="0" borderId="0" xfId="0" applyFill="1" applyBorder="1" applyAlignment="1">
      <alignment vertical="top"/>
    </xf>
    <xf numFmtId="165" fontId="0" fillId="0" borderId="0" xfId="0" applyNumberFormat="1" applyFill="1" applyBorder="1" applyAlignment="1">
      <alignment vertical="top"/>
    </xf>
    <xf numFmtId="0" fontId="0" fillId="0" borderId="0" xfId="0" applyFill="1" applyBorder="1" applyAlignment="1">
      <alignment horizontal="left" vertical="top"/>
    </xf>
    <xf numFmtId="0" fontId="0" fillId="0" borderId="0" xfId="0" applyBorder="1" applyAlignment="1">
      <alignment vertical="top"/>
    </xf>
    <xf numFmtId="165" fontId="0" fillId="0" borderId="2" xfId="0" applyNumberFormat="1" applyFill="1" applyBorder="1" applyAlignment="1">
      <alignment vertical="top"/>
    </xf>
    <xf numFmtId="0" fontId="0" fillId="0" borderId="5" xfId="0" applyBorder="1">
      <alignment vertical="top"/>
    </xf>
    <xf numFmtId="0" fontId="8" fillId="0" borderId="0" xfId="0" applyFont="1" applyBorder="1" applyAlignment="1">
      <alignment horizontal="center"/>
    </xf>
    <xf numFmtId="3" fontId="0" fillId="0" borderId="0" xfId="0" applyNumberFormat="1" applyFill="1" applyBorder="1">
      <alignment vertical="top"/>
    </xf>
    <xf numFmtId="0" fontId="0" fillId="0" borderId="0" xfId="0" applyNumberFormat="1">
      <alignment vertical="top"/>
    </xf>
    <xf numFmtId="0" fontId="8" fillId="0" borderId="7" xfId="0" applyNumberFormat="1" applyFont="1" applyBorder="1" applyAlignment="1"/>
    <xf numFmtId="0" fontId="7" fillId="0" borderId="0" xfId="0" applyNumberFormat="1" applyFont="1" applyAlignment="1">
      <alignment horizontal="left" vertical="top" indent="1"/>
    </xf>
    <xf numFmtId="0" fontId="7" fillId="0" borderId="0" xfId="0" applyNumberFormat="1" applyFont="1" applyAlignment="1">
      <alignment horizontal="left" vertical="top"/>
    </xf>
    <xf numFmtId="0" fontId="16" fillId="0" borderId="0" xfId="0" applyNumberFormat="1" applyFont="1">
      <alignment vertical="top"/>
    </xf>
    <xf numFmtId="0" fontId="8" fillId="0" borderId="0" xfId="0" applyNumberFormat="1" applyFont="1" applyBorder="1" applyAlignment="1"/>
    <xf numFmtId="0" fontId="9" fillId="0" borderId="0" xfId="9" applyNumberFormat="1" applyFont="1" applyAlignment="1">
      <alignment horizontal="left" vertical="center"/>
    </xf>
    <xf numFmtId="0" fontId="8" fillId="0" borderId="0" xfId="0" applyNumberFormat="1" applyFont="1">
      <alignment vertical="top"/>
    </xf>
    <xf numFmtId="0" fontId="8" fillId="2" borderId="0" xfId="2" applyNumberFormat="1" applyFont="1" applyFill="1" applyBorder="1"/>
    <xf numFmtId="0" fontId="7" fillId="0" borderId="0" xfId="0" applyNumberFormat="1" applyFont="1">
      <alignment vertical="top"/>
    </xf>
    <xf numFmtId="0" fontId="8" fillId="0" borderId="0" xfId="0" applyNumberFormat="1" applyFont="1" applyAlignment="1">
      <alignment horizontal="left"/>
    </xf>
    <xf numFmtId="179" fontId="0" fillId="0" borderId="0" xfId="6" applyFont="1" applyBorder="1">
      <alignment horizontal="right" vertical="top"/>
    </xf>
    <xf numFmtId="0" fontId="8" fillId="0" borderId="0" xfId="0" applyNumberFormat="1" applyFont="1" applyBorder="1" applyAlignment="1">
      <alignment horizontal="left" vertical="top"/>
    </xf>
    <xf numFmtId="49" fontId="8" fillId="2" borderId="0" xfId="0" applyNumberFormat="1" applyFont="1" applyFill="1" applyBorder="1" applyAlignment="1"/>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left"/>
    </xf>
    <xf numFmtId="49" fontId="7" fillId="0" borderId="2" xfId="0" applyNumberFormat="1" applyFont="1" applyFill="1" applyBorder="1" applyAlignment="1">
      <alignment horizontal="center"/>
    </xf>
    <xf numFmtId="0" fontId="7" fillId="0" borderId="2" xfId="0" applyFont="1" applyFill="1" applyBorder="1" applyAlignment="1">
      <alignment horizontal="left"/>
    </xf>
    <xf numFmtId="49" fontId="0" fillId="0" borderId="2" xfId="0" applyNumberFormat="1" applyBorder="1" applyAlignment="1">
      <alignment horizontal="left" vertical="top"/>
    </xf>
    <xf numFmtId="49" fontId="0" fillId="0" borderId="2" xfId="0" applyNumberFormat="1" applyBorder="1" applyAlignment="1">
      <alignment horizontal="left" vertical="top" indent="2"/>
    </xf>
    <xf numFmtId="0" fontId="0" fillId="0" borderId="0" xfId="0" applyNumberFormat="1" applyFont="1">
      <alignment vertical="top"/>
    </xf>
    <xf numFmtId="49" fontId="0" fillId="0" borderId="0" xfId="0" applyNumberFormat="1" applyFill="1" applyBorder="1" applyAlignment="1">
      <alignment horizontal="left" vertical="top" wrapText="1" indent="1"/>
    </xf>
    <xf numFmtId="0" fontId="8" fillId="0" borderId="10" xfId="0" applyNumberFormat="1" applyFont="1" applyBorder="1" applyAlignment="1"/>
    <xf numFmtId="49" fontId="0" fillId="0" borderId="2" xfId="0" applyNumberFormat="1" applyFill="1" applyBorder="1" applyAlignment="1">
      <alignment horizontal="left" vertical="top" indent="1"/>
    </xf>
    <xf numFmtId="49" fontId="7" fillId="0" borderId="2" xfId="0" applyNumberFormat="1" applyFont="1" applyFill="1" applyBorder="1" applyAlignment="1">
      <alignment horizontal="left" indent="1"/>
    </xf>
    <xf numFmtId="0" fontId="8" fillId="0" borderId="0" xfId="0" applyFont="1" applyFill="1" applyAlignment="1"/>
    <xf numFmtId="49" fontId="0" fillId="0" borderId="0" xfId="0" applyNumberFormat="1" applyBorder="1" applyAlignment="1">
      <alignment horizontal="center" vertical="top"/>
    </xf>
    <xf numFmtId="3" fontId="0" fillId="0" borderId="0" xfId="0" applyNumberFormat="1" applyBorder="1" applyAlignment="1">
      <alignment vertical="top"/>
    </xf>
    <xf numFmtId="0" fontId="8" fillId="0" borderId="9" xfId="0" applyNumberFormat="1" applyFont="1" applyBorder="1" applyAlignment="1">
      <alignment horizontal="left" vertical="top"/>
    </xf>
    <xf numFmtId="0" fontId="8" fillId="0" borderId="9" xfId="0" applyNumberFormat="1" applyFont="1" applyBorder="1" applyAlignment="1">
      <alignment horizontal="left"/>
    </xf>
    <xf numFmtId="0" fontId="8" fillId="0" borderId="9" xfId="0" applyNumberFormat="1" applyFont="1" applyBorder="1" applyAlignment="1"/>
    <xf numFmtId="0" fontId="16" fillId="0" borderId="0" xfId="0" applyNumberFormat="1" applyFont="1" applyAlignment="1">
      <alignment horizontal="right" vertical="top"/>
    </xf>
    <xf numFmtId="0" fontId="8" fillId="0" borderId="10" xfId="0" applyNumberFormat="1" applyFont="1" applyBorder="1" applyAlignment="1">
      <alignment horizontal="right"/>
    </xf>
    <xf numFmtId="49" fontId="0" fillId="0" borderId="2" xfId="0" applyNumberFormat="1" applyFill="1" applyBorder="1" applyAlignment="1">
      <alignment horizontal="left" vertical="top" indent="2"/>
    </xf>
    <xf numFmtId="49" fontId="7" fillId="0" borderId="2" xfId="0" applyNumberFormat="1" applyFont="1" applyFill="1" applyBorder="1" applyAlignment="1">
      <alignment horizontal="left"/>
    </xf>
    <xf numFmtId="49" fontId="7" fillId="0" borderId="0" xfId="0" applyNumberFormat="1" applyFont="1" applyBorder="1" applyAlignment="1">
      <alignment horizontal="left" vertical="top"/>
    </xf>
    <xf numFmtId="0" fontId="8" fillId="0" borderId="0" xfId="0" applyFont="1" applyBorder="1" applyAlignment="1">
      <alignment vertical="top"/>
    </xf>
    <xf numFmtId="0" fontId="0" fillId="0" borderId="0" xfId="0" applyAlignment="1">
      <alignment horizontal="left" vertical="top" indent="1"/>
    </xf>
    <xf numFmtId="180" fontId="8" fillId="2" borderId="0" xfId="0" applyNumberFormat="1" applyFont="1" applyFill="1">
      <alignment vertical="top"/>
    </xf>
    <xf numFmtId="0" fontId="8" fillId="2" borderId="0" xfId="0" applyFont="1" applyFill="1">
      <alignment vertical="top"/>
    </xf>
    <xf numFmtId="0" fontId="8" fillId="2" borderId="0" xfId="0" applyFont="1" applyFill="1" applyAlignment="1">
      <alignment vertical="top" wrapText="1"/>
    </xf>
    <xf numFmtId="180" fontId="7" fillId="0" borderId="0" xfId="0" applyNumberFormat="1" applyFont="1">
      <alignment vertical="top"/>
    </xf>
    <xf numFmtId="0" fontId="7" fillId="0" borderId="2" xfId="0" applyFont="1" applyBorder="1">
      <alignment vertical="top"/>
    </xf>
    <xf numFmtId="49" fontId="7" fillId="0" borderId="2" xfId="0" applyNumberFormat="1" applyFont="1" applyBorder="1" applyAlignment="1">
      <alignment horizontal="left" vertical="top" indent="1"/>
    </xf>
    <xf numFmtId="49" fontId="7" fillId="0" borderId="0" xfId="0" applyNumberFormat="1" applyFont="1" applyFill="1" applyBorder="1" applyAlignment="1">
      <alignment vertical="top"/>
    </xf>
    <xf numFmtId="165" fontId="7" fillId="0" borderId="0" xfId="0" applyNumberFormat="1" applyFont="1" applyFill="1" applyAlignment="1"/>
    <xf numFmtId="0" fontId="7" fillId="0" borderId="2" xfId="0" applyNumberFormat="1" applyFont="1" applyFill="1" applyBorder="1" applyAlignment="1"/>
    <xf numFmtId="3" fontId="7" fillId="0" borderId="0" xfId="0" applyNumberFormat="1" applyFont="1" applyFill="1" applyAlignment="1"/>
    <xf numFmtId="0" fontId="7" fillId="0" borderId="0" xfId="0" applyNumberFormat="1" applyFont="1" applyFill="1" applyBorder="1" applyAlignment="1"/>
    <xf numFmtId="49" fontId="7" fillId="0" borderId="2" xfId="0" applyNumberFormat="1" applyFont="1" applyFill="1" applyBorder="1" applyAlignment="1">
      <alignment horizontal="left" vertical="top" wrapText="1" indent="1"/>
    </xf>
    <xf numFmtId="0" fontId="7" fillId="0" borderId="0" xfId="0" applyFont="1" applyFill="1" applyBorder="1">
      <alignment vertical="top"/>
    </xf>
    <xf numFmtId="49" fontId="7" fillId="0" borderId="2" xfId="0" applyNumberFormat="1" applyFont="1" applyFill="1" applyBorder="1" applyAlignment="1">
      <alignment horizontal="left" vertical="top" indent="1"/>
    </xf>
    <xf numFmtId="49" fontId="7" fillId="0" borderId="2" xfId="0" applyNumberFormat="1" applyFont="1" applyFill="1" applyBorder="1" applyAlignment="1">
      <alignment horizontal="left" vertical="top"/>
    </xf>
    <xf numFmtId="0" fontId="7" fillId="0" borderId="0" xfId="0" applyFont="1" applyFill="1">
      <alignment vertical="top"/>
    </xf>
    <xf numFmtId="0" fontId="8" fillId="0" borderId="0" xfId="0" applyFont="1" applyFill="1">
      <alignment vertical="top"/>
    </xf>
    <xf numFmtId="49" fontId="7" fillId="0" borderId="0" xfId="0" applyNumberFormat="1" applyFont="1" applyFill="1" applyBorder="1" applyAlignment="1"/>
    <xf numFmtId="49" fontId="8" fillId="0" borderId="2" xfId="0" applyNumberFormat="1" applyFont="1" applyFill="1" applyBorder="1">
      <alignment vertical="top"/>
    </xf>
    <xf numFmtId="49" fontId="0" fillId="0" borderId="0" xfId="0" applyNumberFormat="1" applyFill="1" applyBorder="1" applyAlignment="1">
      <alignment horizontal="center" vertical="top"/>
    </xf>
    <xf numFmtId="49" fontId="0" fillId="0" borderId="0" xfId="0" applyNumberFormat="1" applyFill="1" applyBorder="1" applyAlignment="1">
      <alignment horizontal="left" vertical="top" indent="1"/>
    </xf>
    <xf numFmtId="0" fontId="0" fillId="0" borderId="5" xfId="0" applyFill="1" applyBorder="1">
      <alignment vertical="top"/>
    </xf>
    <xf numFmtId="49" fontId="8" fillId="3" borderId="2" xfId="0" applyNumberFormat="1" applyFont="1" applyFill="1" applyBorder="1" applyAlignment="1"/>
    <xf numFmtId="0" fontId="0" fillId="3" borderId="0" xfId="0" applyFill="1" applyBorder="1" applyAlignment="1"/>
    <xf numFmtId="0" fontId="7" fillId="0" borderId="0" xfId="0" applyFont="1" applyFill="1" applyBorder="1" applyAlignment="1">
      <alignment vertical="top"/>
    </xf>
    <xf numFmtId="3" fontId="7" fillId="0" borderId="0" xfId="0" applyNumberFormat="1" applyFont="1" applyFill="1" applyBorder="1">
      <alignment vertical="top"/>
    </xf>
    <xf numFmtId="0" fontId="7" fillId="0" borderId="0" xfId="0" applyFont="1" applyFill="1" applyBorder="1" applyAlignment="1"/>
    <xf numFmtId="0" fontId="7" fillId="0" borderId="0" xfId="0" applyFont="1" applyFill="1" applyAlignment="1"/>
    <xf numFmtId="181" fontId="8" fillId="0" borderId="0" xfId="1" applyNumberFormat="1" applyFont="1" applyBorder="1" applyAlignment="1">
      <alignment horizontal="center"/>
    </xf>
    <xf numFmtId="181" fontId="0" fillId="0" borderId="0" xfId="1" applyNumberFormat="1" applyFont="1" applyFill="1" applyBorder="1" applyAlignment="1">
      <alignment vertical="top"/>
    </xf>
    <xf numFmtId="1" fontId="0" fillId="0" borderId="0" xfId="0" applyNumberFormat="1" applyFill="1" applyBorder="1">
      <alignment vertical="top"/>
    </xf>
    <xf numFmtId="0" fontId="7" fillId="0" borderId="2" xfId="0" applyNumberFormat="1" applyFont="1" applyFill="1" applyBorder="1" applyAlignment="1">
      <alignment horizontal="left"/>
    </xf>
    <xf numFmtId="0" fontId="7" fillId="0" borderId="2" xfId="0" applyNumberFormat="1" applyFont="1" applyFill="1" applyBorder="1" applyAlignment="1">
      <alignment horizontal="left" vertical="top"/>
    </xf>
    <xf numFmtId="0" fontId="8" fillId="0" borderId="0" xfId="0" applyFont="1" applyFill="1" applyBorder="1" applyAlignment="1"/>
    <xf numFmtId="49" fontId="8" fillId="0" borderId="0" xfId="0" applyNumberFormat="1" applyFont="1" applyFill="1" applyBorder="1" applyAlignment="1">
      <alignment horizontal="left"/>
    </xf>
    <xf numFmtId="49" fontId="8" fillId="0" borderId="2" xfId="0" applyNumberFormat="1" applyFont="1" applyFill="1" applyBorder="1" applyAlignment="1">
      <alignment horizontal="left"/>
    </xf>
    <xf numFmtId="181" fontId="8" fillId="0" borderId="0" xfId="1" applyNumberFormat="1" applyFont="1" applyFill="1" applyBorder="1" applyAlignment="1">
      <alignment horizontal="left"/>
    </xf>
    <xf numFmtId="181" fontId="7" fillId="0" borderId="0" xfId="1" applyNumberFormat="1" applyFont="1" applyFill="1" applyBorder="1" applyAlignment="1">
      <alignment horizontal="left"/>
    </xf>
    <xf numFmtId="181" fontId="0" fillId="0" borderId="0" xfId="1" applyNumberFormat="1" applyFont="1" applyBorder="1" applyAlignment="1">
      <alignment vertical="top"/>
    </xf>
    <xf numFmtId="11" fontId="0" fillId="0" borderId="0" xfId="0" applyNumberFormat="1" applyFill="1" applyBorder="1">
      <alignment vertical="top"/>
    </xf>
    <xf numFmtId="165" fontId="0" fillId="0" borderId="0" xfId="0" applyNumberFormat="1" applyFill="1" applyBorder="1">
      <alignment vertical="top"/>
    </xf>
    <xf numFmtId="181" fontId="0" fillId="0" borderId="5" xfId="1" applyNumberFormat="1" applyFont="1" applyFill="1" applyBorder="1" applyAlignment="1">
      <alignment vertical="top"/>
    </xf>
    <xf numFmtId="49" fontId="7" fillId="0" borderId="0" xfId="0" applyNumberFormat="1" applyFont="1" applyFill="1" applyBorder="1" applyAlignment="1">
      <alignment horizontal="left" vertical="top" wrapText="1" indent="1"/>
    </xf>
    <xf numFmtId="0" fontId="0" fillId="0" borderId="0" xfId="0" applyFont="1" applyFill="1" applyBorder="1">
      <alignment vertical="top"/>
    </xf>
    <xf numFmtId="49" fontId="7" fillId="0" borderId="0" xfId="0" applyNumberFormat="1" applyFont="1" applyFill="1" applyBorder="1" applyAlignment="1">
      <alignment horizontal="left"/>
    </xf>
    <xf numFmtId="49" fontId="0" fillId="0" borderId="0" xfId="0" applyNumberFormat="1" applyFont="1" applyFill="1" applyBorder="1" applyAlignment="1">
      <alignment vertical="top"/>
    </xf>
    <xf numFmtId="0" fontId="7" fillId="0" borderId="0" xfId="3" applyFont="1" applyBorder="1" applyAlignment="1"/>
    <xf numFmtId="164" fontId="7" fillId="0" borderId="0" xfId="0" applyNumberFormat="1" applyFont="1" applyBorder="1" applyAlignment="1">
      <alignment vertical="top" wrapText="1"/>
    </xf>
    <xf numFmtId="175" fontId="7" fillId="0" borderId="0" xfId="0" applyNumberFormat="1" applyFont="1" applyBorder="1" applyAlignment="1">
      <alignment vertical="top" wrapText="1"/>
    </xf>
    <xf numFmtId="0" fontId="7" fillId="0" borderId="0" xfId="0" applyFont="1" applyBorder="1" applyAlignment="1">
      <alignment vertical="top" wrapText="1"/>
    </xf>
    <xf numFmtId="2" fontId="7" fillId="0" borderId="0" xfId="0" applyNumberFormat="1" applyFont="1" applyBorder="1" applyAlignment="1">
      <alignment vertical="top" wrapText="1"/>
    </xf>
    <xf numFmtId="0" fontId="8" fillId="0" borderId="0" xfId="0" applyFont="1" applyBorder="1" applyAlignment="1"/>
    <xf numFmtId="174" fontId="11" fillId="0" borderId="0" xfId="0" applyNumberFormat="1" applyFont="1" applyBorder="1" applyAlignment="1"/>
    <xf numFmtId="175" fontId="11" fillId="0" borderId="0" xfId="0" applyNumberFormat="1" applyFont="1" applyBorder="1" applyAlignment="1"/>
    <xf numFmtId="164" fontId="11" fillId="0" borderId="0" xfId="0" applyNumberFormat="1" applyFont="1" applyBorder="1" applyAlignment="1"/>
    <xf numFmtId="0" fontId="7" fillId="0" borderId="0" xfId="0" applyFont="1" applyBorder="1" applyAlignment="1"/>
    <xf numFmtId="4" fontId="7" fillId="0" borderId="0" xfId="0" applyNumberFormat="1" applyFont="1" applyBorder="1" applyAlignment="1"/>
    <xf numFmtId="0" fontId="11" fillId="0" borderId="0" xfId="0" applyNumberFormat="1" applyFont="1" applyBorder="1" applyAlignment="1"/>
    <xf numFmtId="176" fontId="11" fillId="0" borderId="0" xfId="0" applyNumberFormat="1" applyFont="1" applyBorder="1" applyAlignment="1"/>
    <xf numFmtId="176" fontId="7" fillId="0" borderId="0" xfId="0" applyNumberFormat="1" applyFont="1" applyBorder="1" applyAlignment="1"/>
    <xf numFmtId="3" fontId="7" fillId="0" borderId="0" xfId="0" applyNumberFormat="1" applyFont="1" applyBorder="1" applyAlignment="1"/>
    <xf numFmtId="3" fontId="0" fillId="0" borderId="0" xfId="0" applyNumberFormat="1" applyBorder="1" applyAlignment="1">
      <alignment wrapText="1"/>
    </xf>
    <xf numFmtId="49" fontId="7" fillId="0" borderId="0" xfId="0" applyNumberFormat="1" applyFont="1" applyAlignment="1">
      <alignment vertical="top"/>
    </xf>
    <xf numFmtId="3" fontId="28" fillId="0" borderId="0" xfId="0" applyNumberFormat="1" applyFont="1">
      <alignment vertical="top"/>
    </xf>
    <xf numFmtId="49" fontId="8" fillId="0" borderId="0" xfId="0" applyNumberFormat="1" applyFont="1" applyFill="1" applyBorder="1" applyAlignment="1"/>
    <xf numFmtId="49" fontId="7" fillId="0" borderId="0" xfId="0" applyNumberFormat="1" applyFont="1" applyFill="1" applyBorder="1" applyAlignment="1">
      <alignment horizontal="left" indent="1"/>
    </xf>
    <xf numFmtId="0" fontId="0" fillId="0" borderId="0" xfId="0" applyNumberFormat="1" applyAlignment="1">
      <alignment horizontal="left" vertical="top" indent="1"/>
    </xf>
    <xf numFmtId="49" fontId="8" fillId="3" borderId="0" xfId="0" applyNumberFormat="1" applyFont="1" applyFill="1" applyBorder="1">
      <alignment vertical="top"/>
    </xf>
    <xf numFmtId="49" fontId="0" fillId="0" borderId="0" xfId="0" applyNumberFormat="1" applyFill="1" applyBorder="1">
      <alignment vertical="top"/>
    </xf>
    <xf numFmtId="3" fontId="8" fillId="0" borderId="0" xfId="0" applyNumberFormat="1" applyFont="1" applyFill="1" applyBorder="1">
      <alignment vertical="top"/>
    </xf>
    <xf numFmtId="0" fontId="8" fillId="3" borderId="2" xfId="0" applyNumberFormat="1" applyFont="1" applyFill="1" applyBorder="1" applyAlignment="1">
      <alignment horizontal="left"/>
    </xf>
    <xf numFmtId="49" fontId="7" fillId="0" borderId="2" xfId="0" applyNumberFormat="1" applyFont="1" applyFill="1" applyBorder="1" applyAlignment="1">
      <alignment horizontal="left" vertical="top" wrapText="1"/>
    </xf>
    <xf numFmtId="0" fontId="8" fillId="0" borderId="5" xfId="0" applyFont="1" applyFill="1" applyBorder="1" applyAlignment="1"/>
    <xf numFmtId="49" fontId="7" fillId="0" borderId="0" xfId="0" applyNumberFormat="1" applyFont="1" applyFill="1" applyBorder="1" applyAlignment="1">
      <alignment horizontal="center" vertical="top"/>
    </xf>
    <xf numFmtId="3" fontId="0" fillId="0" borderId="0" xfId="0" applyNumberFormat="1" applyFont="1" applyFill="1" applyBorder="1" applyAlignment="1">
      <alignment vertical="top"/>
    </xf>
    <xf numFmtId="49" fontId="8" fillId="0" borderId="2" xfId="0" applyNumberFormat="1" applyFont="1" applyFill="1" applyBorder="1" applyAlignment="1">
      <alignment horizontal="left" vertical="top" wrapText="1"/>
    </xf>
    <xf numFmtId="0" fontId="8" fillId="0" borderId="0" xfId="0" applyFont="1" applyFill="1" applyBorder="1">
      <alignment vertical="top"/>
    </xf>
    <xf numFmtId="3" fontId="8" fillId="0" borderId="5" xfId="0" applyNumberFormat="1" applyFont="1" applyFill="1" applyBorder="1">
      <alignment vertical="top"/>
    </xf>
    <xf numFmtId="0" fontId="8" fillId="3" borderId="0" xfId="0" applyNumberFormat="1" applyFont="1" applyFill="1" applyBorder="1" applyAlignment="1">
      <alignment horizontal="left"/>
    </xf>
    <xf numFmtId="0" fontId="8" fillId="0" borderId="2" xfId="0" applyNumberFormat="1" applyFont="1" applyFill="1" applyBorder="1" applyAlignment="1">
      <alignment horizontal="left"/>
    </xf>
    <xf numFmtId="0" fontId="8" fillId="0" borderId="0" xfId="0" applyNumberFormat="1" applyFont="1" applyFill="1" applyBorder="1" applyAlignment="1">
      <alignment horizontal="left"/>
    </xf>
    <xf numFmtId="0" fontId="0" fillId="0" borderId="0" xfId="1" applyNumberFormat="1" applyFont="1" applyFill="1" applyBorder="1" applyAlignment="1">
      <alignment horizontal="left" vertical="top" indent="5"/>
    </xf>
    <xf numFmtId="170" fontId="0" fillId="0" borderId="0" xfId="1" applyNumberFormat="1" applyFont="1" applyFill="1" applyBorder="1" applyAlignment="1">
      <alignment vertical="top"/>
    </xf>
    <xf numFmtId="181" fontId="29" fillId="0" borderId="0" xfId="1" applyNumberFormat="1" applyFont="1" applyFill="1" applyAlignment="1">
      <alignment vertical="top"/>
    </xf>
    <xf numFmtId="181" fontId="0" fillId="0" borderId="0" xfId="1" applyNumberFormat="1" applyFont="1" applyFill="1" applyAlignment="1"/>
    <xf numFmtId="181" fontId="8" fillId="0" borderId="0" xfId="1" applyNumberFormat="1" applyFont="1" applyFill="1" applyAlignment="1"/>
    <xf numFmtId="3" fontId="7" fillId="0" borderId="0" xfId="0" applyNumberFormat="1" applyFont="1" applyFill="1" applyBorder="1" applyAlignment="1">
      <alignment vertical="top"/>
    </xf>
    <xf numFmtId="181" fontId="0" fillId="0" borderId="0" xfId="1" quotePrefix="1" applyNumberFormat="1" applyFont="1" applyFill="1" applyAlignment="1"/>
    <xf numFmtId="181" fontId="7" fillId="0" borderId="0" xfId="1" applyNumberFormat="1" applyFont="1" applyFill="1" applyBorder="1" applyAlignment="1">
      <alignment horizontal="right" vertical="top"/>
    </xf>
    <xf numFmtId="0" fontId="0" fillId="0" borderId="0" xfId="1" applyNumberFormat="1" applyFont="1" applyFill="1" applyBorder="1" applyAlignment="1">
      <alignment vertical="top"/>
    </xf>
    <xf numFmtId="3" fontId="8" fillId="0" borderId="0" xfId="0" applyNumberFormat="1" applyFont="1" applyFill="1" applyBorder="1" applyAlignment="1">
      <alignment horizontal="right" vertical="top"/>
    </xf>
    <xf numFmtId="49" fontId="7" fillId="0" borderId="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indent="2"/>
    </xf>
    <xf numFmtId="49" fontId="0" fillId="0" borderId="0" xfId="0" applyNumberFormat="1" applyFill="1" applyBorder="1" applyAlignment="1">
      <alignment horizontal="center"/>
    </xf>
    <xf numFmtId="49" fontId="7" fillId="0" borderId="0" xfId="0" applyNumberFormat="1" applyFont="1" applyFill="1" applyBorder="1" applyAlignment="1">
      <alignment horizontal="left" vertical="top" wrapText="1" indent="3"/>
    </xf>
    <xf numFmtId="49" fontId="0" fillId="0" borderId="0" xfId="0" applyNumberFormat="1" applyFill="1" applyBorder="1" applyAlignment="1">
      <alignment horizontal="left" vertical="top" wrapText="1" indent="2"/>
    </xf>
    <xf numFmtId="49" fontId="8" fillId="0" borderId="0" xfId="0" applyNumberFormat="1" applyFont="1" applyFill="1" applyBorder="1" applyAlignment="1">
      <alignment horizontal="left" vertical="top" wrapText="1"/>
    </xf>
    <xf numFmtId="49" fontId="8" fillId="0" borderId="0" xfId="0" applyNumberFormat="1" applyFont="1" applyFill="1" applyBorder="1" applyAlignment="1">
      <alignment horizontal="center" vertical="top"/>
    </xf>
    <xf numFmtId="49" fontId="0" fillId="0" borderId="0" xfId="0" applyNumberFormat="1" applyFill="1" applyBorder="1" applyAlignment="1">
      <alignment horizontal="left" vertical="top" wrapText="1" indent="3"/>
    </xf>
    <xf numFmtId="49" fontId="8" fillId="0" borderId="0" xfId="0" applyNumberFormat="1" applyFont="1" applyBorder="1" applyAlignment="1">
      <alignment horizontal="centerContinuous" wrapText="1"/>
    </xf>
    <xf numFmtId="10" fontId="0" fillId="0" borderId="0" xfId="4" applyNumberFormat="1" applyFont="1" applyFill="1" applyAlignment="1"/>
    <xf numFmtId="49" fontId="8" fillId="0" borderId="0" xfId="0" applyNumberFormat="1" applyFont="1" applyBorder="1" applyAlignment="1"/>
    <xf numFmtId="43" fontId="0" fillId="0" borderId="0" xfId="1" applyNumberFormat="1" applyFont="1" applyFill="1" applyBorder="1" applyAlignment="1">
      <alignment vertical="top"/>
    </xf>
    <xf numFmtId="4" fontId="0" fillId="0" borderId="0" xfId="0" applyNumberFormat="1" applyFill="1" applyBorder="1">
      <alignment vertical="top"/>
    </xf>
    <xf numFmtId="49" fontId="27" fillId="0" borderId="2" xfId="0" applyNumberFormat="1" applyFont="1" applyFill="1" applyBorder="1" applyAlignment="1">
      <alignment horizontal="left" vertical="top" wrapText="1"/>
    </xf>
    <xf numFmtId="49" fontId="0" fillId="0" borderId="2" xfId="0" applyNumberFormat="1" applyFill="1" applyBorder="1" applyAlignment="1">
      <alignment horizontal="left"/>
    </xf>
    <xf numFmtId="0" fontId="0" fillId="0" borderId="0" xfId="0" applyFill="1" applyBorder="1" applyAlignment="1">
      <alignment horizontal="center" vertical="top"/>
    </xf>
    <xf numFmtId="165" fontId="7" fillId="0" borderId="0" xfId="0" applyNumberFormat="1" applyFont="1" applyFill="1" applyBorder="1">
      <alignment vertical="top"/>
    </xf>
    <xf numFmtId="181" fontId="0" fillId="0" borderId="0" xfId="1" applyNumberFormat="1" applyFont="1" applyAlignment="1">
      <alignment vertical="top"/>
    </xf>
    <xf numFmtId="0" fontId="16" fillId="0" borderId="0" xfId="0" applyNumberFormat="1" applyFont="1" applyAlignment="1"/>
    <xf numFmtId="0" fontId="7" fillId="3" borderId="0" xfId="0" applyNumberFormat="1" applyFont="1" applyFill="1" applyBorder="1" applyAlignment="1">
      <alignment horizontal="left"/>
    </xf>
    <xf numFmtId="49" fontId="7" fillId="0" borderId="0" xfId="0" applyNumberFormat="1" applyFont="1" applyFill="1" applyBorder="1" applyAlignment="1">
      <alignment horizontal="left" vertical="top"/>
    </xf>
    <xf numFmtId="49" fontId="7" fillId="0" borderId="0" xfId="0" applyNumberFormat="1" applyFont="1" applyFill="1" applyBorder="1" applyAlignment="1">
      <alignment horizontal="left" vertical="top" indent="1"/>
    </xf>
    <xf numFmtId="181" fontId="0" fillId="0" borderId="0" xfId="0" applyNumberFormat="1" applyFill="1" applyBorder="1">
      <alignment vertical="top"/>
    </xf>
    <xf numFmtId="49" fontId="0" fillId="0" borderId="0" xfId="0" applyNumberFormat="1" applyFill="1" applyBorder="1" applyAlignment="1">
      <alignment horizontal="left" vertical="top"/>
    </xf>
    <xf numFmtId="49" fontId="0" fillId="0" borderId="0" xfId="0" applyNumberFormat="1" applyBorder="1" applyAlignment="1">
      <alignment horizontal="left" vertical="top"/>
    </xf>
    <xf numFmtId="0" fontId="7" fillId="0" borderId="0" xfId="0" applyNumberFormat="1" applyFont="1" applyFill="1" applyBorder="1" applyAlignment="1">
      <alignment horizontal="left" vertical="top"/>
    </xf>
    <xf numFmtId="49" fontId="8" fillId="0" borderId="0" xfId="0" applyNumberFormat="1" applyFont="1" applyBorder="1" applyAlignment="1">
      <alignment horizontal="center"/>
    </xf>
    <xf numFmtId="0" fontId="0" fillId="0" borderId="2" xfId="0" applyBorder="1" applyAlignment="1">
      <alignment horizontal="left" indent="1"/>
    </xf>
    <xf numFmtId="0" fontId="7" fillId="0" borderId="2" xfId="0" applyFont="1" applyFill="1" applyBorder="1" applyAlignment="1">
      <alignment horizontal="left" indent="1"/>
    </xf>
    <xf numFmtId="165" fontId="8" fillId="0" borderId="0" xfId="0" applyNumberFormat="1" applyFont="1" applyFill="1" applyBorder="1">
      <alignment vertical="top"/>
    </xf>
    <xf numFmtId="181" fontId="8" fillId="0" borderId="5" xfId="1" applyNumberFormat="1" applyFont="1" applyBorder="1" applyAlignment="1">
      <alignment horizontal="center"/>
    </xf>
    <xf numFmtId="181" fontId="7" fillId="0" borderId="0" xfId="1" applyNumberFormat="1" applyFont="1" applyFill="1" applyBorder="1" applyAlignment="1">
      <alignment vertical="top" wrapText="1"/>
    </xf>
    <xf numFmtId="0" fontId="8" fillId="0" borderId="2" xfId="0" applyNumberFormat="1" applyFont="1" applyFill="1" applyBorder="1" applyAlignment="1">
      <alignment horizontal="left" vertical="top"/>
    </xf>
    <xf numFmtId="0" fontId="8" fillId="0" borderId="0" xfId="0" applyNumberFormat="1" applyFont="1" applyFill="1" applyBorder="1" applyAlignment="1">
      <alignment horizontal="left" vertical="top"/>
    </xf>
    <xf numFmtId="49" fontId="7"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0" fontId="8" fillId="0" borderId="0" xfId="0" applyNumberFormat="1" applyFont="1" applyFill="1" applyBorder="1" applyAlignment="1">
      <alignment horizontal="center" vertical="top"/>
    </xf>
    <xf numFmtId="0" fontId="8" fillId="0" borderId="0" xfId="0" applyFont="1" applyFill="1" applyBorder="1" applyAlignment="1">
      <alignment vertical="top"/>
    </xf>
    <xf numFmtId="0" fontId="0" fillId="0" borderId="0" xfId="0" applyBorder="1" applyAlignment="1">
      <alignment horizontal="center" vertical="top"/>
    </xf>
    <xf numFmtId="3" fontId="0" fillId="0" borderId="0" xfId="0" applyNumberFormat="1" applyFill="1" applyBorder="1" applyAlignment="1">
      <alignment vertical="top"/>
    </xf>
    <xf numFmtId="0" fontId="0" fillId="0" borderId="0" xfId="0" applyFill="1" applyAlignment="1">
      <alignment vertical="top"/>
    </xf>
    <xf numFmtId="0" fontId="7" fillId="0" borderId="0" xfId="0" applyFont="1" applyFill="1" applyAlignment="1">
      <alignment vertical="top"/>
    </xf>
    <xf numFmtId="49" fontId="8" fillId="0" borderId="0" xfId="0" applyNumberFormat="1" applyFont="1" applyFill="1" applyBorder="1" applyAlignment="1">
      <alignment horizontal="left" vertical="top"/>
    </xf>
    <xf numFmtId="49" fontId="8" fillId="0" borderId="2" xfId="0" applyNumberFormat="1" applyFont="1" applyFill="1" applyBorder="1" applyAlignment="1">
      <alignment horizontal="left" vertical="top"/>
    </xf>
    <xf numFmtId="181" fontId="8" fillId="0" borderId="0" xfId="1" applyNumberFormat="1" applyFont="1" applyFill="1" applyBorder="1" applyAlignment="1">
      <alignment horizontal="left" vertical="top"/>
    </xf>
    <xf numFmtId="0" fontId="7" fillId="3" borderId="0" xfId="0" applyNumberFormat="1" applyFont="1" applyFill="1" applyBorder="1" applyAlignment="1">
      <alignment horizontal="left" vertical="top"/>
    </xf>
    <xf numFmtId="0" fontId="8" fillId="0" borderId="0" xfId="0" applyFont="1" applyFill="1" applyAlignment="1">
      <alignment vertical="top"/>
    </xf>
    <xf numFmtId="181" fontId="7" fillId="0" borderId="0" xfId="1" applyNumberFormat="1" applyFont="1" applyFill="1" applyBorder="1" applyAlignment="1">
      <alignment horizontal="left" vertical="top"/>
    </xf>
    <xf numFmtId="181" fontId="8" fillId="0" borderId="0" xfId="1" applyNumberFormat="1" applyFont="1" applyFill="1" applyBorder="1" applyAlignment="1">
      <alignment horizontal="right" vertical="top"/>
    </xf>
    <xf numFmtId="3" fontId="8" fillId="0" borderId="0" xfId="0" applyNumberFormat="1" applyFont="1" applyFill="1" applyBorder="1" applyAlignment="1">
      <alignment horizontal="left" vertical="top"/>
    </xf>
    <xf numFmtId="0" fontId="32" fillId="0" borderId="0" xfId="0" applyFont="1" applyBorder="1" applyAlignment="1">
      <alignment vertical="top"/>
    </xf>
    <xf numFmtId="0" fontId="32" fillId="0" borderId="0" xfId="0" applyFont="1" applyFill="1" applyBorder="1" applyAlignment="1">
      <alignment vertical="top"/>
    </xf>
    <xf numFmtId="49" fontId="20" fillId="0" borderId="2" xfId="0" applyNumberFormat="1" applyFont="1" applyFill="1" applyBorder="1" applyAlignment="1">
      <alignment horizontal="left" vertical="top"/>
    </xf>
    <xf numFmtId="0" fontId="32" fillId="0" borderId="2" xfId="0" applyFont="1" applyBorder="1" applyAlignment="1">
      <alignment vertical="top"/>
    </xf>
    <xf numFmtId="0" fontId="32" fillId="0" borderId="2" xfId="0" applyFont="1" applyFill="1" applyBorder="1" applyAlignment="1">
      <alignment vertical="top"/>
    </xf>
    <xf numFmtId="0" fontId="32" fillId="0" borderId="2" xfId="0" applyFont="1" applyBorder="1">
      <alignment vertical="top"/>
    </xf>
    <xf numFmtId="49" fontId="32" fillId="0" borderId="2" xfId="0" applyNumberFormat="1" applyFont="1" applyFill="1" applyBorder="1" applyAlignment="1">
      <alignment horizontal="left" vertical="top"/>
    </xf>
    <xf numFmtId="0" fontId="32" fillId="0" borderId="2" xfId="0" applyFont="1" applyFill="1" applyBorder="1">
      <alignment vertical="top"/>
    </xf>
    <xf numFmtId="49" fontId="32" fillId="0" borderId="2" xfId="0" applyNumberFormat="1" applyFont="1" applyFill="1" applyBorder="1" applyAlignment="1">
      <alignment horizontal="center" vertical="top"/>
    </xf>
    <xf numFmtId="49" fontId="20" fillId="0" borderId="2" xfId="0" applyNumberFormat="1" applyFont="1" applyFill="1" applyBorder="1" applyAlignment="1">
      <alignment horizontal="center" vertical="top"/>
    </xf>
    <xf numFmtId="0" fontId="32" fillId="0" borderId="2" xfId="0" applyFont="1" applyBorder="1" applyAlignment="1">
      <alignment horizontal="left" vertical="top"/>
    </xf>
    <xf numFmtId="49" fontId="20" fillId="0" borderId="2" xfId="0" applyNumberFormat="1" applyFont="1" applyFill="1" applyBorder="1" applyAlignment="1">
      <alignment horizontal="left"/>
    </xf>
    <xf numFmtId="49" fontId="32" fillId="0" borderId="2" xfId="0" applyNumberFormat="1" applyFont="1" applyBorder="1" applyAlignment="1">
      <alignment horizontal="left" vertical="top"/>
    </xf>
    <xf numFmtId="49" fontId="20" fillId="0" borderId="2" xfId="0" applyNumberFormat="1" applyFont="1" applyFill="1" applyBorder="1" applyAlignment="1">
      <alignment vertical="top"/>
    </xf>
    <xf numFmtId="49" fontId="32" fillId="0" borderId="2" xfId="0" applyNumberFormat="1" applyFont="1" applyFill="1" applyBorder="1" applyAlignment="1">
      <alignment horizontal="left"/>
    </xf>
    <xf numFmtId="49" fontId="32" fillId="0" borderId="2" xfId="0" applyNumberFormat="1" applyFont="1" applyFill="1" applyBorder="1">
      <alignment vertical="top"/>
    </xf>
    <xf numFmtId="49" fontId="0" fillId="0" borderId="0" xfId="0" applyNumberFormat="1" applyFill="1" applyBorder="1" applyAlignment="1"/>
    <xf numFmtId="0" fontId="20" fillId="0" borderId="2" xfId="0" applyNumberFormat="1" applyFont="1" applyFill="1" applyBorder="1" applyAlignment="1">
      <alignment horizontal="left"/>
    </xf>
    <xf numFmtId="3" fontId="0" fillId="0" borderId="0" xfId="0" applyNumberFormat="1" applyFill="1" applyBorder="1" applyAlignment="1">
      <alignment horizontal="center" vertical="top"/>
    </xf>
    <xf numFmtId="49" fontId="7" fillId="0" borderId="0" xfId="0" applyNumberFormat="1" applyFont="1" applyBorder="1" applyAlignment="1">
      <alignment horizontal="center"/>
    </xf>
    <xf numFmtId="165" fontId="7" fillId="0" borderId="0" xfId="0" applyNumberFormat="1" applyFont="1" applyFill="1" applyBorder="1" applyAlignment="1">
      <alignment horizontal="center" vertical="top"/>
    </xf>
    <xf numFmtId="0" fontId="0" fillId="0" borderId="0" xfId="0" applyFill="1" applyBorder="1" applyAlignment="1">
      <alignment horizontal="center"/>
    </xf>
    <xf numFmtId="0" fontId="0" fillId="0" borderId="0" xfId="0" applyAlignment="1">
      <alignment horizontal="center" vertical="top"/>
    </xf>
    <xf numFmtId="49" fontId="0" fillId="3" borderId="0" xfId="0" applyNumberFormat="1" applyFill="1" applyBorder="1" applyAlignment="1">
      <alignment horizontal="center"/>
    </xf>
    <xf numFmtId="0" fontId="0" fillId="0" borderId="0" xfId="0" applyFill="1" applyAlignment="1">
      <alignment horizontal="center" vertical="top"/>
    </xf>
    <xf numFmtId="3" fontId="8" fillId="0" borderId="0" xfId="0" applyNumberFormat="1" applyFont="1" applyFill="1" applyBorder="1" applyAlignment="1">
      <alignment horizontal="center" vertical="top"/>
    </xf>
    <xf numFmtId="49" fontId="32" fillId="0" borderId="2" xfId="0" applyNumberFormat="1" applyFont="1" applyFill="1" applyBorder="1" applyAlignment="1">
      <alignment horizontal="left" vertical="top" wrapText="1"/>
    </xf>
    <xf numFmtId="49" fontId="32" fillId="0" borderId="2" xfId="0" applyNumberFormat="1" applyFont="1" applyFill="1" applyBorder="1" applyAlignment="1">
      <alignment horizontal="left" vertical="top" wrapText="1" indent="1"/>
    </xf>
    <xf numFmtId="49" fontId="20" fillId="0" borderId="2" xfId="0" applyNumberFormat="1" applyFont="1" applyFill="1" applyBorder="1" applyAlignment="1">
      <alignment horizontal="left" vertical="top" wrapText="1"/>
    </xf>
    <xf numFmtId="49" fontId="32" fillId="0" borderId="0" xfId="0" applyNumberFormat="1" applyFont="1" applyFill="1" applyBorder="1" applyAlignment="1">
      <alignment horizontal="left" vertical="top" wrapText="1"/>
    </xf>
    <xf numFmtId="49" fontId="32" fillId="0" borderId="0" xfId="0" applyNumberFormat="1" applyFont="1" applyFill="1" applyBorder="1" applyAlignment="1">
      <alignment horizontal="center" vertical="top"/>
    </xf>
    <xf numFmtId="165" fontId="32" fillId="0" borderId="2" xfId="0" applyNumberFormat="1" applyFont="1" applyFill="1" applyBorder="1">
      <alignment vertical="top"/>
    </xf>
    <xf numFmtId="49" fontId="20" fillId="0" borderId="2" xfId="0" applyNumberFormat="1" applyFont="1" applyFill="1" applyBorder="1" applyAlignment="1"/>
    <xf numFmtId="49" fontId="32" fillId="0" borderId="2" xfId="0" applyNumberFormat="1" applyFont="1" applyFill="1" applyBorder="1" applyAlignment="1">
      <alignment horizontal="left" vertical="top" wrapText="1" indent="2"/>
    </xf>
    <xf numFmtId="49" fontId="32" fillId="0" borderId="2" xfId="0" applyNumberFormat="1" applyFont="1" applyFill="1" applyBorder="1" applyAlignment="1">
      <alignment vertical="top" wrapText="1"/>
    </xf>
    <xf numFmtId="49" fontId="32" fillId="0" borderId="2" xfId="0" applyNumberFormat="1" applyFont="1" applyFill="1" applyBorder="1" applyAlignment="1">
      <alignment horizontal="left" vertical="top" wrapText="1" indent="3"/>
    </xf>
    <xf numFmtId="0" fontId="32" fillId="0" borderId="2" xfId="0" applyFont="1" applyFill="1" applyBorder="1" applyAlignment="1">
      <alignment horizontal="left" vertical="top"/>
    </xf>
    <xf numFmtId="3" fontId="20" fillId="0" borderId="2" xfId="0" applyNumberFormat="1" applyFont="1" applyFill="1" applyBorder="1" applyAlignment="1">
      <alignment horizontal="left" vertical="top"/>
    </xf>
    <xf numFmtId="3" fontId="32" fillId="0" borderId="2" xfId="0" applyNumberFormat="1" applyFont="1" applyFill="1" applyBorder="1" applyAlignment="1">
      <alignment horizontal="left" vertical="top"/>
    </xf>
    <xf numFmtId="49" fontId="8" fillId="3" borderId="0" xfId="0" applyNumberFormat="1" applyFont="1" applyFill="1" applyBorder="1" applyAlignment="1">
      <alignment horizontal="center" vertical="top"/>
    </xf>
    <xf numFmtId="181" fontId="8" fillId="0" borderId="5" xfId="1" applyNumberFormat="1" applyFont="1" applyFill="1" applyBorder="1" applyAlignment="1">
      <alignment horizontal="left" vertical="top"/>
    </xf>
    <xf numFmtId="165" fontId="0" fillId="0" borderId="5" xfId="0" applyNumberFormat="1" applyFill="1" applyBorder="1" applyAlignment="1">
      <alignment vertical="top"/>
    </xf>
    <xf numFmtId="181" fontId="0" fillId="0" borderId="5" xfId="1" applyNumberFormat="1" applyFont="1" applyBorder="1" applyAlignment="1">
      <alignment vertical="top"/>
    </xf>
    <xf numFmtId="0" fontId="3" fillId="0" borderId="0" xfId="0" applyFont="1">
      <alignment vertical="top"/>
    </xf>
    <xf numFmtId="0" fontId="7" fillId="0" borderId="0" xfId="0" applyFont="1" applyBorder="1" applyAlignment="1">
      <alignment horizontal="left" vertical="top"/>
    </xf>
    <xf numFmtId="0" fontId="32" fillId="0" borderId="0" xfId="0" applyFont="1" applyFill="1" applyBorder="1">
      <alignment vertical="top"/>
    </xf>
    <xf numFmtId="11" fontId="0" fillId="0" borderId="5" xfId="0" applyNumberFormat="1" applyFill="1" applyBorder="1">
      <alignment vertical="top"/>
    </xf>
    <xf numFmtId="0" fontId="38" fillId="0" borderId="0" xfId="0" applyFont="1" applyFill="1">
      <alignment vertical="top"/>
    </xf>
    <xf numFmtId="0" fontId="0" fillId="0" borderId="0" xfId="0" applyBorder="1" applyAlignment="1"/>
    <xf numFmtId="0" fontId="0" fillId="0" borderId="5" xfId="0" applyFill="1" applyBorder="1" applyAlignment="1"/>
    <xf numFmtId="49" fontId="20" fillId="0" borderId="0" xfId="0" applyNumberFormat="1" applyFont="1" applyFill="1" applyBorder="1" applyAlignment="1"/>
    <xf numFmtId="0" fontId="8" fillId="0" borderId="5" xfId="0" applyFont="1" applyBorder="1" applyAlignment="1"/>
    <xf numFmtId="49" fontId="20" fillId="0" borderId="0" xfId="0" applyNumberFormat="1" applyFont="1" applyFill="1" applyBorder="1" applyAlignment="1">
      <alignment horizontal="center" vertical="top"/>
    </xf>
    <xf numFmtId="181" fontId="0" fillId="0" borderId="0" xfId="1" applyNumberFormat="1" applyFont="1" applyAlignment="1">
      <alignment wrapText="1"/>
    </xf>
    <xf numFmtId="49" fontId="32" fillId="0" borderId="0" xfId="0" applyNumberFormat="1" applyFont="1" applyFill="1" applyBorder="1" applyAlignment="1">
      <alignment horizontal="left" vertical="top"/>
    </xf>
    <xf numFmtId="0" fontId="8" fillId="0" borderId="5" xfId="0" applyNumberFormat="1" applyFont="1" applyFill="1" applyBorder="1" applyAlignment="1">
      <alignment horizontal="left" vertical="top"/>
    </xf>
    <xf numFmtId="0" fontId="0" fillId="0" borderId="5" xfId="0" applyFill="1" applyBorder="1" applyAlignment="1">
      <alignment vertical="top"/>
    </xf>
    <xf numFmtId="164" fontId="0" fillId="0" borderId="5" xfId="0" applyNumberFormat="1" applyFill="1" applyBorder="1" applyAlignment="1">
      <alignment vertical="top"/>
    </xf>
    <xf numFmtId="3" fontId="0" fillId="0" borderId="5" xfId="0" applyNumberFormat="1" applyFill="1" applyBorder="1" applyAlignment="1">
      <alignment vertical="top"/>
    </xf>
    <xf numFmtId="10" fontId="0" fillId="0" borderId="5" xfId="0" applyNumberFormat="1" applyFill="1" applyBorder="1" applyAlignment="1">
      <alignment vertical="top"/>
    </xf>
    <xf numFmtId="0" fontId="0" fillId="0" borderId="5" xfId="0" applyBorder="1" applyAlignment="1">
      <alignment vertical="top"/>
    </xf>
    <xf numFmtId="49" fontId="32" fillId="0" borderId="2" xfId="0" applyNumberFormat="1" applyFont="1" applyFill="1" applyBorder="1" applyAlignment="1">
      <alignment vertical="top"/>
    </xf>
    <xf numFmtId="0" fontId="20" fillId="0" borderId="0" xfId="0" applyNumberFormat="1" applyFont="1" applyFill="1" applyBorder="1" applyAlignment="1">
      <alignment horizontal="left" vertical="top"/>
    </xf>
    <xf numFmtId="49" fontId="20" fillId="0" borderId="0" xfId="0" applyNumberFormat="1" applyFont="1" applyFill="1" applyBorder="1" applyAlignment="1">
      <alignment horizontal="left" vertical="top"/>
    </xf>
    <xf numFmtId="49" fontId="32" fillId="0" borderId="0" xfId="0" applyNumberFormat="1" applyFont="1" applyFill="1" applyBorder="1" applyAlignment="1">
      <alignment vertical="top"/>
    </xf>
    <xf numFmtId="4" fontId="0" fillId="0" borderId="5" xfId="0" applyNumberFormat="1" applyFill="1" applyBorder="1" applyAlignment="1">
      <alignment vertical="top"/>
    </xf>
    <xf numFmtId="165" fontId="32" fillId="0" borderId="0" xfId="0" applyNumberFormat="1" applyFont="1" applyFill="1" applyBorder="1" applyAlignment="1">
      <alignment vertical="top"/>
    </xf>
    <xf numFmtId="4" fontId="0" fillId="0" borderId="0" xfId="0" applyNumberFormat="1" applyFill="1" applyAlignment="1">
      <alignment vertical="top"/>
    </xf>
    <xf numFmtId="0" fontId="20" fillId="0" borderId="0" xfId="0" applyFont="1" applyFill="1" applyBorder="1" applyAlignment="1">
      <alignment vertical="top"/>
    </xf>
    <xf numFmtId="49" fontId="27" fillId="0" borderId="2" xfId="0" applyNumberFormat="1" applyFont="1" applyFill="1" applyBorder="1" applyAlignment="1">
      <alignment horizontal="left"/>
    </xf>
    <xf numFmtId="0" fontId="0" fillId="0" borderId="0" xfId="0" applyFont="1" applyFill="1" applyBorder="1" applyAlignment="1">
      <alignment vertical="top"/>
    </xf>
    <xf numFmtId="0" fontId="32" fillId="0" borderId="0" xfId="0" applyFont="1" applyBorder="1" applyAlignment="1">
      <alignment horizontal="left" vertical="top" wrapText="1"/>
    </xf>
    <xf numFmtId="0" fontId="20" fillId="0" borderId="2" xfId="0" applyNumberFormat="1" applyFont="1" applyFill="1" applyBorder="1" applyAlignment="1">
      <alignment vertical="top"/>
    </xf>
    <xf numFmtId="3" fontId="32" fillId="0" borderId="2" xfId="0" applyNumberFormat="1" applyFont="1" applyFill="1" applyBorder="1" applyAlignment="1">
      <alignment vertical="top"/>
    </xf>
    <xf numFmtId="0" fontId="39" fillId="0" borderId="0" xfId="0" applyFont="1" applyFill="1">
      <alignment vertical="top"/>
    </xf>
    <xf numFmtId="0" fontId="8" fillId="0" borderId="10" xfId="0" applyNumberFormat="1" applyFont="1" applyBorder="1" applyAlignment="1">
      <alignment horizontal="center"/>
    </xf>
    <xf numFmtId="168" fontId="0" fillId="0" borderId="0" xfId="0" applyNumberFormat="1" applyFill="1">
      <alignment vertical="top"/>
    </xf>
    <xf numFmtId="0" fontId="0" fillId="0" borderId="0" xfId="0" applyFill="1" applyBorder="1" applyAlignment="1">
      <alignment vertical="top" wrapText="1"/>
    </xf>
    <xf numFmtId="0" fontId="0" fillId="0" borderId="0" xfId="0" applyFont="1" applyAlignment="1">
      <alignment vertical="top"/>
    </xf>
    <xf numFmtId="0" fontId="41" fillId="0" borderId="0" xfId="0" applyFont="1" applyBorder="1">
      <alignment vertical="top"/>
    </xf>
    <xf numFmtId="0" fontId="41" fillId="0" borderId="0" xfId="0" applyFont="1">
      <alignment vertical="top"/>
    </xf>
    <xf numFmtId="0" fontId="41" fillId="0" borderId="0" xfId="0" applyFont="1" applyAlignment="1">
      <alignment vertical="center"/>
    </xf>
    <xf numFmtId="0" fontId="35" fillId="0" borderId="0" xfId="0" applyFont="1" applyBorder="1">
      <alignment vertical="top"/>
    </xf>
    <xf numFmtId="0" fontId="37" fillId="0" borderId="0" xfId="0" applyFont="1" applyBorder="1">
      <alignment vertical="top"/>
    </xf>
    <xf numFmtId="0" fontId="37" fillId="0" borderId="0" xfId="0" applyFont="1">
      <alignment vertical="top"/>
    </xf>
    <xf numFmtId="0" fontId="21" fillId="0" borderId="0" xfId="0" applyFont="1">
      <alignment vertical="top"/>
    </xf>
    <xf numFmtId="0" fontId="3" fillId="0" borderId="0" xfId="0" applyFont="1" applyBorder="1">
      <alignment vertical="top"/>
    </xf>
    <xf numFmtId="0" fontId="3" fillId="0" borderId="0" xfId="0" applyFont="1" applyAlignment="1">
      <alignment vertical="center"/>
    </xf>
    <xf numFmtId="0" fontId="42" fillId="0" borderId="0" xfId="0" applyFont="1">
      <alignment vertical="top"/>
    </xf>
    <xf numFmtId="0" fontId="35" fillId="0" borderId="0" xfId="0" applyFont="1">
      <alignment vertical="top"/>
    </xf>
    <xf numFmtId="0" fontId="0" fillId="0" borderId="0" xfId="0" applyFont="1">
      <alignment vertical="top"/>
    </xf>
    <xf numFmtId="3" fontId="2" fillId="0" borderId="0" xfId="0" applyNumberFormat="1" applyFont="1" applyFill="1" applyBorder="1">
      <alignment vertical="top"/>
    </xf>
    <xf numFmtId="3" fontId="2" fillId="0" borderId="0" xfId="0" applyNumberFormat="1" applyFont="1" applyBorder="1">
      <alignment vertical="top"/>
    </xf>
    <xf numFmtId="3" fontId="34" fillId="0" borderId="0" xfId="0" applyNumberFormat="1" applyFont="1" applyBorder="1">
      <alignment vertical="top"/>
    </xf>
    <xf numFmtId="0" fontId="2" fillId="0" borderId="0" xfId="0" applyFont="1" applyFill="1" applyBorder="1">
      <alignment vertical="top"/>
    </xf>
    <xf numFmtId="3" fontId="34" fillId="0" borderId="0" xfId="0" applyNumberFormat="1" applyFont="1" applyFill="1" applyBorder="1">
      <alignment vertical="top"/>
    </xf>
    <xf numFmtId="3" fontId="36" fillId="0" borderId="0" xfId="0" applyNumberFormat="1" applyFont="1" applyFill="1" applyBorder="1">
      <alignment vertical="top"/>
    </xf>
    <xf numFmtId="0" fontId="42" fillId="0" borderId="0" xfId="0" applyFont="1" applyBorder="1">
      <alignment vertical="top"/>
    </xf>
    <xf numFmtId="3" fontId="3" fillId="0" borderId="0" xfId="0" applyNumberFormat="1" applyFont="1" applyFill="1" applyBorder="1">
      <alignment vertical="top"/>
    </xf>
    <xf numFmtId="0" fontId="21" fillId="0" borderId="0" xfId="0" applyFont="1" applyBorder="1">
      <alignment vertical="top"/>
    </xf>
    <xf numFmtId="3" fontId="3" fillId="0" borderId="0" xfId="0" applyNumberFormat="1" applyFont="1" applyBorder="1">
      <alignment vertical="top"/>
    </xf>
    <xf numFmtId="0" fontId="0" fillId="0" borderId="0" xfId="0" applyFont="1" applyBorder="1">
      <alignment vertical="top"/>
    </xf>
    <xf numFmtId="0" fontId="42" fillId="0" borderId="0" xfId="0" applyFont="1" applyFill="1" applyBorder="1">
      <alignment vertical="top"/>
    </xf>
    <xf numFmtId="0" fontId="43" fillId="0" borderId="0" xfId="0" applyFont="1" applyFill="1" applyBorder="1" applyAlignment="1">
      <alignment horizontal="right"/>
    </xf>
    <xf numFmtId="0" fontId="8" fillId="6" borderId="7" xfId="0" applyNumberFormat="1" applyFont="1" applyFill="1" applyBorder="1" applyAlignment="1"/>
    <xf numFmtId="0" fontId="8" fillId="6" borderId="10" xfId="0" applyNumberFormat="1" applyFont="1" applyFill="1" applyBorder="1" applyAlignment="1"/>
    <xf numFmtId="0" fontId="8" fillId="6" borderId="9" xfId="0" applyNumberFormat="1" applyFont="1" applyFill="1" applyBorder="1" applyAlignment="1"/>
    <xf numFmtId="49" fontId="8" fillId="6" borderId="7" xfId="0" applyNumberFormat="1" applyFont="1" applyFill="1" applyBorder="1" applyAlignment="1">
      <alignment horizontal="centerContinuous" wrapText="1"/>
    </xf>
    <xf numFmtId="0" fontId="8" fillId="6" borderId="9" xfId="0" applyNumberFormat="1" applyFont="1" applyFill="1" applyBorder="1" applyAlignment="1">
      <alignment horizontal="left" vertical="top"/>
    </xf>
    <xf numFmtId="0" fontId="8" fillId="6" borderId="0" xfId="0" applyNumberFormat="1" applyFont="1" applyFill="1" applyBorder="1" applyAlignment="1">
      <alignment horizontal="center"/>
    </xf>
    <xf numFmtId="0" fontId="8" fillId="6" borderId="3" xfId="0" applyNumberFormat="1" applyFont="1" applyFill="1" applyBorder="1" applyAlignment="1">
      <alignment horizontal="left"/>
    </xf>
    <xf numFmtId="0" fontId="8" fillId="6" borderId="6" xfId="0" applyNumberFormat="1" applyFont="1" applyFill="1" applyBorder="1" applyAlignment="1"/>
    <xf numFmtId="0" fontId="8" fillId="6" borderId="9" xfId="0" applyNumberFormat="1" applyFont="1" applyFill="1" applyBorder="1" applyAlignment="1">
      <alignment horizontal="left"/>
    </xf>
    <xf numFmtId="0" fontId="47" fillId="0" borderId="15" xfId="0" applyFont="1" applyBorder="1">
      <alignment vertical="top"/>
    </xf>
    <xf numFmtId="0" fontId="47" fillId="0" borderId="0" xfId="0" applyFont="1" applyBorder="1">
      <alignment vertical="top"/>
    </xf>
    <xf numFmtId="0" fontId="48" fillId="0" borderId="0" xfId="0" applyFont="1" applyFill="1" applyBorder="1" applyAlignment="1">
      <alignment horizontal="center"/>
    </xf>
    <xf numFmtId="0" fontId="50" fillId="0" borderId="0" xfId="0" applyFont="1" applyBorder="1" applyAlignment="1">
      <alignment vertical="top"/>
    </xf>
    <xf numFmtId="181" fontId="50" fillId="0" borderId="0" xfId="1" applyNumberFormat="1" applyFont="1" applyBorder="1" applyAlignment="1">
      <alignment vertical="top"/>
    </xf>
    <xf numFmtId="0" fontId="50" fillId="0" borderId="0" xfId="0" applyFont="1" applyBorder="1">
      <alignment vertical="top"/>
    </xf>
    <xf numFmtId="0" fontId="51" fillId="0" borderId="0" xfId="0" applyFont="1" applyBorder="1" applyAlignment="1">
      <alignment vertical="top"/>
    </xf>
    <xf numFmtId="0" fontId="46" fillId="0" borderId="10" xfId="0" applyFont="1" applyBorder="1" applyAlignment="1"/>
    <xf numFmtId="0" fontId="46" fillId="0" borderId="10" xfId="0" applyFont="1" applyBorder="1" applyAlignment="1">
      <alignment vertical="top"/>
    </xf>
    <xf numFmtId="181" fontId="46" fillId="0" borderId="10" xfId="1" applyNumberFormat="1" applyFont="1" applyBorder="1" applyAlignment="1">
      <alignment vertical="top"/>
    </xf>
    <xf numFmtId="0" fontId="46" fillId="0" borderId="11" xfId="0" applyFont="1" applyBorder="1" applyAlignment="1"/>
    <xf numFmtId="0" fontId="46" fillId="0" borderId="11" xfId="0" applyFont="1" applyBorder="1">
      <alignment vertical="top"/>
    </xf>
    <xf numFmtId="0" fontId="55" fillId="0" borderId="0" xfId="0" applyFont="1" applyBorder="1" applyAlignment="1">
      <alignment vertical="top"/>
    </xf>
    <xf numFmtId="0" fontId="46" fillId="0" borderId="11" xfId="0" applyFont="1" applyBorder="1" applyAlignment="1">
      <alignment vertical="top"/>
    </xf>
    <xf numFmtId="0" fontId="46" fillId="0" borderId="10" xfId="0" applyFont="1" applyBorder="1">
      <alignment vertical="top"/>
    </xf>
    <xf numFmtId="0" fontId="46" fillId="6" borderId="10" xfId="0" applyFont="1" applyFill="1" applyBorder="1" applyAlignment="1"/>
    <xf numFmtId="0" fontId="46" fillId="6" borderId="10" xfId="0" applyFont="1" applyFill="1" applyBorder="1" applyAlignment="1">
      <alignment vertical="top"/>
    </xf>
    <xf numFmtId="181" fontId="46" fillId="6" borderId="10" xfId="1" applyNumberFormat="1" applyFont="1" applyFill="1" applyBorder="1" applyAlignment="1">
      <alignment vertical="top"/>
    </xf>
    <xf numFmtId="3" fontId="46" fillId="6" borderId="10" xfId="0" applyNumberFormat="1" applyFont="1" applyFill="1" applyBorder="1" applyAlignment="1">
      <alignment horizontal="right" vertical="top"/>
    </xf>
    <xf numFmtId="0" fontId="46" fillId="6" borderId="11" xfId="0" applyFont="1" applyFill="1" applyBorder="1" applyAlignment="1"/>
    <xf numFmtId="0" fontId="46" fillId="6" borderId="11" xfId="0" applyFont="1" applyFill="1" applyBorder="1">
      <alignment vertical="top"/>
    </xf>
    <xf numFmtId="3" fontId="46" fillId="6" borderId="11" xfId="0" applyNumberFormat="1" applyFont="1" applyFill="1" applyBorder="1" applyAlignment="1">
      <alignment horizontal="right" vertical="top"/>
    </xf>
    <xf numFmtId="0" fontId="46" fillId="6" borderId="11" xfId="0" applyFont="1" applyFill="1" applyBorder="1" applyAlignment="1">
      <alignment vertical="top"/>
    </xf>
    <xf numFmtId="0" fontId="49" fillId="6" borderId="0" xfId="0" applyFont="1" applyFill="1" applyBorder="1">
      <alignment vertical="top"/>
    </xf>
    <xf numFmtId="0" fontId="45" fillId="8" borderId="16" xfId="0" applyFont="1" applyFill="1" applyBorder="1" applyAlignment="1">
      <alignment vertical="top"/>
    </xf>
    <xf numFmtId="3" fontId="45" fillId="8" borderId="16" xfId="0" applyNumberFormat="1" applyFont="1" applyFill="1" applyBorder="1" applyAlignment="1">
      <alignment horizontal="right" vertical="top"/>
    </xf>
    <xf numFmtId="0" fontId="45" fillId="8" borderId="23" xfId="0" applyFont="1" applyFill="1" applyBorder="1" applyAlignment="1">
      <alignment vertical="top"/>
    </xf>
    <xf numFmtId="0" fontId="49" fillId="6" borderId="12" xfId="0" applyFont="1" applyFill="1" applyBorder="1">
      <alignment vertical="top"/>
    </xf>
    <xf numFmtId="0" fontId="58" fillId="6" borderId="19" xfId="0" applyFont="1" applyFill="1" applyBorder="1">
      <alignment vertical="top"/>
    </xf>
    <xf numFmtId="0" fontId="58" fillId="6" borderId="15" xfId="0" applyFont="1" applyFill="1" applyBorder="1">
      <alignment vertical="top"/>
    </xf>
    <xf numFmtId="0" fontId="58" fillId="6" borderId="0" xfId="0" applyFont="1" applyFill="1" applyBorder="1">
      <alignment vertical="top"/>
    </xf>
    <xf numFmtId="0" fontId="59" fillId="6" borderId="0" xfId="0" applyFont="1" applyFill="1" applyBorder="1" applyAlignment="1">
      <alignment horizontal="center"/>
    </xf>
    <xf numFmtId="0" fontId="49" fillId="6" borderId="0" xfId="0" applyFont="1" applyFill="1" applyBorder="1" applyAlignment="1"/>
    <xf numFmtId="0" fontId="49" fillId="6" borderId="12" xfId="0" applyFont="1" applyFill="1" applyBorder="1" applyAlignment="1">
      <alignment vertical="top"/>
    </xf>
    <xf numFmtId="3" fontId="49" fillId="6" borderId="12" xfId="0" applyNumberFormat="1" applyFont="1" applyFill="1" applyBorder="1" applyAlignment="1">
      <alignment vertical="top"/>
    </xf>
    <xf numFmtId="0" fontId="49" fillId="6" borderId="0" xfId="0" applyFont="1" applyFill="1" applyBorder="1" applyAlignment="1">
      <alignment vertical="top"/>
    </xf>
    <xf numFmtId="0" fontId="45" fillId="9" borderId="17" xfId="0" applyFont="1" applyFill="1" applyBorder="1" applyAlignment="1">
      <alignment horizontal="center"/>
    </xf>
    <xf numFmtId="0" fontId="45" fillId="10" borderId="23" xfId="0" applyFont="1" applyFill="1" applyBorder="1" applyAlignment="1">
      <alignment vertical="top"/>
    </xf>
    <xf numFmtId="0" fontId="45" fillId="10" borderId="16" xfId="0" applyFont="1" applyFill="1" applyBorder="1" applyAlignment="1">
      <alignment vertical="top"/>
    </xf>
    <xf numFmtId="3" fontId="45" fillId="10" borderId="16" xfId="0" applyNumberFormat="1" applyFont="1" applyFill="1" applyBorder="1" applyAlignment="1">
      <alignment horizontal="right" vertical="top"/>
    </xf>
    <xf numFmtId="0" fontId="50" fillId="0" borderId="0" xfId="0" applyFont="1" applyFill="1" applyBorder="1" applyAlignment="1">
      <alignment vertical="top"/>
    </xf>
    <xf numFmtId="49" fontId="8" fillId="6" borderId="10" xfId="0" applyNumberFormat="1" applyFont="1" applyFill="1" applyBorder="1" applyAlignment="1">
      <alignment horizontal="right" wrapText="1"/>
    </xf>
    <xf numFmtId="0" fontId="8" fillId="0" borderId="0" xfId="0" applyFont="1" applyAlignment="1">
      <alignment horizontal="left" vertical="top"/>
    </xf>
    <xf numFmtId="0" fontId="0" fillId="0" borderId="0" xfId="0" applyFont="1" applyFill="1">
      <alignment vertical="top"/>
    </xf>
    <xf numFmtId="0" fontId="0" fillId="0" borderId="0" xfId="0" applyFont="1" applyAlignment="1"/>
    <xf numFmtId="179" fontId="0" fillId="0" borderId="0" xfId="6" applyFont="1" applyFill="1" applyBorder="1">
      <alignment horizontal="right" vertical="top"/>
    </xf>
    <xf numFmtId="0" fontId="0" fillId="0" borderId="0" xfId="0" applyFont="1" applyAlignment="1">
      <alignment horizontal="left" vertical="top"/>
    </xf>
    <xf numFmtId="49" fontId="0" fillId="0" borderId="0" xfId="0" applyNumberFormat="1" applyFont="1">
      <alignment vertical="top"/>
    </xf>
    <xf numFmtId="0" fontId="8" fillId="6" borderId="10" xfId="0" applyNumberFormat="1" applyFont="1" applyFill="1" applyBorder="1" applyAlignment="1">
      <alignment horizontal="right"/>
    </xf>
    <xf numFmtId="0" fontId="0" fillId="6" borderId="0" xfId="0" applyNumberFormat="1" applyFont="1" applyFill="1" applyBorder="1" applyAlignment="1">
      <alignment horizontal="left"/>
    </xf>
    <xf numFmtId="181" fontId="0" fillId="6" borderId="0" xfId="1" applyNumberFormat="1" applyFont="1" applyFill="1" applyBorder="1" applyAlignment="1">
      <alignment horizontal="left" indent="1"/>
    </xf>
    <xf numFmtId="0" fontId="0" fillId="0" borderId="0" xfId="0" applyNumberFormat="1" applyFont="1" applyBorder="1" applyAlignment="1">
      <alignment horizontal="left" indent="1"/>
    </xf>
    <xf numFmtId="0" fontId="0" fillId="0" borderId="0" xfId="0" applyFont="1" applyFill="1" applyBorder="1" applyAlignment="1"/>
    <xf numFmtId="0" fontId="0" fillId="0" borderId="0" xfId="0" applyNumberFormat="1" applyFont="1" applyBorder="1" applyAlignment="1">
      <alignment horizontal="left"/>
    </xf>
    <xf numFmtId="181" fontId="0" fillId="6" borderId="10" xfId="1" applyNumberFormat="1" applyFont="1" applyFill="1" applyBorder="1" applyAlignment="1">
      <alignment horizontal="left" indent="1"/>
    </xf>
    <xf numFmtId="181" fontId="8" fillId="6" borderId="9" xfId="1" applyNumberFormat="1" applyFont="1" applyFill="1" applyBorder="1" applyAlignment="1">
      <alignment horizontal="left" vertical="top"/>
    </xf>
    <xf numFmtId="179" fontId="0" fillId="0" borderId="0" xfId="0" applyNumberFormat="1" applyFont="1">
      <alignment vertical="top"/>
    </xf>
    <xf numFmtId="181" fontId="0" fillId="6" borderId="0" xfId="1" applyNumberFormat="1" applyFont="1" applyFill="1" applyBorder="1" applyAlignment="1">
      <alignment horizontal="left"/>
    </xf>
    <xf numFmtId="0" fontId="0" fillId="0" borderId="0" xfId="0" applyNumberFormat="1" applyFont="1" applyBorder="1" applyAlignment="1"/>
    <xf numFmtId="0" fontId="0" fillId="6" borderId="0" xfId="0" applyNumberFormat="1" applyFont="1" applyFill="1" applyBorder="1" applyAlignment="1">
      <alignment horizontal="left" vertical="top"/>
    </xf>
    <xf numFmtId="181" fontId="0" fillId="6" borderId="0" xfId="1" applyNumberFormat="1" applyFont="1" applyFill="1" applyBorder="1" applyAlignment="1">
      <alignment horizontal="left" vertical="top"/>
    </xf>
    <xf numFmtId="0" fontId="0" fillId="0" borderId="0" xfId="0" applyNumberFormat="1" applyFont="1" applyBorder="1" applyAlignment="1">
      <alignment horizontal="left" vertical="top"/>
    </xf>
    <xf numFmtId="181" fontId="0" fillId="6" borderId="10" xfId="1" applyNumberFormat="1" applyFont="1" applyFill="1" applyBorder="1" applyAlignment="1">
      <alignment horizontal="left" vertical="top"/>
    </xf>
    <xf numFmtId="181" fontId="8" fillId="6" borderId="9" xfId="1" applyNumberFormat="1" applyFont="1" applyFill="1" applyBorder="1" applyAlignment="1">
      <alignment horizontal="left"/>
    </xf>
    <xf numFmtId="0" fontId="0" fillId="0" borderId="0" xfId="0" applyNumberFormat="1" applyFont="1" applyBorder="1">
      <alignment vertical="top"/>
    </xf>
    <xf numFmtId="0" fontId="8" fillId="6" borderId="0" xfId="0" applyNumberFormat="1" applyFont="1" applyFill="1" applyBorder="1" applyAlignment="1">
      <alignment horizontal="right"/>
    </xf>
    <xf numFmtId="181" fontId="0" fillId="6" borderId="8" xfId="1" applyNumberFormat="1" applyFont="1" applyFill="1" applyBorder="1" applyAlignment="1"/>
    <xf numFmtId="181" fontId="0" fillId="6" borderId="0" xfId="1" applyNumberFormat="1" applyFont="1" applyFill="1" applyBorder="1" applyAlignment="1"/>
    <xf numFmtId="0" fontId="0" fillId="6" borderId="0" xfId="0" applyNumberFormat="1" applyFont="1" applyFill="1" applyBorder="1" applyAlignment="1"/>
    <xf numFmtId="181" fontId="8" fillId="6" borderId="9" xfId="1" applyNumberFormat="1" applyFont="1" applyFill="1" applyBorder="1" applyAlignment="1"/>
    <xf numFmtId="0" fontId="0" fillId="0" borderId="0" xfId="0" applyFont="1" applyBorder="1" applyAlignment="1">
      <alignment horizontal="left" vertical="top"/>
    </xf>
    <xf numFmtId="181" fontId="8" fillId="0" borderId="0" xfId="1" applyNumberFormat="1" applyFont="1" applyBorder="1" applyAlignment="1"/>
    <xf numFmtId="0" fontId="0" fillId="0" borderId="8" xfId="0" applyNumberFormat="1" applyFont="1" applyBorder="1" applyAlignment="1"/>
    <xf numFmtId="181" fontId="0" fillId="6" borderId="10" xfId="1" applyNumberFormat="1" applyFont="1" applyFill="1" applyBorder="1" applyAlignment="1"/>
    <xf numFmtId="0" fontId="0" fillId="0" borderId="0" xfId="0" applyNumberFormat="1" applyFont="1" applyFill="1" applyBorder="1" applyAlignment="1"/>
    <xf numFmtId="0" fontId="8" fillId="6" borderId="0" xfId="0" applyNumberFormat="1" applyFont="1" applyFill="1" applyBorder="1" applyAlignment="1"/>
    <xf numFmtId="181" fontId="8" fillId="6" borderId="0" xfId="1" applyNumberFormat="1" applyFont="1" applyFill="1" applyBorder="1" applyAlignment="1"/>
    <xf numFmtId="0" fontId="8" fillId="6" borderId="0" xfId="0" applyNumberFormat="1" applyFont="1" applyFill="1" applyBorder="1" applyAlignment="1">
      <alignment horizontal="left"/>
    </xf>
    <xf numFmtId="0" fontId="0" fillId="6" borderId="0" xfId="0" applyNumberFormat="1" applyFont="1" applyFill="1" applyBorder="1" applyAlignment="1">
      <alignment horizontal="left" indent="1"/>
    </xf>
    <xf numFmtId="181" fontId="0" fillId="6" borderId="9" xfId="1" applyNumberFormat="1" applyFont="1" applyFill="1" applyBorder="1" applyAlignment="1"/>
    <xf numFmtId="0" fontId="0" fillId="6" borderId="0" xfId="0" applyNumberFormat="1" applyFont="1" applyFill="1" applyBorder="1" applyAlignment="1">
      <alignment horizontal="left" vertical="top" indent="1"/>
    </xf>
    <xf numFmtId="181" fontId="0" fillId="6" borderId="0" xfId="1" applyNumberFormat="1" applyFont="1" applyFill="1" applyBorder="1" applyAlignment="1">
      <alignment horizontal="left" vertical="top" indent="1"/>
    </xf>
    <xf numFmtId="0" fontId="0" fillId="0" borderId="0" xfId="0" applyNumberFormat="1" applyFont="1" applyBorder="1" applyAlignment="1">
      <alignment horizontal="left" vertical="top" indent="1"/>
    </xf>
    <xf numFmtId="0" fontId="8" fillId="6" borderId="0" xfId="0" applyNumberFormat="1" applyFont="1" applyFill="1" applyBorder="1" applyAlignment="1">
      <alignment horizontal="left" vertical="top"/>
    </xf>
    <xf numFmtId="181" fontId="0" fillId="6" borderId="10" xfId="1" applyNumberFormat="1" applyFont="1" applyFill="1" applyBorder="1" applyAlignment="1">
      <alignment horizontal="left" vertical="top" indent="1"/>
    </xf>
    <xf numFmtId="179" fontId="0" fillId="0" borderId="0" xfId="0" applyNumberFormat="1" applyFont="1" applyBorder="1">
      <alignment vertical="top"/>
    </xf>
    <xf numFmtId="179" fontId="0" fillId="6" borderId="0" xfId="6" applyFont="1" applyFill="1" applyBorder="1" applyAlignment="1">
      <alignment horizontal="left" vertical="top" indent="1"/>
    </xf>
    <xf numFmtId="179" fontId="0" fillId="0" borderId="0" xfId="6" applyFont="1" applyBorder="1" applyAlignment="1">
      <alignment horizontal="left" vertical="top" indent="1"/>
    </xf>
    <xf numFmtId="181" fontId="0" fillId="6" borderId="9" xfId="1" applyNumberFormat="1" applyFont="1" applyFill="1" applyBorder="1" applyAlignment="1">
      <alignment horizontal="left" vertical="top"/>
    </xf>
    <xf numFmtId="0" fontId="0" fillId="0" borderId="0" xfId="0" applyNumberFormat="1" applyFont="1" applyAlignment="1">
      <alignment horizontal="right" vertical="top"/>
    </xf>
    <xf numFmtId="0" fontId="0" fillId="0" borderId="0" xfId="0" applyNumberFormat="1" applyFont="1" applyBorder="1" applyAlignment="1">
      <alignment horizontal="right" vertical="top"/>
    </xf>
    <xf numFmtId="181" fontId="0" fillId="0" borderId="0" xfId="1" applyNumberFormat="1" applyFont="1" applyFill="1" applyBorder="1" applyAlignment="1">
      <alignment horizontal="left" vertical="top"/>
    </xf>
    <xf numFmtId="181" fontId="0" fillId="0" borderId="0" xfId="1" applyNumberFormat="1" applyFont="1" applyBorder="1" applyAlignment="1">
      <alignment horizontal="right"/>
    </xf>
    <xf numFmtId="181" fontId="0" fillId="0" borderId="10" xfId="1" applyNumberFormat="1" applyFont="1" applyBorder="1" applyAlignment="1">
      <alignment horizontal="right" vertical="top"/>
    </xf>
    <xf numFmtId="181" fontId="8" fillId="0" borderId="9" xfId="1" applyNumberFormat="1" applyFont="1" applyBorder="1" applyAlignment="1">
      <alignment horizontal="right" vertical="top"/>
    </xf>
    <xf numFmtId="181" fontId="0" fillId="6" borderId="0" xfId="1" applyNumberFormat="1" applyFont="1" applyFill="1" applyBorder="1" applyAlignment="1">
      <alignment wrapText="1"/>
    </xf>
    <xf numFmtId="0" fontId="0" fillId="0" borderId="0" xfId="0" applyFont="1" applyFill="1" applyAlignment="1"/>
    <xf numFmtId="181" fontId="0" fillId="6" borderId="0" xfId="1" applyNumberFormat="1" applyFont="1" applyFill="1" applyBorder="1" applyAlignment="1">
      <alignment horizontal="center" wrapText="1"/>
    </xf>
    <xf numFmtId="179" fontId="0" fillId="6" borderId="3" xfId="6" applyFont="1" applyFill="1" applyBorder="1">
      <alignment horizontal="right" vertical="top"/>
    </xf>
    <xf numFmtId="181" fontId="0" fillId="6" borderId="3" xfId="6" applyNumberFormat="1" applyFont="1" applyFill="1" applyBorder="1">
      <alignment horizontal="right" vertical="top"/>
    </xf>
    <xf numFmtId="9" fontId="22" fillId="0" borderId="0" xfId="4" applyNumberFormat="1" applyFont="1" applyBorder="1" applyAlignment="1"/>
    <xf numFmtId="0" fontId="0" fillId="0" borderId="0" xfId="0" applyFont="1" applyBorder="1" applyAlignment="1">
      <alignment vertical="top"/>
    </xf>
    <xf numFmtId="3" fontId="8" fillId="0" borderId="0" xfId="0" applyNumberFormat="1" applyFont="1" applyBorder="1" applyAlignment="1">
      <alignment vertical="top"/>
    </xf>
    <xf numFmtId="9" fontId="22" fillId="0" borderId="0" xfId="4" applyNumberFormat="1" applyFont="1" applyBorder="1"/>
    <xf numFmtId="0" fontId="60" fillId="5" borderId="14" xfId="0" applyFont="1" applyFill="1" applyBorder="1" applyAlignment="1"/>
    <xf numFmtId="0" fontId="61" fillId="5" borderId="13" xfId="0" applyFont="1" applyFill="1" applyBorder="1" applyAlignment="1">
      <alignment vertical="top"/>
    </xf>
    <xf numFmtId="0" fontId="60" fillId="5" borderId="13" xfId="0" applyFont="1" applyFill="1" applyBorder="1" applyAlignment="1">
      <alignment horizontal="center"/>
    </xf>
    <xf numFmtId="0" fontId="60" fillId="5" borderId="13" xfId="0" applyFont="1" applyFill="1" applyBorder="1" applyAlignment="1">
      <alignment horizontal="right"/>
    </xf>
    <xf numFmtId="0" fontId="60" fillId="5" borderId="13" xfId="0" applyFont="1" applyFill="1" applyBorder="1" applyAlignment="1"/>
    <xf numFmtId="0" fontId="60" fillId="0" borderId="0" xfId="0" applyFont="1" applyFill="1" applyBorder="1" applyAlignment="1">
      <alignment horizontal="right"/>
    </xf>
    <xf numFmtId="0" fontId="60" fillId="0" borderId="0" xfId="0" applyFont="1" applyFill="1" applyBorder="1" applyAlignment="1">
      <alignment vertical="top"/>
    </xf>
    <xf numFmtId="0" fontId="60" fillId="0" borderId="12" xfId="0" applyFont="1" applyFill="1" applyBorder="1" applyAlignment="1">
      <alignment vertical="top"/>
    </xf>
    <xf numFmtId="0" fontId="61" fillId="0" borderId="0" xfId="0" applyFont="1" applyFill="1" applyBorder="1" applyAlignment="1">
      <alignment vertical="top"/>
    </xf>
    <xf numFmtId="0" fontId="0" fillId="0" borderId="12" xfId="0" applyFont="1" applyBorder="1" applyAlignment="1">
      <alignment vertical="top"/>
    </xf>
    <xf numFmtId="0" fontId="8" fillId="0" borderId="10" xfId="0" applyFont="1" applyBorder="1" applyAlignment="1">
      <alignment vertical="top"/>
    </xf>
    <xf numFmtId="0" fontId="21" fillId="0" borderId="0" xfId="0" applyFont="1" applyFill="1" applyBorder="1" applyAlignment="1">
      <alignment vertical="top"/>
    </xf>
    <xf numFmtId="0" fontId="0" fillId="0" borderId="0" xfId="0" applyFont="1" applyFill="1" applyBorder="1" applyAlignment="1">
      <alignment horizontal="left" vertical="top"/>
    </xf>
    <xf numFmtId="0" fontId="8" fillId="0" borderId="11" xfId="0" applyFont="1" applyBorder="1" applyAlignment="1">
      <alignment vertical="top"/>
    </xf>
    <xf numFmtId="3" fontId="8" fillId="0" borderId="11" xfId="0" applyNumberFormat="1" applyFont="1" applyBorder="1" applyAlignment="1">
      <alignment vertical="top"/>
    </xf>
    <xf numFmtId="3" fontId="8" fillId="0" borderId="0" xfId="0" applyNumberFormat="1" applyFont="1" applyFill="1" applyBorder="1" applyAlignment="1">
      <alignment vertical="top"/>
    </xf>
    <xf numFmtId="0" fontId="8" fillId="0" borderId="12" xfId="0" applyFont="1" applyBorder="1" applyAlignment="1">
      <alignment vertical="top"/>
    </xf>
    <xf numFmtId="3" fontId="8" fillId="0" borderId="10" xfId="0" applyNumberFormat="1" applyFont="1" applyBorder="1" applyAlignment="1">
      <alignment vertical="top"/>
    </xf>
    <xf numFmtId="0" fontId="8" fillId="0" borderId="0" xfId="0" applyFont="1" applyBorder="1" applyAlignment="1">
      <alignment horizontal="left" vertical="top"/>
    </xf>
    <xf numFmtId="3" fontId="0" fillId="0" borderId="0" xfId="0" applyNumberFormat="1" applyFont="1" applyBorder="1" applyAlignment="1">
      <alignment vertical="top"/>
    </xf>
    <xf numFmtId="3" fontId="26" fillId="0" borderId="0" xfId="0" applyNumberFormat="1" applyFont="1" applyBorder="1" applyAlignment="1">
      <alignment vertical="top"/>
    </xf>
    <xf numFmtId="3" fontId="26" fillId="0" borderId="0" xfId="0" applyNumberFormat="1" applyFont="1" applyFill="1" applyBorder="1" applyAlignment="1">
      <alignment vertical="top"/>
    </xf>
    <xf numFmtId="181" fontId="0" fillId="0" borderId="0" xfId="6" applyNumberFormat="1" applyFont="1" applyBorder="1" applyAlignment="1">
      <alignment horizontal="right" vertical="top"/>
    </xf>
    <xf numFmtId="0" fontId="21" fillId="0" borderId="0" xfId="0" applyFont="1" applyBorder="1" applyAlignment="1">
      <alignment vertical="top"/>
    </xf>
    <xf numFmtId="0" fontId="0" fillId="0" borderId="11" xfId="0" applyFont="1" applyBorder="1" applyAlignment="1">
      <alignment vertical="top"/>
    </xf>
    <xf numFmtId="0" fontId="62" fillId="0" borderId="0" xfId="0" applyFont="1" applyFill="1" applyBorder="1" applyAlignment="1">
      <alignment vertical="top"/>
    </xf>
    <xf numFmtId="9" fontId="8" fillId="0" borderId="0" xfId="1" applyNumberFormat="1" applyFont="1" applyFill="1" applyBorder="1"/>
    <xf numFmtId="9" fontId="8" fillId="0" borderId="0" xfId="0" applyNumberFormat="1" applyFont="1" applyFill="1" applyBorder="1">
      <alignment vertical="top"/>
    </xf>
    <xf numFmtId="181" fontId="0" fillId="6" borderId="9" xfId="1" applyNumberFormat="1" applyFont="1" applyFill="1" applyBorder="1" applyAlignment="1">
      <alignment horizontal="right" vertical="top"/>
    </xf>
    <xf numFmtId="181" fontId="7" fillId="6" borderId="9" xfId="1" applyNumberFormat="1" applyFont="1" applyFill="1" applyBorder="1" applyAlignment="1">
      <alignment horizontal="left"/>
    </xf>
    <xf numFmtId="49" fontId="0" fillId="0" borderId="0" xfId="0" applyNumberFormat="1" applyFont="1" applyFill="1" applyBorder="1" applyAlignment="1">
      <alignment horizontal="left" vertical="top"/>
    </xf>
    <xf numFmtId="49" fontId="8" fillId="0" borderId="0" xfId="0" applyNumberFormat="1" applyFont="1" applyFill="1" applyBorder="1" applyAlignment="1">
      <alignment horizontal="center" vertical="top"/>
    </xf>
    <xf numFmtId="49" fontId="0" fillId="0" borderId="2" xfId="0" applyNumberFormat="1" applyFont="1" applyFill="1" applyBorder="1" applyAlignment="1">
      <alignment horizontal="left" vertical="top"/>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0" fillId="0" borderId="2" xfId="0" applyFont="1" applyBorder="1" applyAlignment="1">
      <alignment horizontal="left" vertical="top"/>
    </xf>
    <xf numFmtId="0" fontId="7" fillId="0" borderId="0" xfId="0" applyFont="1" applyFill="1" applyBorder="1" applyAlignment="1">
      <alignment horizontal="left" vertical="top"/>
    </xf>
    <xf numFmtId="0" fontId="0" fillId="0" borderId="0" xfId="0" applyAlignment="1">
      <alignment horizontal="left" vertical="top"/>
    </xf>
    <xf numFmtId="0" fontId="0" fillId="0" borderId="2" xfId="0" applyFont="1" applyFill="1" applyBorder="1" applyAlignment="1">
      <alignment horizontal="left" vertical="top"/>
    </xf>
    <xf numFmtId="0" fontId="8" fillId="0" borderId="0" xfId="0" applyFont="1" applyFill="1" applyAlignment="1">
      <alignment horizontal="right"/>
    </xf>
    <xf numFmtId="3" fontId="7" fillId="0" borderId="0" xfId="1" applyNumberFormat="1" applyFont="1" applyFill="1" applyBorder="1" applyAlignment="1">
      <alignment horizontal="right" vertical="top"/>
    </xf>
    <xf numFmtId="3" fontId="7" fillId="0" borderId="0" xfId="0" applyNumberFormat="1" applyFont="1" applyFill="1" applyBorder="1" applyAlignment="1">
      <alignment horizontal="right" vertical="top"/>
    </xf>
    <xf numFmtId="0" fontId="7" fillId="0" borderId="2" xfId="0" applyFont="1" applyFill="1" applyBorder="1" applyAlignment="1">
      <alignment horizontal="left" vertical="top"/>
    </xf>
    <xf numFmtId="0" fontId="7" fillId="0" borderId="2"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0" fontId="7" fillId="3" borderId="2" xfId="0" applyNumberFormat="1" applyFont="1" applyFill="1" applyBorder="1" applyAlignment="1">
      <alignment horizontal="left" vertical="top"/>
    </xf>
    <xf numFmtId="0" fontId="8" fillId="0" borderId="2" xfId="0" applyFont="1" applyFill="1" applyBorder="1" applyAlignment="1">
      <alignment horizontal="left" vertical="top"/>
    </xf>
    <xf numFmtId="3" fontId="0" fillId="0" borderId="0" xfId="0" applyNumberFormat="1" applyFont="1" applyFill="1" applyBorder="1" applyAlignment="1">
      <alignment horizontal="right" vertical="top"/>
    </xf>
    <xf numFmtId="181" fontId="8" fillId="0" borderId="0" xfId="1" applyNumberFormat="1" applyFont="1" applyBorder="1" applyAlignment="1">
      <alignment horizontal="center" vertical="top"/>
    </xf>
    <xf numFmtId="0" fontId="0" fillId="0" borderId="2" xfId="0" applyFont="1" applyFill="1" applyBorder="1" applyAlignment="1"/>
    <xf numFmtId="49" fontId="0" fillId="0" borderId="0" xfId="0" applyNumberFormat="1" applyFont="1" applyBorder="1" applyAlignment="1">
      <alignment horizontal="left" vertical="top"/>
    </xf>
    <xf numFmtId="3" fontId="7" fillId="0" borderId="0" xfId="0" applyNumberFormat="1" applyFont="1" applyAlignment="1">
      <alignment horizontal="right" vertical="top"/>
    </xf>
    <xf numFmtId="0" fontId="68" fillId="0" borderId="2" xfId="0" applyFont="1" applyBorder="1" applyAlignment="1">
      <alignment horizontal="left" vertical="top"/>
    </xf>
    <xf numFmtId="0" fontId="0" fillId="0" borderId="0" xfId="0" applyAlignment="1">
      <alignment horizontal="right" vertical="top"/>
    </xf>
    <xf numFmtId="49" fontId="0" fillId="0" borderId="2" xfId="0" applyNumberFormat="1" applyBorder="1" applyAlignment="1">
      <alignment horizontal="left" vertical="top" indent="1"/>
    </xf>
    <xf numFmtId="49" fontId="0" fillId="0" borderId="2" xfId="0" applyNumberFormat="1" applyFont="1" applyBorder="1" applyAlignment="1"/>
    <xf numFmtId="49" fontId="0" fillId="0" borderId="2" xfId="0" applyNumberFormat="1" applyFont="1" applyBorder="1" applyAlignment="1">
      <alignment horizontal="left" vertical="top" indent="1"/>
    </xf>
    <xf numFmtId="49" fontId="8" fillId="0" borderId="2" xfId="0" applyNumberFormat="1" applyFont="1" applyFill="1" applyBorder="1" applyAlignment="1">
      <alignment horizontal="left" vertical="top" indent="1"/>
    </xf>
    <xf numFmtId="49" fontId="7" fillId="0" borderId="2" xfId="0" applyNumberFormat="1" applyFont="1" applyBorder="1" applyAlignment="1">
      <alignment horizontal="left" vertical="top"/>
    </xf>
    <xf numFmtId="49" fontId="8" fillId="0" borderId="2" xfId="0" applyNumberFormat="1" applyFont="1" applyFill="1" applyBorder="1" applyAlignment="1">
      <alignment horizontal="left" indent="1"/>
    </xf>
    <xf numFmtId="3" fontId="8" fillId="0" borderId="0" xfId="0" applyNumberFormat="1" applyFont="1" applyFill="1" applyBorder="1" applyAlignment="1">
      <alignment horizontal="left"/>
    </xf>
    <xf numFmtId="3" fontId="7" fillId="0" borderId="0" xfId="0" applyNumberFormat="1" applyFont="1" applyBorder="1" applyAlignment="1">
      <alignment horizontal="left" vertical="top"/>
    </xf>
    <xf numFmtId="3" fontId="7" fillId="0" borderId="0" xfId="0" applyNumberFormat="1" applyFont="1" applyFill="1" applyBorder="1" applyAlignment="1">
      <alignment horizontal="left" vertical="top"/>
    </xf>
    <xf numFmtId="3" fontId="8" fillId="0" borderId="0" xfId="0" applyNumberFormat="1" applyFont="1" applyBorder="1" applyAlignment="1">
      <alignment horizontal="center"/>
    </xf>
    <xf numFmtId="3" fontId="66" fillId="0" borderId="0" xfId="0" applyNumberFormat="1" applyFont="1" applyFill="1" applyBorder="1" applyAlignment="1">
      <alignment horizontal="left" vertical="top"/>
    </xf>
    <xf numFmtId="49" fontId="0" fillId="0" borderId="2" xfId="0" applyNumberFormat="1" applyFont="1" applyFill="1" applyBorder="1" applyAlignment="1">
      <alignment horizontal="left" vertical="top" indent="1"/>
    </xf>
    <xf numFmtId="49" fontId="0" fillId="0" borderId="2" xfId="0" applyNumberFormat="1" applyFont="1" applyFill="1" applyBorder="1" applyAlignment="1">
      <alignment horizontal="left" vertical="top" wrapText="1"/>
    </xf>
    <xf numFmtId="49" fontId="0" fillId="0" borderId="2" xfId="0" applyNumberFormat="1" applyFont="1" applyBorder="1" applyAlignment="1">
      <alignment horizontal="left" vertical="top"/>
    </xf>
    <xf numFmtId="170" fontId="0" fillId="0" borderId="2" xfId="0" applyNumberFormat="1" applyFont="1" applyFill="1" applyBorder="1" applyAlignment="1">
      <alignment horizontal="left" vertical="top" wrapText="1"/>
    </xf>
    <xf numFmtId="170" fontId="0" fillId="0" borderId="5" xfId="0" applyNumberFormat="1" applyFont="1" applyFill="1" applyBorder="1" applyAlignment="1"/>
    <xf numFmtId="170" fontId="0" fillId="0" borderId="0" xfId="0" applyNumberFormat="1" applyFont="1" applyFill="1" applyAlignment="1"/>
    <xf numFmtId="49" fontId="7" fillId="0" borderId="2" xfId="0" applyNumberFormat="1" applyFont="1" applyFill="1" applyBorder="1" applyAlignment="1">
      <alignment horizontal="left" vertical="top" wrapText="1" indent="2"/>
    </xf>
    <xf numFmtId="49" fontId="7" fillId="0" borderId="2" xfId="0" applyNumberFormat="1" applyFont="1" applyFill="1" applyBorder="1" applyAlignment="1">
      <alignment horizontal="left" vertical="top" wrapText="1" indent="3"/>
    </xf>
    <xf numFmtId="49" fontId="8" fillId="0" borderId="2" xfId="0" applyNumberFormat="1" applyFont="1" applyBorder="1" applyAlignment="1">
      <alignment horizontal="left"/>
    </xf>
    <xf numFmtId="49" fontId="0" fillId="0" borderId="2" xfId="0" applyNumberFormat="1" applyFont="1" applyFill="1" applyBorder="1" applyAlignment="1">
      <alignment horizontal="left"/>
    </xf>
    <xf numFmtId="49" fontId="38" fillId="0" borderId="2" xfId="0" applyNumberFormat="1" applyFont="1" applyFill="1" applyBorder="1" applyAlignment="1">
      <alignment horizontal="left"/>
    </xf>
    <xf numFmtId="49" fontId="0" fillId="0" borderId="2" xfId="0" applyNumberFormat="1" applyFill="1" applyBorder="1" applyAlignment="1">
      <alignment horizontal="left" indent="1"/>
    </xf>
    <xf numFmtId="0" fontId="0" fillId="0" borderId="2" xfId="0" applyFill="1" applyBorder="1" applyAlignment="1">
      <alignment horizontal="left" vertical="top"/>
    </xf>
    <xf numFmtId="181" fontId="0" fillId="0" borderId="2" xfId="1" applyNumberFormat="1" applyFont="1" applyFill="1" applyBorder="1" applyAlignment="1">
      <alignment horizontal="left" vertical="top"/>
    </xf>
    <xf numFmtId="3" fontId="0" fillId="0" borderId="2" xfId="0" applyNumberFormat="1" applyFill="1" applyBorder="1" applyAlignment="1">
      <alignment horizontal="left" vertical="top"/>
    </xf>
    <xf numFmtId="3" fontId="8" fillId="0" borderId="0" xfId="1" applyNumberFormat="1" applyFont="1" applyBorder="1" applyAlignment="1">
      <alignment horizontal="center"/>
    </xf>
    <xf numFmtId="0" fontId="0" fillId="0" borderId="2" xfId="0" applyFont="1" applyBorder="1">
      <alignment vertical="top"/>
    </xf>
    <xf numFmtId="49" fontId="68" fillId="0" borderId="2" xfId="0" applyNumberFormat="1" applyFont="1" applyFill="1" applyBorder="1" applyAlignment="1">
      <alignment horizontal="left"/>
    </xf>
    <xf numFmtId="181" fontId="66" fillId="0" borderId="0" xfId="1" applyNumberFormat="1" applyFont="1" applyFill="1" applyBorder="1" applyAlignment="1">
      <alignment vertical="top"/>
    </xf>
    <xf numFmtId="49" fontId="68" fillId="0" borderId="2" xfId="0" applyNumberFormat="1" applyFont="1" applyFill="1" applyBorder="1" applyAlignment="1">
      <alignment horizontal="left" vertical="top" wrapText="1"/>
    </xf>
    <xf numFmtId="49" fontId="0" fillId="0" borderId="2" xfId="0" applyNumberFormat="1" applyFill="1" applyBorder="1" applyAlignment="1">
      <alignment vertical="top" wrapText="1"/>
    </xf>
    <xf numFmtId="3" fontId="0" fillId="0" borderId="0" xfId="0" applyNumberFormat="1" applyFont="1" applyBorder="1" applyAlignment="1">
      <alignment horizontal="left" vertical="top"/>
    </xf>
    <xf numFmtId="49" fontId="0" fillId="0" borderId="2" xfId="0" applyNumberFormat="1" applyFill="1" applyBorder="1" applyAlignment="1">
      <alignment vertical="top"/>
    </xf>
    <xf numFmtId="3" fontId="0" fillId="0" borderId="0" xfId="0" applyNumberFormat="1" applyFont="1" applyFill="1" applyBorder="1" applyAlignment="1">
      <alignment horizontal="left" vertical="top"/>
    </xf>
    <xf numFmtId="0" fontId="8" fillId="0" borderId="2" xfId="0" applyFont="1" applyBorder="1">
      <alignment vertical="top"/>
    </xf>
    <xf numFmtId="3" fontId="66" fillId="0" borderId="0" xfId="0" applyNumberFormat="1" applyFont="1" applyFill="1" applyBorder="1">
      <alignment vertical="top"/>
    </xf>
    <xf numFmtId="49" fontId="8" fillId="0" borderId="2" xfId="0" applyNumberFormat="1" applyFont="1" applyFill="1" applyBorder="1" applyAlignment="1">
      <alignment vertical="top" wrapText="1"/>
    </xf>
    <xf numFmtId="49" fontId="0" fillId="0" borderId="2" xfId="0" applyNumberFormat="1" applyFont="1" applyFill="1" applyBorder="1" applyAlignment="1">
      <alignment vertical="top" wrapText="1"/>
    </xf>
    <xf numFmtId="49" fontId="8" fillId="0" borderId="0" xfId="0" applyNumberFormat="1" applyFont="1" applyBorder="1" applyAlignment="1">
      <alignment horizontal="center"/>
    </xf>
    <xf numFmtId="0" fontId="0" fillId="0" borderId="0" xfId="0" applyAlignment="1"/>
    <xf numFmtId="49" fontId="0" fillId="0" borderId="2" xfId="0" applyNumberFormat="1" applyFont="1" applyFill="1" applyBorder="1" applyAlignment="1"/>
    <xf numFmtId="181" fontId="66" fillId="0" borderId="5" xfId="1" applyNumberFormat="1" applyFont="1" applyFill="1" applyBorder="1" applyAlignment="1">
      <alignment horizontal="right"/>
    </xf>
    <xf numFmtId="49" fontId="20" fillId="0" borderId="2" xfId="0" applyNumberFormat="1" applyFont="1" applyBorder="1" applyAlignment="1"/>
    <xf numFmtId="0" fontId="68" fillId="0" borderId="2" xfId="0" applyNumberFormat="1" applyFont="1" applyFill="1" applyBorder="1" applyAlignment="1">
      <alignment horizontal="left"/>
    </xf>
    <xf numFmtId="3" fontId="0" fillId="0" borderId="0" xfId="0" applyNumberFormat="1" applyFont="1" applyFill="1" applyBorder="1" applyAlignment="1">
      <alignment horizontal="left"/>
    </xf>
    <xf numFmtId="0" fontId="68" fillId="0" borderId="2" xfId="0" applyNumberFormat="1" applyFont="1" applyFill="1" applyBorder="1" applyAlignment="1">
      <alignment horizontal="left" wrapText="1"/>
    </xf>
    <xf numFmtId="0" fontId="8" fillId="0" borderId="2" xfId="0" applyFont="1" applyBorder="1" applyAlignment="1">
      <alignment horizontal="right" vertical="top"/>
    </xf>
    <xf numFmtId="3" fontId="0" fillId="0" borderId="0" xfId="0" applyNumberFormat="1" applyFont="1" applyFill="1" applyBorder="1">
      <alignment vertical="top"/>
    </xf>
    <xf numFmtId="3" fontId="0" fillId="0" borderId="0" xfId="0" applyNumberFormat="1" applyFont="1" applyFill="1" applyBorder="1" applyAlignment="1"/>
    <xf numFmtId="49" fontId="0" fillId="0" borderId="0" xfId="0" applyNumberFormat="1" applyFont="1" applyFill="1" applyBorder="1" applyAlignment="1">
      <alignment horizontal="center" vertical="top"/>
    </xf>
    <xf numFmtId="0" fontId="0" fillId="0" borderId="4" xfId="0" applyBorder="1" applyAlignment="1">
      <alignment horizontal="left" vertical="top"/>
    </xf>
    <xf numFmtId="0" fontId="0" fillId="0" borderId="4" xfId="0" applyFill="1" applyBorder="1" applyAlignment="1">
      <alignment horizontal="left" vertical="top"/>
    </xf>
    <xf numFmtId="0" fontId="0" fillId="3" borderId="0" xfId="0" applyFont="1" applyFill="1" applyBorder="1" applyAlignment="1"/>
    <xf numFmtId="49" fontId="0" fillId="0" borderId="0" xfId="0" applyNumberFormat="1" applyFont="1" applyFill="1" applyBorder="1" applyAlignment="1">
      <alignment horizontal="left" vertical="top" wrapText="1"/>
    </xf>
    <xf numFmtId="0" fontId="66" fillId="0" borderId="0" xfId="0" applyFont="1" applyFill="1" applyBorder="1" applyAlignment="1">
      <alignment horizontal="left" vertical="top"/>
    </xf>
    <xf numFmtId="49" fontId="0" fillId="0" borderId="2" xfId="0" applyNumberFormat="1" applyFont="1" applyBorder="1">
      <alignment vertical="top"/>
    </xf>
    <xf numFmtId="0" fontId="7" fillId="0" borderId="2" xfId="0" applyFont="1" applyBorder="1" applyAlignment="1">
      <alignment horizontal="left" vertical="top" indent="1"/>
    </xf>
    <xf numFmtId="0" fontId="0" fillId="0" borderId="2" xfId="0" applyFont="1" applyBorder="1" applyAlignment="1">
      <alignment vertical="top"/>
    </xf>
    <xf numFmtId="0" fontId="0" fillId="0" borderId="2" xfId="0" applyFont="1" applyBorder="1" applyAlignment="1">
      <alignment horizontal="left" vertical="top" indent="1"/>
    </xf>
    <xf numFmtId="0" fontId="6" fillId="0" borderId="2" xfId="0" applyFont="1" applyBorder="1" applyAlignment="1">
      <alignment horizontal="left"/>
    </xf>
    <xf numFmtId="49" fontId="7" fillId="0" borderId="2" xfId="0" applyNumberFormat="1" applyFont="1" applyFill="1" applyBorder="1" applyAlignment="1">
      <alignment horizontal="left" vertical="top" indent="3"/>
    </xf>
    <xf numFmtId="3" fontId="0" fillId="0" borderId="0" xfId="0" applyNumberFormat="1" applyFill="1" applyBorder="1" applyAlignment="1">
      <alignment horizontal="left" vertical="top"/>
    </xf>
    <xf numFmtId="0" fontId="68" fillId="0" borderId="0" xfId="0" applyNumberFormat="1" applyFont="1" applyFill="1" applyBorder="1" applyAlignment="1">
      <alignment horizontal="left" wrapText="1"/>
    </xf>
    <xf numFmtId="0" fontId="68" fillId="0" borderId="0" xfId="0" applyNumberFormat="1" applyFont="1" applyFill="1" applyBorder="1" applyAlignment="1">
      <alignment horizontal="left"/>
    </xf>
    <xf numFmtId="0" fontId="0" fillId="0" borderId="0" xfId="0" applyBorder="1" applyAlignment="1">
      <alignment horizontal="left" vertical="top"/>
    </xf>
    <xf numFmtId="0" fontId="7" fillId="3" borderId="2" xfId="0" applyNumberFormat="1" applyFont="1" applyFill="1" applyBorder="1" applyAlignment="1">
      <alignment horizontal="left"/>
    </xf>
    <xf numFmtId="3" fontId="7" fillId="3" borderId="0" xfId="0" applyNumberFormat="1" applyFont="1" applyFill="1" applyBorder="1" applyAlignment="1">
      <alignment horizontal="left"/>
    </xf>
    <xf numFmtId="3" fontId="7" fillId="3" borderId="0"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0" fontId="8" fillId="0" borderId="0" xfId="0" applyNumberFormat="1" applyFont="1" applyBorder="1" applyAlignment="1">
      <alignment horizontal="center"/>
    </xf>
    <xf numFmtId="0" fontId="8" fillId="0" borderId="0" xfId="0" applyFont="1" applyAlignment="1">
      <alignment horizontal="center"/>
    </xf>
    <xf numFmtId="49" fontId="8" fillId="0" borderId="2" xfId="0" applyNumberFormat="1" applyFont="1" applyBorder="1" applyAlignment="1">
      <alignment horizontal="center"/>
    </xf>
    <xf numFmtId="0" fontId="8" fillId="0" borderId="0" xfId="0" applyFont="1" applyFill="1" applyAlignment="1">
      <alignment horizontal="left"/>
    </xf>
    <xf numFmtId="0" fontId="8" fillId="0" borderId="0" xfId="0" applyFont="1" applyFill="1" applyBorder="1" applyAlignment="1">
      <alignment horizontal="left"/>
    </xf>
    <xf numFmtId="3" fontId="8" fillId="0" borderId="0" xfId="0" applyNumberFormat="1" applyFont="1" applyFill="1" applyAlignment="1">
      <alignment horizontal="left"/>
    </xf>
    <xf numFmtId="0" fontId="8" fillId="0" borderId="2" xfId="0" applyFont="1" applyFill="1" applyBorder="1" applyAlignment="1">
      <alignment horizontal="left"/>
    </xf>
    <xf numFmtId="3" fontId="7" fillId="0" borderId="0" xfId="1" applyNumberFormat="1" applyFont="1" applyFill="1" applyBorder="1" applyAlignment="1">
      <alignment horizontal="left" vertical="top"/>
    </xf>
    <xf numFmtId="0" fontId="0" fillId="0" borderId="2" xfId="0" applyFont="1" applyFill="1" applyBorder="1" applyAlignment="1">
      <alignment horizontal="left"/>
    </xf>
    <xf numFmtId="0" fontId="7" fillId="0" borderId="0" xfId="0" applyFont="1" applyFill="1" applyAlignment="1">
      <alignment horizontal="left"/>
    </xf>
    <xf numFmtId="0" fontId="7" fillId="0" borderId="0" xfId="0" applyFont="1" applyFill="1" applyBorder="1" applyAlignment="1">
      <alignment horizontal="left"/>
    </xf>
    <xf numFmtId="181" fontId="7" fillId="0" borderId="0" xfId="1" applyNumberFormat="1" applyFont="1" applyBorder="1" applyAlignment="1">
      <alignment horizontal="left" vertical="top"/>
    </xf>
    <xf numFmtId="49" fontId="8" fillId="3" borderId="2" xfId="0" applyNumberFormat="1" applyFont="1" applyFill="1" applyBorder="1" applyAlignment="1">
      <alignment horizontal="left"/>
    </xf>
    <xf numFmtId="49" fontId="0" fillId="0" borderId="2" xfId="0" applyNumberFormat="1" applyFill="1" applyBorder="1" applyAlignment="1">
      <alignment horizontal="left" vertical="top"/>
    </xf>
    <xf numFmtId="0" fontId="0" fillId="0" borderId="0" xfId="0" applyFill="1" applyBorder="1" applyAlignment="1">
      <alignment horizontal="left"/>
    </xf>
    <xf numFmtId="0" fontId="0" fillId="0" borderId="2" xfId="0" applyFill="1" applyBorder="1" applyAlignment="1">
      <alignment horizontal="left"/>
    </xf>
    <xf numFmtId="3" fontId="0" fillId="0" borderId="0" xfId="0" applyNumberFormat="1" applyFill="1" applyAlignment="1">
      <alignment horizontal="left" vertical="top"/>
    </xf>
    <xf numFmtId="49" fontId="0" fillId="3" borderId="0" xfId="0" applyNumberFormat="1" applyFill="1" applyBorder="1" applyAlignment="1">
      <alignment horizontal="left"/>
    </xf>
    <xf numFmtId="0" fontId="0" fillId="0" borderId="0" xfId="0" applyAlignment="1">
      <alignment horizontal="left"/>
    </xf>
    <xf numFmtId="0" fontId="0" fillId="0" borderId="0" xfId="0" applyFill="1" applyAlignment="1">
      <alignment horizontal="left"/>
    </xf>
    <xf numFmtId="49" fontId="7" fillId="0" borderId="0" xfId="0" applyNumberFormat="1" applyFont="1" applyFill="1" applyAlignment="1">
      <alignment horizontal="left" vertical="top"/>
    </xf>
    <xf numFmtId="11" fontId="0" fillId="0" borderId="0" xfId="0" applyNumberFormat="1" applyFill="1" applyBorder="1" applyAlignment="1">
      <alignment horizontal="left" vertical="top"/>
    </xf>
    <xf numFmtId="0" fontId="32" fillId="0" borderId="0" xfId="0" applyFont="1" applyFill="1" applyBorder="1" applyAlignment="1">
      <alignment horizontal="left" vertical="top"/>
    </xf>
    <xf numFmtId="0" fontId="0" fillId="0" borderId="0" xfId="0" applyFont="1" applyFill="1" applyAlignment="1">
      <alignment horizontal="left" vertical="top"/>
    </xf>
    <xf numFmtId="0" fontId="0" fillId="3" borderId="0" xfId="0" applyFont="1" applyFill="1" applyBorder="1" applyAlignment="1">
      <alignment horizontal="left"/>
    </xf>
    <xf numFmtId="49" fontId="0" fillId="3" borderId="2" xfId="0" applyNumberFormat="1" applyFont="1" applyFill="1" applyBorder="1" applyAlignment="1">
      <alignment horizontal="left"/>
    </xf>
    <xf numFmtId="0" fontId="0" fillId="0" borderId="0" xfId="0" applyFill="1" applyAlignment="1">
      <alignment horizontal="left" vertical="top"/>
    </xf>
    <xf numFmtId="49" fontId="0" fillId="0" borderId="0" xfId="0" applyNumberFormat="1" applyFont="1" applyFill="1" applyBorder="1" applyAlignment="1">
      <alignment horizontal="left"/>
    </xf>
    <xf numFmtId="3" fontId="0" fillId="0" borderId="2" xfId="0" applyNumberFormat="1" applyFont="1" applyFill="1" applyBorder="1" applyAlignment="1">
      <alignment horizontal="left" vertical="top"/>
    </xf>
    <xf numFmtId="165" fontId="8" fillId="0" borderId="0" xfId="0" applyNumberFormat="1" applyFont="1" applyFill="1" applyBorder="1" applyAlignment="1">
      <alignment horizontal="left" vertical="top"/>
    </xf>
    <xf numFmtId="0" fontId="32" fillId="0" borderId="0" xfId="0" applyFont="1" applyBorder="1" applyAlignment="1">
      <alignment horizontal="left" vertical="top"/>
    </xf>
    <xf numFmtId="0" fontId="0" fillId="0" borderId="0" xfId="0" applyFont="1" applyFill="1" applyBorder="1" applyAlignment="1">
      <alignment horizontal="left"/>
    </xf>
    <xf numFmtId="180" fontId="0" fillId="0" borderId="0" xfId="0" applyNumberFormat="1" applyFont="1">
      <alignment vertical="top"/>
    </xf>
    <xf numFmtId="0" fontId="0" fillId="6" borderId="8" xfId="0" applyNumberFormat="1" applyFont="1" applyFill="1" applyBorder="1" applyAlignment="1"/>
    <xf numFmtId="0" fontId="8" fillId="0" borderId="0" xfId="0" applyNumberFormat="1" applyFont="1" applyBorder="1" applyAlignment="1">
      <alignment vertical="top"/>
    </xf>
    <xf numFmtId="0" fontId="65" fillId="0" borderId="0" xfId="0" applyFont="1">
      <alignment vertical="top"/>
    </xf>
    <xf numFmtId="3" fontId="0" fillId="0" borderId="0" xfId="0" applyNumberFormat="1" applyFont="1">
      <alignment vertical="top"/>
    </xf>
    <xf numFmtId="0" fontId="8" fillId="11" borderId="11" xfId="0" applyFont="1" applyFill="1" applyBorder="1" applyAlignment="1"/>
    <xf numFmtId="0" fontId="0" fillId="11" borderId="11" xfId="0" applyFont="1" applyFill="1" applyBorder="1" applyAlignment="1">
      <alignment vertical="top"/>
    </xf>
    <xf numFmtId="0" fontId="60" fillId="11" borderId="11" xfId="0" applyFont="1" applyFill="1" applyBorder="1" applyAlignment="1">
      <alignment horizontal="right"/>
    </xf>
    <xf numFmtId="0" fontId="0" fillId="12" borderId="11" xfId="0" applyFont="1" applyFill="1" applyBorder="1" applyAlignment="1">
      <alignment vertical="top"/>
    </xf>
    <xf numFmtId="0" fontId="60" fillId="12" borderId="11" xfId="0" applyFont="1" applyFill="1" applyBorder="1" applyAlignment="1">
      <alignment horizontal="right"/>
    </xf>
    <xf numFmtId="0" fontId="8" fillId="12" borderId="11" xfId="0" applyFont="1" applyFill="1" applyBorder="1" applyAlignment="1">
      <alignment vertical="top"/>
    </xf>
    <xf numFmtId="0" fontId="60" fillId="12" borderId="11" xfId="0" applyFont="1" applyFill="1" applyBorder="1" applyAlignment="1">
      <alignment vertical="top"/>
    </xf>
    <xf numFmtId="0" fontId="61" fillId="12" borderId="11" xfId="0" applyFont="1" applyFill="1" applyBorder="1" applyAlignment="1">
      <alignment vertical="top"/>
    </xf>
    <xf numFmtId="0" fontId="61" fillId="12" borderId="11" xfId="0" applyFont="1" applyFill="1" applyBorder="1" applyAlignment="1">
      <alignment horizontal="left" vertical="top"/>
    </xf>
    <xf numFmtId="0" fontId="60" fillId="12" borderId="0" xfId="0" applyFont="1" applyFill="1" applyBorder="1" applyAlignment="1">
      <alignment horizontal="right"/>
    </xf>
    <xf numFmtId="49" fontId="60" fillId="12" borderId="11" xfId="0" applyNumberFormat="1" applyFont="1" applyFill="1" applyBorder="1" applyAlignment="1"/>
    <xf numFmtId="0" fontId="8" fillId="13" borderId="11" xfId="0" applyFont="1" applyFill="1" applyBorder="1" applyAlignment="1">
      <alignment vertical="top"/>
    </xf>
    <xf numFmtId="0" fontId="0" fillId="13" borderId="11" xfId="0" applyFont="1" applyFill="1" applyBorder="1" applyAlignment="1">
      <alignment vertical="top"/>
    </xf>
    <xf numFmtId="0" fontId="60" fillId="13" borderId="11" xfId="0" applyFont="1" applyFill="1" applyBorder="1" applyAlignment="1">
      <alignment horizontal="right"/>
    </xf>
    <xf numFmtId="0" fontId="61" fillId="13" borderId="11" xfId="0" applyFont="1" applyFill="1" applyBorder="1" applyAlignment="1">
      <alignment vertical="top"/>
    </xf>
    <xf numFmtId="0" fontId="60" fillId="13" borderId="11" xfId="0" applyFont="1" applyFill="1" applyBorder="1" applyAlignment="1">
      <alignment vertical="top"/>
    </xf>
    <xf numFmtId="0" fontId="61" fillId="13" borderId="11" xfId="0" applyFont="1" applyFill="1" applyBorder="1" applyAlignment="1">
      <alignment horizontal="left" vertical="top"/>
    </xf>
    <xf numFmtId="0" fontId="60" fillId="13" borderId="11" xfId="0" applyFont="1" applyFill="1" applyBorder="1" applyAlignment="1">
      <alignment horizontal="left" vertical="top"/>
    </xf>
    <xf numFmtId="49" fontId="60" fillId="13" borderId="11" xfId="0" applyNumberFormat="1" applyFont="1" applyFill="1" applyBorder="1" applyAlignment="1"/>
    <xf numFmtId="0" fontId="60" fillId="10" borderId="11" xfId="0" applyFont="1" applyFill="1" applyBorder="1" applyAlignment="1"/>
    <xf numFmtId="0" fontId="61" fillId="10" borderId="11" xfId="0" applyFont="1" applyFill="1" applyBorder="1" applyAlignment="1">
      <alignment vertical="top"/>
    </xf>
    <xf numFmtId="0" fontId="61" fillId="10" borderId="11" xfId="0" applyFont="1" applyFill="1" applyBorder="1" applyAlignment="1">
      <alignment horizontal="left" vertical="top"/>
    </xf>
    <xf numFmtId="0" fontId="60" fillId="10" borderId="11" xfId="0" applyFont="1" applyFill="1" applyBorder="1" applyAlignment="1">
      <alignment horizontal="right"/>
    </xf>
    <xf numFmtId="0" fontId="60" fillId="10" borderId="11" xfId="0" applyFont="1" applyFill="1" applyBorder="1" applyAlignment="1">
      <alignment vertical="top"/>
    </xf>
    <xf numFmtId="0" fontId="60" fillId="10" borderId="11" xfId="0" applyFont="1" applyFill="1" applyBorder="1" applyAlignment="1">
      <alignment horizontal="left" vertical="top"/>
    </xf>
    <xf numFmtId="49" fontId="60" fillId="10" borderId="11" xfId="0" applyNumberFormat="1" applyFont="1" applyFill="1" applyBorder="1" applyAlignment="1"/>
    <xf numFmtId="0" fontId="60" fillId="12" borderId="11" xfId="0" applyFont="1" applyFill="1" applyBorder="1" applyAlignment="1"/>
    <xf numFmtId="0" fontId="61" fillId="12" borderId="11" xfId="0" applyFont="1" applyFill="1" applyBorder="1" applyAlignment="1"/>
    <xf numFmtId="0" fontId="61" fillId="12" borderId="11" xfId="0" applyFont="1" applyFill="1" applyBorder="1" applyAlignment="1">
      <alignment horizontal="right"/>
    </xf>
    <xf numFmtId="0" fontId="61" fillId="12" borderId="0" xfId="0" applyFont="1" applyFill="1" applyBorder="1" applyAlignment="1">
      <alignment horizontal="right"/>
    </xf>
    <xf numFmtId="49" fontId="8" fillId="12" borderId="0" xfId="0" applyNumberFormat="1" applyFont="1" applyFill="1" applyBorder="1" applyAlignment="1"/>
    <xf numFmtId="0" fontId="0" fillId="11" borderId="11" xfId="0" applyFont="1" applyFill="1" applyBorder="1">
      <alignment vertical="top"/>
    </xf>
    <xf numFmtId="179" fontId="0" fillId="11" borderId="11" xfId="6" applyFont="1" applyFill="1" applyBorder="1">
      <alignment horizontal="right" vertical="top"/>
    </xf>
    <xf numFmtId="0" fontId="21" fillId="6" borderId="0" xfId="0" applyNumberFormat="1" applyFont="1" applyFill="1" applyBorder="1" applyAlignment="1"/>
    <xf numFmtId="0" fontId="74" fillId="14" borderId="13" xfId="0" applyFont="1" applyFill="1" applyBorder="1" applyAlignment="1">
      <alignment vertical="top"/>
    </xf>
    <xf numFmtId="0" fontId="75" fillId="14" borderId="13" xfId="0" applyFont="1" applyFill="1" applyBorder="1" applyAlignment="1">
      <alignment vertical="top"/>
    </xf>
    <xf numFmtId="3" fontId="74" fillId="14" borderId="13" xfId="0" applyNumberFormat="1" applyFont="1" applyFill="1" applyBorder="1" applyAlignment="1">
      <alignment horizontal="right" vertical="top"/>
    </xf>
    <xf numFmtId="0" fontId="8" fillId="0" borderId="2" xfId="0" applyFont="1" applyFill="1" applyBorder="1" applyAlignment="1"/>
    <xf numFmtId="49" fontId="7" fillId="0" borderId="2" xfId="0" applyNumberFormat="1" applyFont="1" applyFill="1" applyBorder="1" applyAlignment="1">
      <alignment horizontal="left" indent="2"/>
    </xf>
    <xf numFmtId="49" fontId="39" fillId="0" borderId="2" xfId="0" applyNumberFormat="1" applyFont="1" applyFill="1" applyBorder="1" applyAlignment="1">
      <alignment horizontal="left" vertical="top"/>
    </xf>
    <xf numFmtId="49" fontId="8" fillId="3" borderId="2" xfId="0" applyNumberFormat="1" applyFont="1" applyFill="1" applyBorder="1">
      <alignment vertical="top"/>
    </xf>
    <xf numFmtId="0" fontId="40" fillId="0" borderId="2" xfId="0" applyFont="1" applyBorder="1" applyAlignment="1"/>
    <xf numFmtId="49" fontId="8" fillId="3" borderId="2" xfId="0" applyNumberFormat="1" applyFont="1" applyFill="1" applyBorder="1" applyAlignment="1">
      <alignment horizontal="left" vertical="top"/>
    </xf>
    <xf numFmtId="0" fontId="0" fillId="0" borderId="0" xfId="0" applyFont="1" applyFill="1" applyAlignment="1">
      <alignment horizontal="left"/>
    </xf>
    <xf numFmtId="0" fontId="0" fillId="0" borderId="2" xfId="0" applyFont="1" applyBorder="1" applyAlignment="1">
      <alignment horizontal="left"/>
    </xf>
    <xf numFmtId="0" fontId="0" fillId="3" borderId="2" xfId="0" applyFont="1" applyFill="1" applyBorder="1" applyAlignment="1">
      <alignment horizontal="left"/>
    </xf>
    <xf numFmtId="0" fontId="8" fillId="0" borderId="2" xfId="0" applyFont="1" applyFill="1" applyBorder="1">
      <alignment vertical="top"/>
    </xf>
    <xf numFmtId="181" fontId="66" fillId="0" borderId="0" xfId="1" applyNumberFormat="1" applyFont="1" applyFill="1" applyBorder="1" applyAlignment="1">
      <alignment horizontal="right"/>
    </xf>
    <xf numFmtId="49" fontId="0" fillId="0" borderId="2" xfId="0" applyNumberFormat="1" applyFont="1" applyFill="1" applyBorder="1" applyAlignment="1">
      <alignment horizontal="left" indent="1"/>
    </xf>
    <xf numFmtId="181" fontId="7" fillId="0" borderId="5" xfId="1" applyNumberFormat="1" applyFont="1" applyFill="1" applyBorder="1" applyAlignment="1">
      <alignment horizontal="right"/>
    </xf>
    <xf numFmtId="181" fontId="7" fillId="0" borderId="0" xfId="1" applyNumberFormat="1" applyFont="1" applyFill="1" applyBorder="1" applyAlignment="1">
      <alignment horizontal="right"/>
    </xf>
    <xf numFmtId="43" fontId="7" fillId="0" borderId="0" xfId="1" applyNumberFormat="1" applyFont="1" applyFill="1" applyBorder="1" applyAlignment="1">
      <alignment horizontal="right"/>
    </xf>
    <xf numFmtId="37" fontId="0" fillId="0" borderId="5" xfId="1" applyNumberFormat="1" applyFont="1" applyFill="1" applyBorder="1" applyAlignment="1">
      <alignment horizontal="right"/>
    </xf>
    <xf numFmtId="37" fontId="7" fillId="0" borderId="0" xfId="1" applyNumberFormat="1" applyFont="1" applyFill="1" applyBorder="1" applyAlignment="1">
      <alignment horizontal="right"/>
    </xf>
    <xf numFmtId="49" fontId="72" fillId="0" borderId="2" xfId="0" applyNumberFormat="1" applyFont="1" applyFill="1" applyBorder="1" applyAlignment="1">
      <alignment horizontal="left" vertical="top"/>
    </xf>
    <xf numFmtId="49" fontId="72" fillId="0" borderId="0" xfId="0" applyNumberFormat="1" applyFont="1" applyFill="1" applyBorder="1" applyAlignment="1">
      <alignment horizontal="center" vertical="top"/>
    </xf>
    <xf numFmtId="179" fontId="0" fillId="0" borderId="0" xfId="0" applyNumberFormat="1" applyFont="1" applyFill="1">
      <alignment vertical="top"/>
    </xf>
    <xf numFmtId="0" fontId="8" fillId="0" borderId="0" xfId="0" applyFont="1" applyBorder="1" applyAlignment="1">
      <alignment horizontal="center"/>
    </xf>
    <xf numFmtId="0" fontId="8" fillId="0" borderId="2" xfId="0" applyFont="1" applyBorder="1" applyAlignment="1">
      <alignment horizontal="center"/>
    </xf>
    <xf numFmtId="0" fontId="0" fillId="0" borderId="2" xfId="0" applyFont="1" applyFill="1" applyBorder="1" applyAlignment="1">
      <alignment vertical="top"/>
    </xf>
    <xf numFmtId="49" fontId="0" fillId="0" borderId="2" xfId="0" applyNumberFormat="1" applyFont="1" applyFill="1" applyBorder="1" applyAlignment="1">
      <alignment vertical="top"/>
    </xf>
    <xf numFmtId="0" fontId="8" fillId="15" borderId="11" xfId="0" applyFont="1" applyFill="1" applyBorder="1" applyAlignment="1"/>
    <xf numFmtId="0" fontId="0" fillId="15" borderId="11" xfId="0" applyFont="1" applyFill="1" applyBorder="1" applyAlignment="1">
      <alignment vertical="top"/>
    </xf>
    <xf numFmtId="0" fontId="60" fillId="15" borderId="11" xfId="0" applyFont="1" applyFill="1" applyBorder="1" applyAlignment="1">
      <alignment horizontal="right"/>
    </xf>
    <xf numFmtId="0" fontId="8" fillId="16" borderId="11" xfId="0" applyFont="1" applyFill="1" applyBorder="1" applyAlignment="1"/>
    <xf numFmtId="0" fontId="0" fillId="16" borderId="11" xfId="0" applyFont="1" applyFill="1" applyBorder="1" applyAlignment="1">
      <alignment vertical="top"/>
    </xf>
    <xf numFmtId="0" fontId="60" fillId="16" borderId="11" xfId="0" applyFont="1" applyFill="1" applyBorder="1" applyAlignment="1">
      <alignment horizontal="right"/>
    </xf>
    <xf numFmtId="0" fontId="8" fillId="10" borderId="11" xfId="0" applyFont="1" applyFill="1" applyBorder="1" applyAlignment="1">
      <alignment vertical="top"/>
    </xf>
    <xf numFmtId="0" fontId="0" fillId="10" borderId="11" xfId="0" applyFont="1" applyFill="1" applyBorder="1" applyAlignment="1">
      <alignment vertical="top"/>
    </xf>
    <xf numFmtId="179" fontId="0" fillId="16" borderId="11" xfId="6" applyFont="1" applyFill="1" applyBorder="1">
      <alignment horizontal="right" vertical="top"/>
    </xf>
    <xf numFmtId="0" fontId="0" fillId="16" borderId="11" xfId="0" applyFont="1" applyFill="1" applyBorder="1">
      <alignment vertical="top"/>
    </xf>
    <xf numFmtId="3" fontId="0" fillId="6" borderId="0" xfId="1" applyNumberFormat="1" applyFont="1" applyFill="1" applyBorder="1" applyAlignment="1">
      <alignment horizontal="right" wrapText="1"/>
    </xf>
    <xf numFmtId="3" fontId="0" fillId="6" borderId="3" xfId="6" applyNumberFormat="1" applyFont="1" applyFill="1" applyBorder="1" applyAlignment="1">
      <alignment horizontal="right" vertical="top"/>
    </xf>
    <xf numFmtId="49" fontId="0" fillId="0" borderId="0" xfId="0" applyNumberFormat="1" applyFont="1" applyFill="1" applyBorder="1" applyAlignment="1">
      <alignment horizontal="left" vertical="top" wrapText="1" indent="1"/>
    </xf>
    <xf numFmtId="3" fontId="8" fillId="0" borderId="10" xfId="0" applyNumberFormat="1" applyFont="1" applyBorder="1" applyAlignment="1">
      <alignment horizontal="right" vertical="top"/>
    </xf>
    <xf numFmtId="3" fontId="8" fillId="0" borderId="11" xfId="0" applyNumberFormat="1" applyFont="1" applyBorder="1" applyAlignment="1">
      <alignment horizontal="right" vertical="top"/>
    </xf>
    <xf numFmtId="3" fontId="0" fillId="0" borderId="0" xfId="0" applyNumberFormat="1" applyFont="1" applyBorder="1" applyAlignment="1">
      <alignment horizontal="right" vertical="top"/>
    </xf>
    <xf numFmtId="3" fontId="26" fillId="0" borderId="0" xfId="0" applyNumberFormat="1" applyFont="1" applyBorder="1" applyAlignment="1">
      <alignment horizontal="right" vertical="top"/>
    </xf>
    <xf numFmtId="3" fontId="26" fillId="0" borderId="0" xfId="0" applyNumberFormat="1" applyFont="1" applyFill="1" applyBorder="1" applyAlignment="1">
      <alignment horizontal="right" vertical="top"/>
    </xf>
    <xf numFmtId="0" fontId="60" fillId="13" borderId="11" xfId="0" applyFont="1" applyFill="1" applyBorder="1" applyAlignment="1"/>
    <xf numFmtId="0" fontId="60" fillId="15" borderId="11" xfId="0" applyFont="1" applyFill="1" applyBorder="1" applyAlignment="1"/>
    <xf numFmtId="0" fontId="60" fillId="11" borderId="11" xfId="0" applyFont="1" applyFill="1" applyBorder="1" applyAlignment="1"/>
    <xf numFmtId="0" fontId="60" fillId="16" borderId="11" xfId="0" applyFont="1" applyFill="1" applyBorder="1" applyAlignment="1"/>
    <xf numFmtId="3" fontId="74" fillId="14" borderId="13" xfId="0" applyNumberFormat="1" applyFont="1" applyFill="1" applyBorder="1" applyAlignment="1">
      <alignment vertical="top"/>
    </xf>
    <xf numFmtId="39" fontId="21" fillId="0" borderId="0" xfId="1" applyNumberFormat="1" applyFont="1" applyFill="1" applyBorder="1" applyAlignment="1">
      <alignment vertical="top"/>
    </xf>
    <xf numFmtId="3" fontId="0" fillId="3" borderId="0" xfId="0" applyNumberFormat="1" applyFont="1" applyFill="1" applyBorder="1" applyAlignment="1">
      <alignment horizontal="right"/>
    </xf>
    <xf numFmtId="1" fontId="0" fillId="0" borderId="0" xfId="0" applyNumberFormat="1" applyFont="1" applyFill="1" applyBorder="1" applyAlignment="1">
      <alignment horizontal="right" vertical="top"/>
    </xf>
    <xf numFmtId="3" fontId="0" fillId="0" borderId="0" xfId="0" applyNumberFormat="1" applyFill="1" applyBorder="1" applyAlignment="1">
      <alignment horizontal="right" vertical="top"/>
    </xf>
    <xf numFmtId="165" fontId="0" fillId="0" borderId="0" xfId="0" applyNumberFormat="1" applyFill="1" applyBorder="1" applyAlignment="1">
      <alignment horizontal="right" vertical="top"/>
    </xf>
    <xf numFmtId="3" fontId="66" fillId="0" borderId="0" xfId="0" applyNumberFormat="1" applyFont="1" applyFill="1" applyBorder="1" applyAlignment="1">
      <alignment horizontal="right"/>
    </xf>
    <xf numFmtId="3" fontId="0" fillId="0" borderId="0" xfId="0" applyNumberFormat="1" applyFont="1" applyFill="1" applyBorder="1" applyAlignment="1">
      <alignment horizontal="right"/>
    </xf>
    <xf numFmtId="178" fontId="0" fillId="0" borderId="0" xfId="0" applyNumberFormat="1" applyFill="1" applyBorder="1" applyAlignment="1">
      <alignment horizontal="right" vertical="top"/>
    </xf>
    <xf numFmtId="43" fontId="0" fillId="0" borderId="0" xfId="0" applyNumberFormat="1" applyFont="1" applyFill="1" applyAlignment="1">
      <alignment horizontal="right"/>
    </xf>
    <xf numFmtId="3" fontId="0" fillId="3" borderId="0" xfId="0" applyNumberFormat="1" applyFont="1" applyFill="1" applyBorder="1" applyAlignment="1">
      <alignment horizontal="right" vertical="top"/>
    </xf>
    <xf numFmtId="0" fontId="0" fillId="0" borderId="0" xfId="0" applyBorder="1" applyAlignment="1">
      <alignment horizontal="right" vertical="top"/>
    </xf>
    <xf numFmtId="181" fontId="0" fillId="0" borderId="0" xfId="1" applyNumberFormat="1" applyFont="1" applyBorder="1" applyAlignment="1">
      <alignment horizontal="right" vertical="top"/>
    </xf>
    <xf numFmtId="181" fontId="66" fillId="0" borderId="0" xfId="1" applyNumberFormat="1" applyFont="1" applyFill="1" applyBorder="1" applyAlignment="1">
      <alignment horizontal="right" vertical="top"/>
    </xf>
    <xf numFmtId="3" fontId="0" fillId="0" borderId="5" xfId="0" applyNumberFormat="1" applyFill="1" applyBorder="1" applyAlignment="1">
      <alignment horizontal="right" vertical="top"/>
    </xf>
    <xf numFmtId="178" fontId="0" fillId="0" borderId="5" xfId="0" applyNumberFormat="1" applyFill="1" applyBorder="1" applyAlignment="1">
      <alignment horizontal="right" vertical="top"/>
    </xf>
    <xf numFmtId="3" fontId="7" fillId="0" borderId="5" xfId="0" applyNumberFormat="1" applyFont="1" applyFill="1" applyBorder="1" applyAlignment="1">
      <alignment horizontal="right" vertical="top"/>
    </xf>
    <xf numFmtId="165" fontId="0" fillId="0" borderId="5" xfId="0" applyNumberFormat="1" applyFill="1" applyBorder="1" applyAlignment="1">
      <alignment horizontal="right" vertical="top"/>
    </xf>
    <xf numFmtId="0" fontId="0" fillId="0" borderId="5" xfId="0" applyBorder="1" applyAlignment="1">
      <alignment horizontal="right" vertical="top"/>
    </xf>
    <xf numFmtId="181" fontId="0" fillId="0" borderId="5" xfId="1" applyNumberFormat="1" applyFont="1" applyBorder="1" applyAlignment="1">
      <alignment horizontal="right" vertical="top"/>
    </xf>
    <xf numFmtId="3" fontId="0" fillId="0" borderId="5" xfId="0" applyNumberFormat="1" applyBorder="1" applyAlignment="1">
      <alignment horizontal="right" vertical="top"/>
    </xf>
    <xf numFmtId="0" fontId="0" fillId="3" borderId="0" xfId="0" applyFill="1" applyBorder="1" applyAlignment="1">
      <alignment horizontal="right"/>
    </xf>
    <xf numFmtId="3" fontId="8" fillId="0" borderId="0" xfId="0" applyNumberFormat="1" applyFont="1" applyFill="1" applyBorder="1" applyAlignment="1">
      <alignment horizontal="right"/>
    </xf>
    <xf numFmtId="3" fontId="0" fillId="0" borderId="0" xfId="0" applyNumberFormat="1" applyBorder="1" applyAlignment="1">
      <alignment horizontal="right"/>
    </xf>
    <xf numFmtId="3" fontId="7" fillId="0" borderId="0" xfId="0" applyNumberFormat="1" applyFont="1" applyFill="1" applyBorder="1" applyAlignment="1">
      <alignment horizontal="right"/>
    </xf>
    <xf numFmtId="37" fontId="0" fillId="0" borderId="0" xfId="1" applyNumberFormat="1" applyFont="1" applyFill="1" applyBorder="1" applyAlignment="1">
      <alignment horizontal="right"/>
    </xf>
    <xf numFmtId="49" fontId="8" fillId="3" borderId="0" xfId="0" applyNumberFormat="1" applyFont="1" applyFill="1" applyBorder="1" applyAlignment="1">
      <alignment horizontal="right" vertical="top"/>
    </xf>
    <xf numFmtId="3" fontId="0" fillId="0" borderId="0" xfId="0" applyNumberFormat="1" applyBorder="1" applyAlignment="1">
      <alignment horizontal="right" vertical="top"/>
    </xf>
    <xf numFmtId="3" fontId="66" fillId="0" borderId="0" xfId="0" applyNumberFormat="1" applyFont="1" applyFill="1" applyBorder="1" applyAlignment="1">
      <alignment horizontal="right" vertical="top"/>
    </xf>
    <xf numFmtId="3" fontId="8" fillId="0" borderId="0" xfId="0" applyNumberFormat="1" applyFont="1" applyFill="1" applyAlignment="1">
      <alignment horizontal="right"/>
    </xf>
    <xf numFmtId="3" fontId="0" fillId="0" borderId="0" xfId="0" applyNumberFormat="1" applyFont="1" applyFill="1" applyAlignment="1">
      <alignment horizontal="right"/>
    </xf>
    <xf numFmtId="3" fontId="7" fillId="0" borderId="0" xfId="0" applyNumberFormat="1" applyFont="1" applyBorder="1" applyAlignment="1">
      <alignment horizontal="right" vertical="top"/>
    </xf>
    <xf numFmtId="0" fontId="7" fillId="0" borderId="0" xfId="0" applyFont="1" applyFill="1" applyBorder="1" applyAlignment="1">
      <alignment horizontal="right" vertical="top"/>
    </xf>
    <xf numFmtId="181" fontId="7" fillId="0" borderId="0" xfId="0" applyNumberFormat="1" applyFont="1" applyBorder="1" applyAlignment="1">
      <alignment horizontal="right" vertical="top"/>
    </xf>
    <xf numFmtId="3" fontId="8" fillId="0" borderId="0" xfId="0" applyNumberFormat="1" applyFont="1" applyBorder="1" applyAlignment="1">
      <alignment horizontal="right" vertical="top"/>
    </xf>
    <xf numFmtId="3" fontId="7" fillId="0" borderId="0" xfId="0" applyNumberFormat="1" applyFont="1" applyBorder="1" applyAlignment="1">
      <alignment vertical="top"/>
    </xf>
    <xf numFmtId="0" fontId="7" fillId="0" borderId="0" xfId="0" applyFont="1" applyBorder="1" applyAlignment="1">
      <alignment vertical="top"/>
    </xf>
    <xf numFmtId="181" fontId="8" fillId="0" borderId="0" xfId="1" applyNumberFormat="1" applyFont="1" applyFill="1" applyBorder="1" applyAlignment="1">
      <alignment vertical="top"/>
    </xf>
    <xf numFmtId="181" fontId="7" fillId="0" borderId="0" xfId="1" applyNumberFormat="1" applyFont="1" applyFill="1" applyBorder="1" applyAlignment="1">
      <alignment vertical="top"/>
    </xf>
    <xf numFmtId="3" fontId="0" fillId="0" borderId="0" xfId="1" applyNumberFormat="1" applyFont="1" applyFill="1" applyBorder="1" applyAlignment="1">
      <alignment horizontal="right" vertical="top"/>
    </xf>
    <xf numFmtId="49" fontId="0" fillId="0" borderId="2" xfId="0" applyNumberFormat="1" applyBorder="1" applyAlignment="1">
      <alignment vertical="top"/>
    </xf>
    <xf numFmtId="0" fontId="8" fillId="0" borderId="0" xfId="0" applyNumberFormat="1" applyFont="1" applyFill="1" applyBorder="1" applyAlignment="1">
      <alignment horizontal="right"/>
    </xf>
    <xf numFmtId="3" fontId="8" fillId="0" borderId="5" xfId="0" applyNumberFormat="1" applyFont="1" applyBorder="1" applyAlignment="1">
      <alignment horizontal="right" vertical="top"/>
    </xf>
    <xf numFmtId="181" fontId="7" fillId="0" borderId="5" xfId="1" applyNumberFormat="1" applyFont="1" applyFill="1" applyBorder="1" applyAlignment="1">
      <alignment horizontal="right" vertical="top"/>
    </xf>
    <xf numFmtId="181" fontId="0" fillId="0" borderId="5" xfId="1" applyNumberFormat="1" applyFont="1" applyFill="1" applyBorder="1" applyAlignment="1">
      <alignment horizontal="right" vertical="top"/>
    </xf>
    <xf numFmtId="3" fontId="0" fillId="0" borderId="5" xfId="0" applyNumberFormat="1" applyFont="1" applyFill="1" applyBorder="1" applyAlignment="1">
      <alignment horizontal="right" vertical="top"/>
    </xf>
    <xf numFmtId="0" fontId="0" fillId="0" borderId="5" xfId="0" applyFill="1" applyBorder="1" applyAlignment="1">
      <alignment horizontal="right" vertical="top"/>
    </xf>
    <xf numFmtId="49" fontId="7" fillId="0" borderId="2" xfId="0" applyNumberFormat="1" applyFont="1" applyFill="1" applyBorder="1" applyAlignment="1"/>
    <xf numFmtId="49" fontId="8" fillId="0" borderId="2" xfId="0" applyNumberFormat="1" applyFont="1" applyFill="1" applyBorder="1" applyAlignment="1">
      <alignment vertical="top"/>
    </xf>
    <xf numFmtId="170" fontId="0" fillId="0" borderId="2" xfId="0" quotePrefix="1" applyNumberFormat="1" applyFont="1" applyFill="1" applyBorder="1" applyAlignment="1">
      <alignment vertical="top"/>
    </xf>
    <xf numFmtId="0" fontId="0" fillId="0" borderId="2" xfId="0" applyBorder="1" applyAlignment="1">
      <alignment vertical="top"/>
    </xf>
    <xf numFmtId="0" fontId="7" fillId="0" borderId="0" xfId="0" applyFont="1" applyAlignment="1">
      <alignment vertical="top"/>
    </xf>
    <xf numFmtId="0" fontId="66" fillId="0" borderId="0" xfId="0" applyFont="1" applyBorder="1" applyAlignment="1">
      <alignment vertical="top"/>
    </xf>
    <xf numFmtId="3" fontId="8" fillId="0" borderId="5" xfId="0" applyNumberFormat="1" applyFont="1" applyBorder="1" applyAlignment="1">
      <alignment horizontal="center"/>
    </xf>
    <xf numFmtId="3" fontId="66" fillId="0" borderId="0" xfId="0" applyNumberFormat="1" applyFont="1" applyFill="1" applyBorder="1" applyAlignment="1">
      <alignment vertical="top"/>
    </xf>
    <xf numFmtId="0" fontId="8" fillId="0" borderId="0" xfId="0" applyNumberFormat="1" applyFont="1" applyFill="1" applyBorder="1" applyAlignment="1">
      <alignment vertical="top"/>
    </xf>
    <xf numFmtId="0" fontId="8" fillId="0" borderId="0" xfId="0" applyNumberFormat="1" applyFont="1" applyFill="1" applyBorder="1" applyAlignment="1"/>
    <xf numFmtId="170" fontId="0" fillId="0" borderId="5" xfId="0" applyNumberFormat="1" applyFont="1" applyFill="1" applyBorder="1" applyAlignment="1">
      <alignment vertical="top"/>
    </xf>
    <xf numFmtId="0" fontId="0" fillId="0" borderId="0" xfId="0" applyFont="1" applyFill="1" applyBorder="1" applyAlignment="1">
      <alignment horizontal="right"/>
    </xf>
    <xf numFmtId="0" fontId="0" fillId="0" borderId="0" xfId="0" applyFont="1" applyFill="1" applyBorder="1" applyAlignment="1">
      <alignment horizontal="right" vertical="top"/>
    </xf>
    <xf numFmtId="9" fontId="0" fillId="0" borderId="0" xfId="0" applyNumberFormat="1" applyFont="1" applyFill="1" applyBorder="1" applyAlignment="1">
      <alignment horizontal="right" vertical="top"/>
    </xf>
    <xf numFmtId="49" fontId="0" fillId="0" borderId="0" xfId="0" applyNumberFormat="1" applyFont="1" applyFill="1" applyBorder="1" applyAlignment="1">
      <alignment horizontal="right" vertical="top"/>
    </xf>
    <xf numFmtId="0" fontId="0" fillId="0" borderId="0" xfId="0" applyFont="1" applyFill="1" applyAlignment="1">
      <alignment horizontal="right"/>
    </xf>
    <xf numFmtId="178" fontId="0" fillId="0" borderId="0" xfId="0" applyNumberFormat="1" applyFont="1" applyFill="1" applyBorder="1" applyAlignment="1">
      <alignment horizontal="right" vertical="top"/>
    </xf>
    <xf numFmtId="0" fontId="0" fillId="0" borderId="0" xfId="0" applyFont="1" applyBorder="1" applyAlignment="1">
      <alignment horizontal="right" vertical="top"/>
    </xf>
    <xf numFmtId="11" fontId="0" fillId="0" borderId="0" xfId="0" applyNumberFormat="1" applyBorder="1" applyAlignment="1">
      <alignment horizontal="right" vertical="top"/>
    </xf>
    <xf numFmtId="0" fontId="0" fillId="0" borderId="0" xfId="0" applyFill="1" applyBorder="1" applyAlignment="1">
      <alignment horizontal="right"/>
    </xf>
    <xf numFmtId="3" fontId="0" fillId="0" borderId="0" xfId="0" applyNumberFormat="1" applyAlignment="1">
      <alignment horizontal="right"/>
    </xf>
    <xf numFmtId="9" fontId="0" fillId="0" borderId="0" xfId="0" applyNumberFormat="1" applyFill="1" applyBorder="1" applyAlignment="1">
      <alignment horizontal="right" vertical="top"/>
    </xf>
    <xf numFmtId="9" fontId="0" fillId="0" borderId="0" xfId="4" applyNumberFormat="1" applyFont="1" applyFill="1" applyAlignment="1">
      <alignment horizontal="right" vertical="top"/>
    </xf>
    <xf numFmtId="181" fontId="31" fillId="0" borderId="0" xfId="1" applyNumberFormat="1" applyFont="1" applyFill="1" applyBorder="1" applyAlignment="1">
      <alignment horizontal="right" vertical="top"/>
    </xf>
    <xf numFmtId="0" fontId="0" fillId="0" borderId="0" xfId="0" applyFill="1" applyBorder="1" applyAlignment="1">
      <alignment horizontal="right" vertical="top"/>
    </xf>
    <xf numFmtId="3" fontId="0" fillId="0" borderId="0" xfId="0" applyNumberFormat="1" applyFont="1" applyFill="1" applyBorder="1" applyAlignment="1">
      <alignment horizontal="right" vertical="top" wrapText="1"/>
    </xf>
    <xf numFmtId="181" fontId="0" fillId="0" borderId="0" xfId="1" applyNumberFormat="1" applyFont="1" applyFill="1" applyBorder="1" applyAlignment="1">
      <alignment horizontal="right" vertical="top"/>
    </xf>
    <xf numFmtId="0" fontId="0" fillId="0" borderId="0" xfId="0" applyNumberFormat="1" applyFill="1" applyBorder="1" applyAlignment="1">
      <alignment horizontal="right" vertical="top"/>
    </xf>
    <xf numFmtId="3" fontId="8" fillId="0" borderId="0" xfId="0" applyNumberFormat="1" applyFont="1" applyFill="1" applyAlignment="1">
      <alignment horizontal="right" vertical="top"/>
    </xf>
    <xf numFmtId="49" fontId="32" fillId="0" borderId="0" xfId="0" applyNumberFormat="1" applyFont="1" applyFill="1" applyBorder="1" applyAlignment="1">
      <alignment horizontal="right" vertical="top" wrapText="1"/>
    </xf>
    <xf numFmtId="3" fontId="0" fillId="0" borderId="0" xfId="0" applyNumberFormat="1" applyFill="1" applyAlignment="1">
      <alignment horizontal="right"/>
    </xf>
    <xf numFmtId="181" fontId="8" fillId="0" borderId="0" xfId="1" applyNumberFormat="1" applyFont="1" applyFill="1" applyBorder="1" applyAlignment="1">
      <alignment horizontal="right"/>
    </xf>
    <xf numFmtId="0" fontId="0" fillId="0" borderId="0" xfId="0" applyFill="1" applyAlignment="1">
      <alignment horizontal="right" vertical="top"/>
    </xf>
    <xf numFmtId="0" fontId="0" fillId="0" borderId="0" xfId="0" applyFont="1" applyFill="1" applyAlignment="1">
      <alignment vertical="top"/>
    </xf>
    <xf numFmtId="0" fontId="66" fillId="0" borderId="0" xfId="0" applyFont="1" applyFill="1" applyBorder="1" applyAlignment="1">
      <alignment vertical="top"/>
    </xf>
    <xf numFmtId="49" fontId="20" fillId="0" borderId="0" xfId="0" applyNumberFormat="1" applyFont="1" applyFill="1" applyBorder="1" applyAlignment="1">
      <alignment vertical="top"/>
    </xf>
    <xf numFmtId="0" fontId="0" fillId="0" borderId="0" xfId="0" applyNumberFormat="1" applyFont="1" applyFill="1" applyBorder="1" applyAlignment="1">
      <alignment vertical="top"/>
    </xf>
    <xf numFmtId="0" fontId="32" fillId="0" borderId="0" xfId="0" applyNumberFormat="1" applyFont="1" applyFill="1" applyBorder="1" applyAlignment="1">
      <alignment vertical="top"/>
    </xf>
    <xf numFmtId="0" fontId="32" fillId="0" borderId="2" xfId="0" applyNumberFormat="1" applyFont="1" applyFill="1" applyBorder="1" applyAlignment="1">
      <alignment vertical="top"/>
    </xf>
    <xf numFmtId="49" fontId="0" fillId="0" borderId="0" xfId="0" applyNumberFormat="1" applyFont="1" applyFill="1" applyBorder="1" applyAlignment="1">
      <alignment vertical="top" wrapText="1"/>
    </xf>
    <xf numFmtId="49" fontId="32" fillId="0" borderId="2" xfId="0" applyNumberFormat="1" applyFont="1" applyFill="1" applyBorder="1" applyAlignment="1"/>
    <xf numFmtId="165" fontId="0" fillId="0" borderId="2" xfId="0" applyNumberFormat="1" applyFont="1" applyFill="1" applyBorder="1" applyAlignment="1">
      <alignment vertical="top"/>
    </xf>
    <xf numFmtId="49" fontId="0" fillId="0" borderId="0" xfId="0" applyNumberFormat="1" applyFont="1" applyFill="1" applyBorder="1" applyAlignment="1"/>
    <xf numFmtId="3" fontId="0" fillId="0" borderId="2" xfId="0" applyNumberFormat="1" applyFont="1" applyFill="1" applyBorder="1" applyAlignment="1">
      <alignment vertical="top"/>
    </xf>
    <xf numFmtId="0" fontId="32" fillId="0" borderId="0" xfId="0" applyFont="1" applyBorder="1" applyAlignment="1">
      <alignment horizontal="right" vertical="top"/>
    </xf>
    <xf numFmtId="165" fontId="0" fillId="0" borderId="0" xfId="0" applyNumberFormat="1" applyFont="1" applyBorder="1" applyAlignment="1">
      <alignment horizontal="right" vertical="top"/>
    </xf>
    <xf numFmtId="3" fontId="0" fillId="0" borderId="0" xfId="0" applyNumberFormat="1" applyFont="1" applyBorder="1" applyAlignment="1">
      <alignment horizontal="right" vertical="top" wrapText="1"/>
    </xf>
    <xf numFmtId="3" fontId="8" fillId="0" borderId="0" xfId="0" applyNumberFormat="1" applyFont="1" applyFill="1" applyBorder="1" applyAlignment="1">
      <alignment horizontal="right" vertical="top" wrapText="1"/>
    </xf>
    <xf numFmtId="3" fontId="0" fillId="0" borderId="0" xfId="1" applyNumberFormat="1" applyFont="1" applyBorder="1" applyAlignment="1">
      <alignment horizontal="right" vertical="top"/>
    </xf>
    <xf numFmtId="3" fontId="66" fillId="0" borderId="0" xfId="1" applyNumberFormat="1" applyFont="1" applyFill="1" applyBorder="1" applyAlignment="1">
      <alignment horizontal="right" vertical="top"/>
    </xf>
    <xf numFmtId="3" fontId="66" fillId="0" borderId="5" xfId="1" applyNumberFormat="1" applyFont="1" applyFill="1" applyBorder="1" applyAlignment="1">
      <alignment horizontal="right" vertical="top"/>
    </xf>
    <xf numFmtId="3" fontId="7" fillId="0" borderId="0" xfId="0" applyNumberFormat="1" applyFont="1" applyBorder="1" applyAlignment="1">
      <alignment horizontal="right" vertical="top" wrapText="1"/>
    </xf>
    <xf numFmtId="49" fontId="20" fillId="0" borderId="0" xfId="0" applyNumberFormat="1" applyFont="1" applyFill="1" applyBorder="1" applyAlignment="1">
      <alignment horizontal="right" vertical="top" wrapText="1"/>
    </xf>
    <xf numFmtId="0" fontId="32" fillId="0" borderId="0" xfId="0" applyFont="1" applyBorder="1" applyAlignment="1">
      <alignment horizontal="right" vertical="top" wrapText="1"/>
    </xf>
    <xf numFmtId="3" fontId="7" fillId="0" borderId="5" xfId="0" applyNumberFormat="1" applyFont="1" applyBorder="1" applyAlignment="1">
      <alignment horizontal="right" vertical="top" wrapText="1"/>
    </xf>
    <xf numFmtId="181" fontId="8" fillId="0" borderId="5" xfId="1" applyNumberFormat="1" applyFont="1" applyFill="1" applyBorder="1" applyAlignment="1">
      <alignment horizontal="right" vertical="top"/>
    </xf>
    <xf numFmtId="181" fontId="66" fillId="0" borderId="5" xfId="1" applyNumberFormat="1" applyFont="1" applyFill="1" applyBorder="1" applyAlignment="1">
      <alignment horizontal="right" vertical="top"/>
    </xf>
    <xf numFmtId="0" fontId="0" fillId="0" borderId="5" xfId="0" applyNumberFormat="1" applyFill="1" applyBorder="1" applyAlignment="1">
      <alignment horizontal="right" vertical="top"/>
    </xf>
    <xf numFmtId="0" fontId="0" fillId="0" borderId="0" xfId="0" applyFont="1" applyFill="1" applyBorder="1" applyAlignment="1">
      <alignment vertical="top" wrapText="1"/>
    </xf>
    <xf numFmtId="0" fontId="32" fillId="0" borderId="0" xfId="0" applyFont="1" applyFill="1" applyBorder="1" applyAlignment="1">
      <alignment vertical="top" wrapText="1"/>
    </xf>
    <xf numFmtId="0" fontId="0" fillId="0" borderId="2" xfId="0" applyFont="1" applyFill="1" applyBorder="1" applyAlignment="1">
      <alignment vertical="top" wrapText="1"/>
    </xf>
    <xf numFmtId="3" fontId="0" fillId="0" borderId="0" xfId="0" applyNumberFormat="1" applyFont="1" applyFill="1" applyBorder="1" applyAlignment="1">
      <alignment vertical="top" wrapText="1"/>
    </xf>
    <xf numFmtId="3" fontId="7" fillId="0" borderId="0" xfId="0" applyNumberFormat="1" applyFont="1" applyBorder="1" applyAlignment="1">
      <alignment vertical="top" wrapText="1"/>
    </xf>
    <xf numFmtId="3" fontId="0" fillId="0" borderId="2" xfId="0" applyNumberFormat="1" applyFont="1" applyBorder="1" applyAlignment="1">
      <alignment vertical="top" wrapText="1"/>
    </xf>
    <xf numFmtId="49" fontId="8" fillId="0" borderId="0" xfId="0" applyNumberFormat="1" applyFont="1" applyFill="1" applyBorder="1" applyAlignment="1">
      <alignment vertical="top" wrapText="1"/>
    </xf>
    <xf numFmtId="49" fontId="20" fillId="0" borderId="0" xfId="0" applyNumberFormat="1" applyFont="1" applyFill="1" applyBorder="1" applyAlignment="1">
      <alignment vertical="top" wrapText="1"/>
    </xf>
    <xf numFmtId="3" fontId="0" fillId="0" borderId="2" xfId="0" applyNumberFormat="1" applyFont="1" applyBorder="1" applyAlignment="1">
      <alignment vertical="top"/>
    </xf>
    <xf numFmtId="181" fontId="0" fillId="0" borderId="2" xfId="1" applyNumberFormat="1" applyFont="1" applyBorder="1" applyAlignment="1">
      <alignment vertical="top"/>
    </xf>
    <xf numFmtId="181" fontId="66" fillId="0" borderId="2" xfId="1" applyNumberFormat="1" applyFont="1" applyFill="1" applyBorder="1" applyAlignment="1">
      <alignment vertical="top"/>
    </xf>
    <xf numFmtId="49" fontId="32" fillId="0" borderId="0" xfId="0" applyNumberFormat="1" applyFont="1" applyFill="1" applyBorder="1" applyAlignment="1">
      <alignment vertical="top" wrapText="1"/>
    </xf>
    <xf numFmtId="3" fontId="0" fillId="0" borderId="0" xfId="0" applyNumberFormat="1" applyFont="1" applyBorder="1" applyAlignment="1">
      <alignment vertical="top" wrapText="1"/>
    </xf>
    <xf numFmtId="181" fontId="72" fillId="0" borderId="0" xfId="1" applyNumberFormat="1" applyFont="1" applyFill="1" applyBorder="1" applyAlignment="1">
      <alignment vertical="top"/>
    </xf>
    <xf numFmtId="181" fontId="72" fillId="0" borderId="2" xfId="1" applyNumberFormat="1" applyFont="1" applyFill="1" applyBorder="1" applyAlignment="1">
      <alignment vertical="top"/>
    </xf>
    <xf numFmtId="0" fontId="0" fillId="0" borderId="0" xfId="0" applyNumberFormat="1" applyFont="1" applyFill="1" applyBorder="1" applyAlignment="1">
      <alignment vertical="top" wrapText="1"/>
    </xf>
    <xf numFmtId="0" fontId="32" fillId="0" borderId="0" xfId="0" applyNumberFormat="1" applyFont="1" applyFill="1" applyBorder="1" applyAlignment="1">
      <alignment vertical="top" wrapText="1"/>
    </xf>
    <xf numFmtId="0" fontId="0" fillId="0" borderId="2" xfId="0" applyNumberFormat="1" applyFont="1" applyFill="1" applyBorder="1" applyAlignment="1">
      <alignment vertical="top" wrapText="1"/>
    </xf>
    <xf numFmtId="0" fontId="0" fillId="0" borderId="0" xfId="0" applyFont="1" applyBorder="1" applyAlignment="1">
      <alignment vertical="top" wrapText="1"/>
    </xf>
    <xf numFmtId="0" fontId="32" fillId="0" borderId="0" xfId="0" applyFont="1" applyBorder="1" applyAlignment="1">
      <alignment vertical="top" wrapText="1"/>
    </xf>
    <xf numFmtId="0" fontId="0" fillId="0" borderId="2" xfId="0" applyFont="1" applyBorder="1" applyAlignment="1">
      <alignment vertical="top" wrapText="1"/>
    </xf>
    <xf numFmtId="0" fontId="27" fillId="0" borderId="0" xfId="0" applyFont="1" applyFill="1" applyAlignment="1">
      <alignment vertical="top"/>
    </xf>
    <xf numFmtId="0" fontId="27" fillId="0" borderId="0" xfId="0" applyFont="1" applyAlignment="1">
      <alignment vertical="top"/>
    </xf>
    <xf numFmtId="0" fontId="27" fillId="0" borderId="0" xfId="0" applyFont="1" applyFill="1" applyBorder="1" applyAlignment="1">
      <alignment vertical="top"/>
    </xf>
    <xf numFmtId="49" fontId="8" fillId="0" borderId="2" xfId="0" applyNumberFormat="1" applyFont="1" applyBorder="1" applyAlignment="1">
      <alignment horizontal="center" wrapText="1"/>
    </xf>
    <xf numFmtId="0" fontId="21" fillId="0" borderId="0" xfId="0" applyFont="1" applyFill="1" applyAlignment="1">
      <alignment horizontal="left" vertical="top"/>
    </xf>
    <xf numFmtId="3" fontId="0" fillId="0" borderId="0" xfId="0" applyNumberFormat="1" applyFill="1" applyBorder="1" applyAlignment="1">
      <alignment horizontal="right"/>
    </xf>
    <xf numFmtId="181" fontId="0" fillId="0" borderId="5" xfId="0" applyNumberFormat="1" applyFill="1" applyBorder="1" applyAlignment="1">
      <alignment horizontal="right" vertical="top"/>
    </xf>
    <xf numFmtId="3" fontId="8" fillId="0" borderId="0" xfId="0" applyNumberFormat="1" applyFont="1" applyFill="1" applyBorder="1" applyAlignment="1">
      <alignment horizontal="right" wrapText="1"/>
    </xf>
    <xf numFmtId="3" fontId="0" fillId="0" borderId="0" xfId="0" applyNumberFormat="1" applyFont="1" applyFill="1" applyBorder="1" applyAlignment="1">
      <alignment horizontal="right" wrapText="1"/>
    </xf>
    <xf numFmtId="3" fontId="0" fillId="0" borderId="0" xfId="0" quotePrefix="1" applyNumberFormat="1" applyFont="1" applyFill="1" applyBorder="1" applyAlignment="1">
      <alignment horizontal="right"/>
    </xf>
    <xf numFmtId="3" fontId="0" fillId="0" borderId="0" xfId="1" quotePrefix="1" applyNumberFormat="1" applyFont="1" applyFill="1" applyBorder="1" applyAlignment="1">
      <alignment horizontal="right" vertical="top"/>
    </xf>
    <xf numFmtId="178" fontId="0" fillId="0" borderId="0" xfId="4" applyNumberFormat="1" applyFont="1" applyFill="1" applyBorder="1" applyAlignment="1">
      <alignment horizontal="right" vertical="top"/>
    </xf>
    <xf numFmtId="43" fontId="66" fillId="0" borderId="0" xfId="1" applyNumberFormat="1" applyFont="1" applyFill="1" applyBorder="1" applyAlignment="1">
      <alignment horizontal="right" vertical="top"/>
    </xf>
    <xf numFmtId="181" fontId="38" fillId="0" borderId="0" xfId="0" applyNumberFormat="1" applyFont="1" applyFill="1" applyBorder="1" applyAlignment="1">
      <alignment horizontal="right" vertical="top"/>
    </xf>
    <xf numFmtId="181" fontId="0" fillId="0" borderId="0" xfId="0" applyNumberFormat="1" applyFill="1" applyBorder="1" applyAlignment="1">
      <alignment horizontal="right" vertical="top"/>
    </xf>
    <xf numFmtId="169" fontId="8" fillId="0" borderId="0" xfId="0" applyNumberFormat="1" applyFont="1" applyFill="1" applyBorder="1" applyAlignment="1">
      <alignment horizontal="right" vertical="top"/>
    </xf>
    <xf numFmtId="1" fontId="0" fillId="0" borderId="0" xfId="1" applyNumberFormat="1" applyFont="1" applyFill="1" applyBorder="1" applyAlignment="1">
      <alignment horizontal="right" vertical="top"/>
    </xf>
    <xf numFmtId="181" fontId="0" fillId="0" borderId="0" xfId="0" applyNumberFormat="1" applyBorder="1" applyAlignment="1">
      <alignment horizontal="right" vertical="top"/>
    </xf>
    <xf numFmtId="43" fontId="0" fillId="0" borderId="0" xfId="1" applyNumberFormat="1" applyFont="1" applyFill="1" applyBorder="1" applyAlignment="1">
      <alignment horizontal="right" vertical="top"/>
    </xf>
    <xf numFmtId="0" fontId="0" fillId="0" borderId="0" xfId="1" applyNumberFormat="1" applyFont="1" applyFill="1" applyBorder="1" applyAlignment="1">
      <alignment horizontal="right" vertical="top"/>
    </xf>
    <xf numFmtId="181" fontId="0" fillId="0" borderId="0" xfId="1" quotePrefix="1" applyNumberFormat="1" applyFont="1" applyFill="1" applyBorder="1" applyAlignment="1">
      <alignment horizontal="right" vertical="top"/>
    </xf>
    <xf numFmtId="3" fontId="29" fillId="0" borderId="0" xfId="0" applyNumberFormat="1" applyFont="1" applyFill="1" applyBorder="1" applyAlignment="1">
      <alignment horizontal="right" vertical="top"/>
    </xf>
    <xf numFmtId="49" fontId="7" fillId="0" borderId="0" xfId="0" applyNumberFormat="1" applyFont="1" applyFill="1" applyBorder="1" applyAlignment="1">
      <alignment vertical="top" wrapText="1"/>
    </xf>
    <xf numFmtId="3" fontId="8" fillId="0" borderId="0" xfId="0" applyNumberFormat="1" applyFont="1" applyFill="1" applyBorder="1" applyAlignment="1">
      <alignment wrapText="1"/>
    </xf>
    <xf numFmtId="3" fontId="0" fillId="0" borderId="0" xfId="0" applyNumberFormat="1" applyFont="1" applyFill="1" applyBorder="1" applyAlignment="1">
      <alignment wrapText="1"/>
    </xf>
    <xf numFmtId="3" fontId="7" fillId="0" borderId="2" xfId="0" applyNumberFormat="1" applyFont="1" applyFill="1" applyBorder="1" applyAlignment="1">
      <alignment vertical="top" wrapText="1"/>
    </xf>
    <xf numFmtId="3" fontId="7" fillId="0" borderId="2" xfId="0" applyNumberFormat="1" applyFont="1" applyBorder="1" applyAlignment="1">
      <alignment vertical="top" wrapText="1"/>
    </xf>
    <xf numFmtId="3" fontId="0" fillId="0" borderId="2" xfId="0" applyNumberFormat="1" applyFill="1" applyBorder="1" applyAlignment="1">
      <alignment vertical="top"/>
    </xf>
    <xf numFmtId="3" fontId="66" fillId="0" borderId="2" xfId="0" applyNumberFormat="1" applyFont="1" applyFill="1" applyBorder="1" applyAlignment="1">
      <alignment vertical="top"/>
    </xf>
    <xf numFmtId="181" fontId="0" fillId="0" borderId="0" xfId="0" applyNumberFormat="1" applyFont="1" applyFill="1" applyBorder="1" applyAlignment="1">
      <alignment vertical="top"/>
    </xf>
    <xf numFmtId="181" fontId="38" fillId="0" borderId="2" xfId="0" applyNumberFormat="1" applyFont="1" applyFill="1" applyBorder="1" applyAlignment="1">
      <alignment vertical="top"/>
    </xf>
    <xf numFmtId="3" fontId="8" fillId="0" borderId="2" xfId="0" applyNumberFormat="1" applyFont="1" applyFill="1" applyBorder="1" applyAlignment="1">
      <alignment vertical="top"/>
    </xf>
    <xf numFmtId="181" fontId="0" fillId="0" borderId="2" xfId="0" applyNumberFormat="1" applyFill="1" applyBorder="1" applyAlignment="1">
      <alignment vertical="top"/>
    </xf>
    <xf numFmtId="169" fontId="8" fillId="0" borderId="0" xfId="0" applyNumberFormat="1" applyFont="1" applyFill="1" applyBorder="1" applyAlignment="1">
      <alignment vertical="top"/>
    </xf>
    <xf numFmtId="169" fontId="8" fillId="0" borderId="2" xfId="0" applyNumberFormat="1" applyFont="1" applyFill="1" applyBorder="1" applyAlignment="1">
      <alignment vertical="top"/>
    </xf>
    <xf numFmtId="3" fontId="8" fillId="0" borderId="2" xfId="0" applyNumberFormat="1" applyFont="1" applyFill="1" applyBorder="1" applyAlignment="1">
      <alignment wrapText="1"/>
    </xf>
    <xf numFmtId="3" fontId="8" fillId="0" borderId="0" xfId="0" applyNumberFormat="1" applyFont="1" applyFill="1" applyBorder="1" applyAlignment="1">
      <alignment vertical="top" wrapText="1"/>
    </xf>
    <xf numFmtId="3" fontId="8" fillId="0" borderId="2" xfId="0" applyNumberFormat="1" applyFont="1" applyFill="1" applyBorder="1" applyAlignment="1">
      <alignment vertical="top" wrapText="1"/>
    </xf>
    <xf numFmtId="3" fontId="7" fillId="0" borderId="2" xfId="0" applyNumberFormat="1" applyFont="1" applyFill="1" applyBorder="1" applyAlignment="1">
      <alignment wrapText="1"/>
    </xf>
    <xf numFmtId="3" fontId="0" fillId="0" borderId="2" xfId="0" applyNumberFormat="1" applyFont="1" applyFill="1" applyBorder="1" applyAlignment="1">
      <alignment vertical="top" wrapText="1"/>
    </xf>
    <xf numFmtId="0" fontId="32" fillId="0" borderId="2" xfId="0" applyFont="1" applyBorder="1" applyAlignment="1">
      <alignment vertical="top" wrapText="1"/>
    </xf>
    <xf numFmtId="49" fontId="0" fillId="0" borderId="0" xfId="0" applyNumberFormat="1" applyFont="1" applyBorder="1" applyAlignment="1">
      <alignment vertical="top" wrapText="1"/>
    </xf>
    <xf numFmtId="49" fontId="38" fillId="0" borderId="0" xfId="0" applyNumberFormat="1" applyFont="1" applyFill="1" applyBorder="1" applyAlignment="1">
      <alignment vertical="top"/>
    </xf>
    <xf numFmtId="49" fontId="8" fillId="0" borderId="0" xfId="0" applyNumberFormat="1" applyFont="1" applyFill="1" applyBorder="1" applyAlignment="1">
      <alignment wrapText="1"/>
    </xf>
    <xf numFmtId="49" fontId="0" fillId="0" borderId="0" xfId="0" applyNumberFormat="1" applyFont="1" applyFill="1" applyBorder="1" applyAlignment="1">
      <alignment wrapText="1"/>
    </xf>
    <xf numFmtId="3" fontId="8" fillId="0" borderId="0" xfId="1" applyNumberFormat="1" applyFont="1" applyBorder="1" applyAlignment="1">
      <alignment horizontal="center" vertical="top"/>
    </xf>
    <xf numFmtId="49" fontId="8" fillId="0" borderId="0" xfId="0" applyNumberFormat="1" applyFont="1" applyBorder="1" applyAlignment="1">
      <alignment horizontal="center" wrapText="1"/>
    </xf>
    <xf numFmtId="0" fontId="8" fillId="0" borderId="0" xfId="0" applyNumberFormat="1" applyFont="1" applyFill="1" applyBorder="1" applyAlignment="1">
      <alignment horizontal="right" wrapText="1"/>
    </xf>
    <xf numFmtId="0" fontId="0" fillId="0" borderId="0" xfId="0" applyFont="1" applyFill="1" applyBorder="1" applyAlignment="1">
      <alignment horizontal="right" vertical="top" wrapText="1"/>
    </xf>
    <xf numFmtId="49" fontId="0" fillId="0" borderId="0" xfId="0" applyNumberFormat="1" applyFont="1" applyFill="1" applyBorder="1" applyAlignment="1">
      <alignment horizontal="right" vertical="top" wrapText="1"/>
    </xf>
    <xf numFmtId="49" fontId="8" fillId="0" borderId="0" xfId="0" applyNumberFormat="1" applyFont="1" applyFill="1" applyBorder="1" applyAlignment="1">
      <alignment horizontal="right" vertical="top" wrapText="1"/>
    </xf>
    <xf numFmtId="183" fontId="0" fillId="0" borderId="0" xfId="1" applyNumberFormat="1" applyFont="1" applyFill="1" applyBorder="1" applyAlignment="1">
      <alignment horizontal="right" vertical="top"/>
    </xf>
    <xf numFmtId="183" fontId="0" fillId="0" borderId="0" xfId="0" applyNumberFormat="1" applyFill="1" applyBorder="1" applyAlignment="1">
      <alignment horizontal="right" vertical="top"/>
    </xf>
    <xf numFmtId="181" fontId="66" fillId="0" borderId="0" xfId="0" applyNumberFormat="1" applyFont="1" applyFill="1" applyBorder="1" applyAlignment="1">
      <alignment horizontal="right" vertical="top"/>
    </xf>
    <xf numFmtId="181" fontId="8" fillId="0" borderId="0" xfId="0" applyNumberFormat="1" applyFont="1" applyFill="1" applyBorder="1" applyAlignment="1">
      <alignment horizontal="right"/>
    </xf>
    <xf numFmtId="43" fontId="0" fillId="0" borderId="0" xfId="0" applyNumberFormat="1" applyFill="1" applyBorder="1" applyAlignment="1">
      <alignment horizontal="right" vertical="top"/>
    </xf>
    <xf numFmtId="43" fontId="0" fillId="0" borderId="0" xfId="4" applyNumberFormat="1" applyFont="1" applyBorder="1" applyAlignment="1">
      <alignment horizontal="right" vertical="top"/>
    </xf>
    <xf numFmtId="181" fontId="26" fillId="0" borderId="5" xfId="1" applyNumberFormat="1" applyFont="1" applyFill="1" applyBorder="1" applyAlignment="1">
      <alignment horizontal="right" vertical="top"/>
    </xf>
    <xf numFmtId="3" fontId="7" fillId="0" borderId="5" xfId="0" applyNumberFormat="1" applyFont="1" applyFill="1" applyBorder="1" applyAlignment="1">
      <alignment horizontal="right" vertical="top" wrapText="1"/>
    </xf>
    <xf numFmtId="184" fontId="0" fillId="0" borderId="5" xfId="0" applyNumberFormat="1" applyFill="1" applyBorder="1" applyAlignment="1">
      <alignment horizontal="right" vertical="top"/>
    </xf>
    <xf numFmtId="165" fontId="0" fillId="0" borderId="5" xfId="0" applyNumberFormat="1" applyFont="1" applyBorder="1" applyAlignment="1">
      <alignment horizontal="right" vertical="top"/>
    </xf>
    <xf numFmtId="165" fontId="7" fillId="0" borderId="5" xfId="0" applyNumberFormat="1" applyFont="1" applyBorder="1" applyAlignment="1">
      <alignment horizontal="right" vertical="top" wrapText="1"/>
    </xf>
    <xf numFmtId="39" fontId="0" fillId="0" borderId="0" xfId="1" applyNumberFormat="1" applyFont="1" applyFill="1" applyBorder="1" applyAlignment="1">
      <alignment horizontal="right" vertical="top"/>
    </xf>
    <xf numFmtId="0" fontId="8" fillId="0" borderId="0" xfId="0" applyNumberFormat="1" applyFont="1" applyFill="1" applyBorder="1" applyAlignment="1">
      <alignment wrapText="1"/>
    </xf>
    <xf numFmtId="0" fontId="8" fillId="0" borderId="2" xfId="0" applyNumberFormat="1" applyFont="1" applyFill="1" applyBorder="1" applyAlignment="1">
      <alignment wrapText="1"/>
    </xf>
    <xf numFmtId="165" fontId="7" fillId="0" borderId="0" xfId="0" applyNumberFormat="1" applyFont="1" applyFill="1" applyBorder="1" applyAlignment="1">
      <alignment vertical="top"/>
    </xf>
    <xf numFmtId="165" fontId="0" fillId="0" borderId="2" xfId="0" applyNumberFormat="1" applyFont="1" applyFill="1" applyBorder="1" applyAlignment="1">
      <alignment vertical="top" wrapText="1"/>
    </xf>
    <xf numFmtId="181" fontId="0" fillId="0" borderId="2" xfId="1" applyNumberFormat="1" applyFont="1" applyFill="1" applyBorder="1" applyAlignment="1">
      <alignment vertical="top"/>
    </xf>
    <xf numFmtId="183" fontId="0" fillId="0" borderId="0" xfId="1" applyNumberFormat="1" applyFont="1" applyFill="1" applyBorder="1" applyAlignment="1">
      <alignment vertical="top"/>
    </xf>
    <xf numFmtId="183" fontId="0" fillId="0" borderId="2" xfId="1" applyNumberFormat="1" applyFont="1" applyFill="1" applyBorder="1" applyAlignment="1">
      <alignment vertical="top"/>
    </xf>
    <xf numFmtId="181" fontId="0" fillId="0" borderId="0" xfId="0" applyNumberFormat="1" applyFill="1" applyBorder="1" applyAlignment="1">
      <alignment vertical="top"/>
    </xf>
    <xf numFmtId="183" fontId="0" fillId="0" borderId="0" xfId="0" applyNumberFormat="1" applyFill="1" applyBorder="1" applyAlignment="1">
      <alignment vertical="top"/>
    </xf>
    <xf numFmtId="183" fontId="0" fillId="0" borderId="2" xfId="0" applyNumberFormat="1" applyFill="1" applyBorder="1" applyAlignment="1">
      <alignment vertical="top"/>
    </xf>
    <xf numFmtId="181" fontId="66" fillId="0" borderId="0" xfId="0" applyNumberFormat="1" applyFont="1" applyFill="1" applyBorder="1" applyAlignment="1">
      <alignment vertical="top"/>
    </xf>
    <xf numFmtId="181" fontId="66" fillId="0" borderId="2" xfId="0" applyNumberFormat="1" applyFont="1" applyFill="1" applyBorder="1" applyAlignment="1">
      <alignment vertical="top"/>
    </xf>
    <xf numFmtId="3" fontId="7" fillId="0" borderId="2" xfId="0" applyNumberFormat="1" applyFont="1" applyBorder="1" applyAlignment="1">
      <alignment vertical="top"/>
    </xf>
    <xf numFmtId="3" fontId="0" fillId="0" borderId="0" xfId="0" quotePrefix="1" applyNumberFormat="1" applyFont="1" applyBorder="1" applyAlignment="1">
      <alignment vertical="top" wrapText="1"/>
    </xf>
    <xf numFmtId="3" fontId="7" fillId="0" borderId="0" xfId="0" applyNumberFormat="1" applyFont="1" applyFill="1" applyBorder="1" applyAlignment="1">
      <alignment vertical="top" wrapText="1"/>
    </xf>
    <xf numFmtId="49" fontId="20" fillId="0" borderId="2" xfId="0" applyNumberFormat="1" applyFont="1" applyFill="1" applyBorder="1" applyAlignment="1">
      <alignment vertical="top" wrapText="1"/>
    </xf>
    <xf numFmtId="3" fontId="0" fillId="0" borderId="0" xfId="1" applyNumberFormat="1" applyFont="1" applyFill="1" applyBorder="1" applyAlignment="1">
      <alignment vertical="top"/>
    </xf>
    <xf numFmtId="3" fontId="0" fillId="0" borderId="2" xfId="1" applyNumberFormat="1" applyFont="1" applyFill="1" applyBorder="1" applyAlignment="1">
      <alignment vertical="top"/>
    </xf>
    <xf numFmtId="3" fontId="8" fillId="0" borderId="2" xfId="0" applyNumberFormat="1" applyFont="1" applyBorder="1" applyAlignment="1">
      <alignment vertical="top"/>
    </xf>
    <xf numFmtId="181" fontId="66" fillId="0" borderId="0" xfId="0" applyNumberFormat="1" applyFont="1" applyBorder="1" applyAlignment="1">
      <alignment vertical="top"/>
    </xf>
    <xf numFmtId="181" fontId="66" fillId="0" borderId="2" xfId="0" applyNumberFormat="1" applyFont="1" applyBorder="1" applyAlignment="1">
      <alignment vertical="top"/>
    </xf>
    <xf numFmtId="49" fontId="0" fillId="0" borderId="2" xfId="0" quotePrefix="1" applyNumberFormat="1" applyFont="1" applyBorder="1" applyAlignment="1">
      <alignment horizontal="left" vertical="top"/>
    </xf>
    <xf numFmtId="0" fontId="8" fillId="0" borderId="0" xfId="0" applyFont="1" applyFill="1" applyBorder="1" applyAlignment="1">
      <alignment horizontal="right" vertical="top"/>
    </xf>
    <xf numFmtId="49" fontId="8" fillId="0" borderId="0" xfId="0" applyNumberFormat="1" applyFont="1" applyFill="1" applyBorder="1" applyAlignment="1">
      <alignment horizontal="right"/>
    </xf>
    <xf numFmtId="4" fontId="0" fillId="0" borderId="0" xfId="0" applyNumberFormat="1" applyFont="1" applyFill="1" applyBorder="1" applyAlignment="1">
      <alignment horizontal="right" vertical="top"/>
    </xf>
    <xf numFmtId="3" fontId="7" fillId="0" borderId="0" xfId="0" applyNumberFormat="1" applyFont="1" applyFill="1" applyBorder="1" applyAlignment="1">
      <alignment horizontal="right" vertical="top" wrapText="1"/>
    </xf>
    <xf numFmtId="3" fontId="7" fillId="0" borderId="0" xfId="0" applyNumberFormat="1" applyFont="1" applyFill="1" applyBorder="1" applyAlignment="1">
      <alignment horizontal="right" vertical="top" wrapText="1" indent="1"/>
    </xf>
    <xf numFmtId="3" fontId="7" fillId="0" borderId="0" xfId="0" applyNumberFormat="1" applyFont="1" applyFill="1" applyBorder="1" applyAlignment="1">
      <alignment horizontal="right" vertical="top" wrapText="1" indent="2"/>
    </xf>
    <xf numFmtId="3" fontId="7" fillId="0" borderId="0" xfId="0" applyNumberFormat="1" applyFont="1" applyFill="1" applyBorder="1" applyAlignment="1">
      <alignment horizontal="right" vertical="top" wrapText="1" indent="3"/>
    </xf>
    <xf numFmtId="3" fontId="0" fillId="0" borderId="0" xfId="0" applyNumberFormat="1" applyFill="1" applyBorder="1" applyAlignment="1">
      <alignment horizontal="right" vertical="top" wrapText="1" indent="2"/>
    </xf>
    <xf numFmtId="3" fontId="0" fillId="0" borderId="0" xfId="0" applyNumberFormat="1" applyFill="1" applyBorder="1" applyAlignment="1">
      <alignment horizontal="right" vertical="top" wrapText="1" indent="3"/>
    </xf>
    <xf numFmtId="0" fontId="0" fillId="0" borderId="0" xfId="0" applyNumberFormat="1" applyFont="1" applyFill="1" applyBorder="1" applyAlignment="1">
      <alignment horizontal="right"/>
    </xf>
    <xf numFmtId="0" fontId="8" fillId="0" borderId="2" xfId="0" applyFont="1" applyBorder="1" applyAlignment="1">
      <alignment vertical="top"/>
    </xf>
    <xf numFmtId="49" fontId="0" fillId="0" borderId="0" xfId="0" applyNumberFormat="1" applyFont="1" applyBorder="1" applyAlignment="1">
      <alignment vertical="top"/>
    </xf>
    <xf numFmtId="49" fontId="0" fillId="0" borderId="2" xfId="0" applyNumberFormat="1" applyFont="1" applyBorder="1" applyAlignment="1">
      <alignment vertical="top"/>
    </xf>
    <xf numFmtId="164" fontId="0" fillId="0" borderId="0" xfId="0" applyNumberFormat="1" applyFont="1" applyBorder="1" applyAlignment="1">
      <alignment horizontal="right" vertical="top"/>
    </xf>
    <xf numFmtId="9" fontId="0" fillId="0" borderId="5" xfId="4" applyFont="1" applyFill="1" applyBorder="1" applyAlignment="1">
      <alignment horizontal="right" vertical="top"/>
    </xf>
    <xf numFmtId="170" fontId="0" fillId="0" borderId="0" xfId="0" applyNumberFormat="1" applyBorder="1" applyAlignment="1">
      <alignment horizontal="right" vertical="top"/>
    </xf>
    <xf numFmtId="49" fontId="0" fillId="0" borderId="2" xfId="0" quotePrefix="1" applyNumberFormat="1" applyFont="1" applyFill="1" applyBorder="1" applyAlignment="1">
      <alignment vertical="top"/>
    </xf>
    <xf numFmtId="49" fontId="72" fillId="0" borderId="0" xfId="0" applyNumberFormat="1" applyFont="1" applyFill="1" applyBorder="1" applyAlignment="1">
      <alignment vertical="top"/>
    </xf>
    <xf numFmtId="49" fontId="72" fillId="0" borderId="2" xfId="0" applyNumberFormat="1" applyFont="1" applyFill="1" applyBorder="1" applyAlignment="1">
      <alignment vertical="top"/>
    </xf>
    <xf numFmtId="3" fontId="72" fillId="0" borderId="0" xfId="0" applyNumberFormat="1" applyFont="1" applyFill="1" applyBorder="1" applyAlignment="1">
      <alignment vertical="top"/>
    </xf>
    <xf numFmtId="49" fontId="0" fillId="0" borderId="0" xfId="0" quotePrefix="1" applyNumberFormat="1" applyFont="1" applyFill="1" applyBorder="1" applyAlignment="1">
      <alignment vertical="top"/>
    </xf>
    <xf numFmtId="165" fontId="0" fillId="0" borderId="0" xfId="0" applyNumberFormat="1" applyFont="1" applyFill="1" applyBorder="1" applyAlignment="1">
      <alignment vertical="top"/>
    </xf>
    <xf numFmtId="0" fontId="72" fillId="0" borderId="0" xfId="0" applyFont="1" applyFill="1" applyBorder="1" applyAlignment="1">
      <alignment vertical="top"/>
    </xf>
    <xf numFmtId="0" fontId="0" fillId="0" borderId="2" xfId="0" applyBorder="1" applyAlignment="1"/>
    <xf numFmtId="0" fontId="45" fillId="9" borderId="18" xfId="0" applyFont="1" applyFill="1" applyBorder="1" applyAlignment="1">
      <alignment horizontal="center"/>
    </xf>
    <xf numFmtId="0" fontId="47" fillId="0" borderId="19" xfId="0" applyFont="1" applyBorder="1">
      <alignment vertical="top"/>
    </xf>
    <xf numFmtId="0" fontId="48" fillId="0" borderId="20" xfId="0" applyFont="1" applyFill="1" applyBorder="1" applyAlignment="1">
      <alignment horizontal="center"/>
    </xf>
    <xf numFmtId="3" fontId="45" fillId="10" borderId="24" xfId="0" applyNumberFormat="1" applyFont="1" applyFill="1" applyBorder="1" applyAlignment="1">
      <alignment horizontal="right" vertical="top"/>
    </xf>
    <xf numFmtId="0" fontId="46" fillId="0" borderId="12" xfId="0" applyFont="1" applyBorder="1">
      <alignment vertical="top"/>
    </xf>
    <xf numFmtId="0" fontId="50" fillId="0" borderId="12" xfId="0" applyFont="1" applyBorder="1">
      <alignment vertical="top"/>
    </xf>
    <xf numFmtId="0" fontId="47" fillId="0" borderId="12" xfId="0" applyFont="1" applyBorder="1">
      <alignment vertical="top"/>
    </xf>
    <xf numFmtId="3" fontId="45" fillId="8" borderId="24" xfId="0" applyNumberFormat="1" applyFont="1" applyFill="1" applyBorder="1" applyAlignment="1">
      <alignment horizontal="right" vertical="top"/>
    </xf>
    <xf numFmtId="0" fontId="46" fillId="0" borderId="12" xfId="0" applyFont="1" applyBorder="1" applyAlignment="1">
      <alignment vertical="top"/>
    </xf>
    <xf numFmtId="0" fontId="50" fillId="0" borderId="12" xfId="0" applyFont="1" applyBorder="1" applyAlignment="1">
      <alignment vertical="top"/>
    </xf>
    <xf numFmtId="3" fontId="49" fillId="0" borderId="12" xfId="0" applyNumberFormat="1" applyFont="1" applyBorder="1" applyAlignment="1">
      <alignment vertical="top"/>
    </xf>
    <xf numFmtId="3" fontId="50" fillId="0" borderId="12" xfId="0" applyNumberFormat="1" applyFont="1" applyBorder="1" applyAlignment="1">
      <alignment vertical="top"/>
    </xf>
    <xf numFmtId="0" fontId="59" fillId="6" borderId="20" xfId="0" applyFont="1" applyFill="1" applyBorder="1" applyAlignment="1">
      <alignment horizontal="center"/>
    </xf>
    <xf numFmtId="0" fontId="45" fillId="12" borderId="23" xfId="0" applyFont="1" applyFill="1" applyBorder="1" applyAlignment="1">
      <alignment vertical="top"/>
    </xf>
    <xf numFmtId="0" fontId="45" fillId="12" borderId="16" xfId="0" applyFont="1" applyFill="1" applyBorder="1" applyAlignment="1">
      <alignment vertical="top"/>
    </xf>
    <xf numFmtId="0" fontId="45" fillId="15" borderId="23" xfId="0" applyFont="1" applyFill="1" applyBorder="1" applyAlignment="1">
      <alignment vertical="top"/>
    </xf>
    <xf numFmtId="0" fontId="45" fillId="15" borderId="16" xfId="0" applyFont="1" applyFill="1" applyBorder="1" applyAlignment="1">
      <alignment vertical="top"/>
    </xf>
    <xf numFmtId="0" fontId="45" fillId="16" borderId="23" xfId="0" applyFont="1" applyFill="1" applyBorder="1" applyAlignment="1">
      <alignment vertical="top"/>
    </xf>
    <xf numFmtId="0" fontId="45" fillId="16" borderId="16" xfId="0" applyFont="1" applyFill="1" applyBorder="1" applyAlignment="1">
      <alignment vertical="top"/>
    </xf>
    <xf numFmtId="0" fontId="45" fillId="11" borderId="23" xfId="0" applyFont="1" applyFill="1" applyBorder="1" applyAlignment="1">
      <alignment vertical="top"/>
    </xf>
    <xf numFmtId="0" fontId="45" fillId="11" borderId="16" xfId="0" applyFont="1" applyFill="1" applyBorder="1" applyAlignment="1">
      <alignment vertical="top"/>
    </xf>
    <xf numFmtId="0" fontId="52" fillId="18" borderId="23" xfId="0" applyFont="1" applyFill="1" applyBorder="1" applyAlignment="1">
      <alignment vertical="top"/>
    </xf>
    <xf numFmtId="0" fontId="53" fillId="18" borderId="16" xfId="0" applyFont="1" applyFill="1" applyBorder="1" applyAlignment="1">
      <alignment vertical="top"/>
    </xf>
    <xf numFmtId="3" fontId="46" fillId="6" borderId="21" xfId="0" applyNumberFormat="1" applyFont="1" applyFill="1" applyBorder="1" applyAlignment="1">
      <alignment horizontal="right" vertical="top"/>
    </xf>
    <xf numFmtId="3" fontId="46" fillId="6" borderId="22" xfId="0" applyNumberFormat="1" applyFont="1" applyFill="1" applyBorder="1" applyAlignment="1">
      <alignment horizontal="right" vertical="top"/>
    </xf>
    <xf numFmtId="165" fontId="49" fillId="6" borderId="0" xfId="0" applyNumberFormat="1" applyFont="1" applyFill="1" applyBorder="1" applyAlignment="1">
      <alignment horizontal="right" vertical="top"/>
    </xf>
    <xf numFmtId="165" fontId="49" fillId="6" borderId="20" xfId="0" applyNumberFormat="1" applyFont="1" applyFill="1" applyBorder="1" applyAlignment="1">
      <alignment horizontal="right" vertical="top"/>
    </xf>
    <xf numFmtId="3" fontId="49" fillId="6" borderId="0" xfId="0" applyNumberFormat="1" applyFont="1" applyFill="1" applyBorder="1" applyAlignment="1">
      <alignment horizontal="right" vertical="top"/>
    </xf>
    <xf numFmtId="3" fontId="49" fillId="6" borderId="20" xfId="0" applyNumberFormat="1" applyFont="1" applyFill="1" applyBorder="1" applyAlignment="1">
      <alignment horizontal="right" vertical="top"/>
    </xf>
    <xf numFmtId="3" fontId="45" fillId="12" borderId="16" xfId="1" applyNumberFormat="1" applyFont="1" applyFill="1" applyBorder="1" applyAlignment="1">
      <alignment horizontal="right" vertical="top"/>
    </xf>
    <xf numFmtId="3" fontId="45" fillId="12" borderId="24" xfId="1" applyNumberFormat="1" applyFont="1" applyFill="1" applyBorder="1" applyAlignment="1">
      <alignment horizontal="right" vertical="top"/>
    </xf>
    <xf numFmtId="3" fontId="45" fillId="15" borderId="16" xfId="0" applyNumberFormat="1" applyFont="1" applyFill="1" applyBorder="1" applyAlignment="1">
      <alignment horizontal="right" vertical="top"/>
    </xf>
    <xf numFmtId="3" fontId="45" fillId="15" borderId="24" xfId="0" applyNumberFormat="1" applyFont="1" applyFill="1" applyBorder="1" applyAlignment="1">
      <alignment horizontal="right" vertical="top"/>
    </xf>
    <xf numFmtId="3" fontId="45" fillId="11" borderId="16" xfId="0" applyNumberFormat="1" applyFont="1" applyFill="1" applyBorder="1" applyAlignment="1">
      <alignment horizontal="right" vertical="top"/>
    </xf>
    <xf numFmtId="3" fontId="45" fillId="11" borderId="24" xfId="0" applyNumberFormat="1" applyFont="1" applyFill="1" applyBorder="1" applyAlignment="1">
      <alignment horizontal="right" vertical="top"/>
    </xf>
    <xf numFmtId="3" fontId="45" fillId="16" borderId="16" xfId="0" applyNumberFormat="1" applyFont="1" applyFill="1" applyBorder="1" applyAlignment="1">
      <alignment horizontal="right" vertical="top"/>
    </xf>
    <xf numFmtId="3" fontId="45" fillId="16" borderId="24" xfId="0" applyNumberFormat="1" applyFont="1" applyFill="1" applyBorder="1" applyAlignment="1">
      <alignment horizontal="right" vertical="top"/>
    </xf>
    <xf numFmtId="169" fontId="45" fillId="10" borderId="16" xfId="0" applyNumberFormat="1" applyFont="1" applyFill="1" applyBorder="1" applyAlignment="1">
      <alignment horizontal="right" vertical="top"/>
    </xf>
    <xf numFmtId="169" fontId="45" fillId="10" borderId="24" xfId="0" applyNumberFormat="1" applyFont="1" applyFill="1" applyBorder="1" applyAlignment="1">
      <alignment horizontal="right" vertical="top"/>
    </xf>
    <xf numFmtId="169" fontId="46" fillId="6" borderId="10" xfId="0" applyNumberFormat="1" applyFont="1" applyFill="1" applyBorder="1" applyAlignment="1">
      <alignment horizontal="right" vertical="top"/>
    </xf>
    <xf numFmtId="169" fontId="46" fillId="6" borderId="21" xfId="0" applyNumberFormat="1" applyFont="1" applyFill="1" applyBorder="1" applyAlignment="1">
      <alignment horizontal="right" vertical="top"/>
    </xf>
    <xf numFmtId="169" fontId="46" fillId="6" borderId="11" xfId="0" applyNumberFormat="1" applyFont="1" applyFill="1" applyBorder="1" applyAlignment="1">
      <alignment horizontal="right" vertical="top"/>
    </xf>
    <xf numFmtId="169" fontId="46" fillId="6" borderId="22" xfId="0" applyNumberFormat="1" applyFont="1" applyFill="1" applyBorder="1" applyAlignment="1">
      <alignment horizontal="right" vertical="top"/>
    </xf>
    <xf numFmtId="169" fontId="49" fillId="6" borderId="0" xfId="0" applyNumberFormat="1" applyFont="1" applyFill="1" applyBorder="1" applyAlignment="1">
      <alignment horizontal="right" vertical="top"/>
    </xf>
    <xf numFmtId="169" fontId="49" fillId="6" borderId="20" xfId="0" applyNumberFormat="1" applyFont="1" applyFill="1" applyBorder="1" applyAlignment="1">
      <alignment horizontal="right" vertical="top"/>
    </xf>
    <xf numFmtId="169" fontId="45" fillId="8" borderId="16" xfId="0" applyNumberFormat="1" applyFont="1" applyFill="1" applyBorder="1" applyAlignment="1">
      <alignment horizontal="right" vertical="top"/>
    </xf>
    <xf numFmtId="169" fontId="45" fillId="8" borderId="24" xfId="0" applyNumberFormat="1" applyFont="1" applyFill="1" applyBorder="1" applyAlignment="1">
      <alignment horizontal="right" vertical="top"/>
    </xf>
    <xf numFmtId="169" fontId="45" fillId="12" borderId="16" xfId="1" applyNumberFormat="1" applyFont="1" applyFill="1" applyBorder="1" applyAlignment="1">
      <alignment horizontal="right" vertical="top"/>
    </xf>
    <xf numFmtId="169" fontId="45" fillId="12" borderId="24" xfId="1" applyNumberFormat="1" applyFont="1" applyFill="1" applyBorder="1" applyAlignment="1">
      <alignment horizontal="right" vertical="top"/>
    </xf>
    <xf numFmtId="169" fontId="45" fillId="15" borderId="16" xfId="0" applyNumberFormat="1" applyFont="1" applyFill="1" applyBorder="1" applyAlignment="1">
      <alignment horizontal="right" vertical="top"/>
    </xf>
    <xf numFmtId="169" fontId="45" fillId="15" borderId="24" xfId="0" applyNumberFormat="1" applyFont="1" applyFill="1" applyBorder="1" applyAlignment="1">
      <alignment horizontal="right" vertical="top"/>
    </xf>
    <xf numFmtId="169" fontId="45" fillId="11" borderId="16" xfId="0" applyNumberFormat="1" applyFont="1" applyFill="1" applyBorder="1" applyAlignment="1">
      <alignment horizontal="right" vertical="top"/>
    </xf>
    <xf numFmtId="169" fontId="45" fillId="11" borderId="24" xfId="0" applyNumberFormat="1" applyFont="1" applyFill="1" applyBorder="1" applyAlignment="1">
      <alignment horizontal="right" vertical="top"/>
    </xf>
    <xf numFmtId="169" fontId="45" fillId="16" borderId="16" xfId="0" applyNumberFormat="1" applyFont="1" applyFill="1" applyBorder="1" applyAlignment="1">
      <alignment horizontal="right" vertical="top"/>
    </xf>
    <xf numFmtId="169" fontId="45" fillId="16" borderId="24" xfId="0" applyNumberFormat="1" applyFont="1" applyFill="1" applyBorder="1" applyAlignment="1">
      <alignment horizontal="right" vertical="top"/>
    </xf>
    <xf numFmtId="37" fontId="0" fillId="6" borderId="8" xfId="1" applyNumberFormat="1" applyFont="1" applyFill="1" applyBorder="1" applyAlignment="1"/>
    <xf numFmtId="37" fontId="0" fillId="6" borderId="0" xfId="1" applyNumberFormat="1" applyFont="1" applyFill="1" applyBorder="1" applyAlignment="1"/>
    <xf numFmtId="37" fontId="8" fillId="6" borderId="9" xfId="1" applyNumberFormat="1" applyFont="1" applyFill="1" applyBorder="1" applyAlignment="1"/>
    <xf numFmtId="37" fontId="0" fillId="0" borderId="8" xfId="1" applyNumberFormat="1" applyFont="1" applyFill="1" applyBorder="1" applyAlignment="1"/>
    <xf numFmtId="37" fontId="0" fillId="0" borderId="10" xfId="1" applyNumberFormat="1" applyFont="1" applyFill="1" applyBorder="1" applyAlignment="1"/>
    <xf numFmtId="37" fontId="0" fillId="6" borderId="10" xfId="1" applyNumberFormat="1" applyFont="1" applyFill="1" applyBorder="1" applyAlignment="1"/>
    <xf numFmtId="37" fontId="0" fillId="6" borderId="0" xfId="1" applyNumberFormat="1" applyFont="1" applyFill="1" applyBorder="1" applyAlignment="1">
      <alignment horizontal="right"/>
    </xf>
    <xf numFmtId="37" fontId="0" fillId="6" borderId="0" xfId="1" applyNumberFormat="1" applyFont="1" applyFill="1" applyBorder="1" applyAlignment="1">
      <alignment horizontal="right" vertical="top"/>
    </xf>
    <xf numFmtId="37" fontId="0" fillId="6" borderId="10" xfId="1" applyNumberFormat="1" applyFont="1" applyFill="1" applyBorder="1" applyAlignment="1">
      <alignment horizontal="right" vertical="top"/>
    </xf>
    <xf numFmtId="181" fontId="8" fillId="6" borderId="3" xfId="1" applyNumberFormat="1" applyFont="1" applyFill="1" applyBorder="1" applyAlignment="1"/>
    <xf numFmtId="37" fontId="0" fillId="6" borderId="9" xfId="1" applyNumberFormat="1" applyFont="1" applyFill="1" applyBorder="1" applyAlignment="1"/>
    <xf numFmtId="37" fontId="0" fillId="6" borderId="9" xfId="1" applyNumberFormat="1" applyFont="1" applyFill="1" applyBorder="1" applyAlignment="1">
      <alignment horizontal="right"/>
    </xf>
    <xf numFmtId="3" fontId="0" fillId="6" borderId="0" xfId="1" applyNumberFormat="1" applyFont="1" applyFill="1" applyBorder="1" applyAlignment="1"/>
    <xf numFmtId="37" fontId="0" fillId="6" borderId="0" xfId="1" applyNumberFormat="1" applyFont="1" applyFill="1" applyBorder="1" applyAlignment="1">
      <alignment vertical="top"/>
    </xf>
    <xf numFmtId="37" fontId="0" fillId="6" borderId="10" xfId="1" applyNumberFormat="1" applyFont="1" applyFill="1" applyBorder="1" applyAlignment="1">
      <alignment vertical="top"/>
    </xf>
    <xf numFmtId="37" fontId="0" fillId="6" borderId="9" xfId="1" applyNumberFormat="1" applyFont="1" applyFill="1" applyBorder="1" applyAlignment="1">
      <alignment vertical="top"/>
    </xf>
    <xf numFmtId="3" fontId="0" fillId="0" borderId="0" xfId="1" applyNumberFormat="1" applyFont="1" applyFill="1" applyBorder="1" applyAlignment="1"/>
    <xf numFmtId="3" fontId="0" fillId="6" borderId="9" xfId="1" applyNumberFormat="1" applyFont="1" applyFill="1" applyBorder="1" applyAlignment="1">
      <alignment vertical="top"/>
    </xf>
    <xf numFmtId="37" fontId="8" fillId="6" borderId="3" xfId="1" applyNumberFormat="1" applyFont="1" applyFill="1" applyBorder="1" applyAlignment="1"/>
    <xf numFmtId="37" fontId="8" fillId="6" borderId="9" xfId="1" applyNumberFormat="1" applyFont="1" applyFill="1" applyBorder="1" applyAlignment="1">
      <alignment vertical="top"/>
    </xf>
    <xf numFmtId="3" fontId="3" fillId="0" borderId="0" xfId="0" applyNumberFormat="1" applyFont="1">
      <alignment vertical="top"/>
    </xf>
    <xf numFmtId="3" fontId="21" fillId="0" borderId="0" xfId="0" applyNumberFormat="1" applyFont="1">
      <alignment vertical="top"/>
    </xf>
    <xf numFmtId="3" fontId="45" fillId="10" borderId="16" xfId="0" applyNumberFormat="1" applyFont="1" applyFill="1" applyBorder="1" applyAlignment="1">
      <alignment vertical="top"/>
    </xf>
    <xf numFmtId="3" fontId="45" fillId="10" borderId="24" xfId="0" applyNumberFormat="1" applyFont="1" applyFill="1" applyBorder="1" applyAlignment="1">
      <alignment vertical="top"/>
    </xf>
    <xf numFmtId="3" fontId="46" fillId="0" borderId="10" xfId="0" applyNumberFormat="1" applyFont="1" applyBorder="1" applyAlignment="1">
      <alignment vertical="top"/>
    </xf>
    <xf numFmtId="3" fontId="46" fillId="0" borderId="21" xfId="0" applyNumberFormat="1" applyFont="1" applyBorder="1" applyAlignment="1">
      <alignment vertical="top"/>
    </xf>
    <xf numFmtId="3" fontId="50" fillId="0" borderId="0" xfId="0" applyNumberFormat="1" applyFont="1" applyBorder="1" applyAlignment="1">
      <alignment vertical="top"/>
    </xf>
    <xf numFmtId="3" fontId="50" fillId="0" borderId="20" xfId="0" applyNumberFormat="1" applyFont="1" applyBorder="1" applyAlignment="1">
      <alignment vertical="top"/>
    </xf>
    <xf numFmtId="3" fontId="46" fillId="0" borderId="11" xfId="0" applyNumberFormat="1" applyFont="1" applyBorder="1" applyAlignment="1">
      <alignment vertical="top"/>
    </xf>
    <xf numFmtId="3" fontId="46" fillId="0" borderId="22" xfId="0" applyNumberFormat="1" applyFont="1" applyBorder="1" applyAlignment="1">
      <alignment vertical="top"/>
    </xf>
    <xf numFmtId="3" fontId="50" fillId="0" borderId="0" xfId="1" applyNumberFormat="1" applyFont="1" applyBorder="1" applyAlignment="1">
      <alignment vertical="top"/>
    </xf>
    <xf numFmtId="3" fontId="50" fillId="0" borderId="20" xfId="1" applyNumberFormat="1" applyFont="1" applyBorder="1" applyAlignment="1">
      <alignment vertical="top"/>
    </xf>
    <xf numFmtId="3" fontId="45" fillId="8" borderId="16" xfId="0" applyNumberFormat="1" applyFont="1" applyFill="1" applyBorder="1" applyAlignment="1">
      <alignment vertical="top"/>
    </xf>
    <xf numFmtId="3" fontId="45" fillId="8" borderId="24" xfId="0" applyNumberFormat="1" applyFont="1" applyFill="1" applyBorder="1" applyAlignment="1">
      <alignment vertical="top"/>
    </xf>
    <xf numFmtId="3" fontId="45" fillId="12" borderId="16" xfId="1" applyNumberFormat="1" applyFont="1" applyFill="1" applyBorder="1" applyAlignment="1">
      <alignment vertical="top"/>
    </xf>
    <xf numFmtId="3" fontId="45" fillId="12" borderId="24" xfId="1" applyNumberFormat="1" applyFont="1" applyFill="1" applyBorder="1" applyAlignment="1">
      <alignment vertical="top"/>
    </xf>
    <xf numFmtId="3" fontId="50" fillId="0" borderId="0" xfId="0" applyNumberFormat="1" applyFont="1" applyFill="1" applyBorder="1" applyAlignment="1">
      <alignment vertical="top"/>
    </xf>
    <xf numFmtId="3" fontId="45" fillId="15" borderId="16" xfId="1" applyNumberFormat="1" applyFont="1" applyFill="1" applyBorder="1" applyAlignment="1">
      <alignment vertical="top"/>
    </xf>
    <xf numFmtId="3" fontId="45" fillId="15" borderId="24" xfId="1" applyNumberFormat="1" applyFont="1" applyFill="1" applyBorder="1" applyAlignment="1">
      <alignment vertical="top"/>
    </xf>
    <xf numFmtId="3" fontId="45" fillId="11" borderId="16" xfId="1" applyNumberFormat="1" applyFont="1" applyFill="1" applyBorder="1" applyAlignment="1">
      <alignment vertical="top"/>
    </xf>
    <xf numFmtId="3" fontId="45" fillId="11" borderId="24" xfId="1" applyNumberFormat="1" applyFont="1" applyFill="1" applyBorder="1" applyAlignment="1">
      <alignment vertical="top"/>
    </xf>
    <xf numFmtId="3" fontId="45" fillId="16" borderId="16" xfId="1" applyNumberFormat="1" applyFont="1" applyFill="1" applyBorder="1" applyAlignment="1">
      <alignment vertical="top"/>
    </xf>
    <xf numFmtId="3" fontId="45" fillId="16" borderId="24" xfId="1" applyNumberFormat="1" applyFont="1" applyFill="1" applyBorder="1" applyAlignment="1">
      <alignment vertical="top"/>
    </xf>
    <xf numFmtId="3" fontId="52" fillId="18" borderId="16" xfId="0" applyNumberFormat="1" applyFont="1" applyFill="1" applyBorder="1" applyAlignment="1">
      <alignment vertical="top"/>
    </xf>
    <xf numFmtId="3" fontId="52" fillId="18" borderId="24" xfId="0" applyNumberFormat="1" applyFont="1" applyFill="1" applyBorder="1" applyAlignment="1">
      <alignment vertical="top"/>
    </xf>
    <xf numFmtId="9" fontId="21" fillId="0" borderId="0" xfId="0" applyNumberFormat="1" applyFont="1">
      <alignment vertical="top"/>
    </xf>
    <xf numFmtId="9" fontId="0" fillId="0" borderId="0" xfId="0" applyNumberFormat="1" applyFont="1">
      <alignment vertical="top"/>
    </xf>
    <xf numFmtId="9" fontId="0" fillId="0" borderId="0" xfId="0" applyNumberFormat="1" applyFont="1" applyAlignment="1">
      <alignment vertical="top"/>
    </xf>
    <xf numFmtId="9" fontId="0" fillId="0" borderId="0" xfId="0" applyNumberFormat="1" applyFont="1" applyBorder="1">
      <alignment vertical="top"/>
    </xf>
    <xf numFmtId="9" fontId="8" fillId="0" borderId="0" xfId="0" applyNumberFormat="1" applyFont="1">
      <alignment vertical="top"/>
    </xf>
    <xf numFmtId="181" fontId="8" fillId="0" borderId="0" xfId="1" applyNumberFormat="1" applyFont="1" applyFill="1" applyBorder="1" applyAlignment="1"/>
    <xf numFmtId="3" fontId="0" fillId="0" borderId="0" xfId="0" applyNumberFormat="1" applyFont="1" applyFill="1" applyAlignment="1">
      <alignment vertical="top"/>
    </xf>
    <xf numFmtId="0" fontId="20" fillId="0" borderId="2" xfId="0" applyNumberFormat="1" applyFont="1" applyFill="1" applyBorder="1" applyAlignment="1"/>
    <xf numFmtId="0" fontId="0" fillId="0" borderId="2" xfId="0" applyFont="1" applyFill="1" applyBorder="1">
      <alignment vertical="top"/>
    </xf>
    <xf numFmtId="3" fontId="7" fillId="0" borderId="10" xfId="1" applyNumberFormat="1" applyFont="1" applyFill="1" applyBorder="1" applyAlignment="1">
      <alignment horizontal="right" vertical="top"/>
    </xf>
    <xf numFmtId="0" fontId="0" fillId="6" borderId="9" xfId="0" applyNumberFormat="1" applyFont="1" applyFill="1" applyBorder="1" applyAlignment="1">
      <alignment horizontal="left" indent="1"/>
    </xf>
    <xf numFmtId="3" fontId="0" fillId="0" borderId="0" xfId="1" applyNumberFormat="1" applyFont="1" applyFill="1" applyBorder="1" applyAlignment="1">
      <alignment horizontal="right"/>
    </xf>
    <xf numFmtId="3" fontId="8" fillId="0" borderId="9" xfId="1" applyNumberFormat="1" applyFont="1" applyFill="1" applyBorder="1" applyAlignment="1">
      <alignment horizontal="right" vertical="top"/>
    </xf>
    <xf numFmtId="178" fontId="0" fillId="0" borderId="0" xfId="0" applyNumberFormat="1" applyFont="1" applyAlignment="1">
      <alignment vertical="top"/>
    </xf>
    <xf numFmtId="185" fontId="0" fillId="0" borderId="0" xfId="0" applyNumberFormat="1" applyFont="1">
      <alignment vertical="top"/>
    </xf>
    <xf numFmtId="3" fontId="0" fillId="0" borderId="0" xfId="0" applyNumberFormat="1" applyAlignment="1">
      <alignment horizontal="center" vertical="top"/>
    </xf>
    <xf numFmtId="181" fontId="0" fillId="0" borderId="5" xfId="0" applyNumberFormat="1" applyBorder="1">
      <alignment vertical="top"/>
    </xf>
    <xf numFmtId="9" fontId="0" fillId="0" borderId="0" xfId="4" applyFont="1" applyFill="1" applyBorder="1" applyAlignment="1">
      <alignment vertical="top"/>
    </xf>
    <xf numFmtId="9" fontId="0" fillId="0" borderId="0" xfId="4" applyNumberFormat="1" applyFont="1" applyFill="1" applyBorder="1" applyAlignment="1">
      <alignment vertical="top"/>
    </xf>
    <xf numFmtId="43" fontId="0" fillId="0" borderId="0" xfId="0" applyNumberFormat="1" applyAlignment="1">
      <alignment horizontal="center" vertical="top"/>
    </xf>
    <xf numFmtId="0" fontId="46" fillId="0" borderId="0" xfId="0" applyFont="1" applyFill="1" applyBorder="1">
      <alignment vertical="top"/>
    </xf>
    <xf numFmtId="3" fontId="46" fillId="0" borderId="0" xfId="0" applyNumberFormat="1" applyFont="1" applyFill="1" applyBorder="1" applyAlignment="1">
      <alignment vertical="top"/>
    </xf>
    <xf numFmtId="0" fontId="54" fillId="0" borderId="0" xfId="0" applyFont="1" applyFill="1" applyBorder="1">
      <alignment vertical="top"/>
    </xf>
    <xf numFmtId="3" fontId="54" fillId="0" borderId="0" xfId="0" applyNumberFormat="1" applyFont="1" applyFill="1" applyBorder="1" applyAlignment="1">
      <alignment vertical="top"/>
    </xf>
    <xf numFmtId="0" fontId="45" fillId="0" borderId="0" xfId="0" applyFont="1" applyFill="1" applyBorder="1" applyAlignment="1">
      <alignment vertical="top"/>
    </xf>
    <xf numFmtId="3" fontId="45" fillId="0" borderId="0" xfId="0" applyNumberFormat="1" applyFont="1" applyFill="1" applyBorder="1" applyAlignment="1">
      <alignment vertical="top"/>
    </xf>
    <xf numFmtId="0" fontId="52" fillId="0" borderId="0" xfId="0" applyFont="1" applyFill="1" applyBorder="1" applyAlignment="1">
      <alignment vertical="top"/>
    </xf>
    <xf numFmtId="0" fontId="53" fillId="0" borderId="0" xfId="0" applyFont="1" applyFill="1" applyBorder="1" applyAlignment="1">
      <alignment vertical="top"/>
    </xf>
    <xf numFmtId="3" fontId="52" fillId="0" borderId="0" xfId="0" applyNumberFormat="1" applyFont="1" applyFill="1" applyBorder="1" applyAlignment="1">
      <alignment vertical="top"/>
    </xf>
    <xf numFmtId="0" fontId="49" fillId="0" borderId="0" xfId="0" applyFont="1" applyFill="1" applyBorder="1" applyAlignment="1"/>
    <xf numFmtId="0" fontId="49" fillId="0" borderId="0" xfId="0" applyFont="1" applyFill="1" applyBorder="1" applyAlignment="1">
      <alignment vertical="top"/>
    </xf>
    <xf numFmtId="3" fontId="49" fillId="0" borderId="0" xfId="0" applyNumberFormat="1" applyFont="1" applyFill="1" applyBorder="1" applyAlignment="1">
      <alignment horizontal="right" vertical="top"/>
    </xf>
    <xf numFmtId="0" fontId="52" fillId="17" borderId="26" xfId="0" applyFont="1" applyFill="1" applyBorder="1" applyAlignment="1">
      <alignment vertical="top"/>
    </xf>
    <xf numFmtId="0" fontId="57" fillId="17" borderId="27" xfId="0" applyFont="1" applyFill="1" applyBorder="1" applyAlignment="1">
      <alignment vertical="top"/>
    </xf>
    <xf numFmtId="3" fontId="56" fillId="17" borderId="27" xfId="0" applyNumberFormat="1" applyFont="1" applyFill="1" applyBorder="1" applyAlignment="1">
      <alignment horizontal="right" vertical="top"/>
    </xf>
    <xf numFmtId="3" fontId="56" fillId="17" borderId="28" xfId="0" applyNumberFormat="1" applyFont="1" applyFill="1" applyBorder="1" applyAlignment="1">
      <alignment horizontal="right" vertical="top"/>
    </xf>
    <xf numFmtId="3" fontId="49" fillId="0" borderId="0" xfId="0" applyNumberFormat="1" applyFont="1" applyFill="1" applyBorder="1" applyAlignment="1">
      <alignment vertical="top"/>
    </xf>
    <xf numFmtId="3" fontId="45" fillId="0" borderId="0" xfId="0" applyNumberFormat="1" applyFont="1" applyFill="1" applyBorder="1" applyAlignment="1">
      <alignment horizontal="right" vertical="top"/>
    </xf>
    <xf numFmtId="3" fontId="52" fillId="0" borderId="0" xfId="0" applyNumberFormat="1" applyFont="1" applyFill="1" applyBorder="1" applyAlignment="1">
      <alignment horizontal="right" vertical="top"/>
    </xf>
    <xf numFmtId="169" fontId="56" fillId="17" borderId="27" xfId="0" applyNumberFormat="1" applyFont="1" applyFill="1" applyBorder="1" applyAlignment="1">
      <alignment horizontal="right" vertical="top"/>
    </xf>
    <xf numFmtId="169" fontId="56" fillId="17" borderId="28" xfId="0" applyNumberFormat="1" applyFont="1" applyFill="1" applyBorder="1" applyAlignment="1">
      <alignment horizontal="right" vertical="top"/>
    </xf>
    <xf numFmtId="169" fontId="45" fillId="0" borderId="0" xfId="0" applyNumberFormat="1" applyFont="1" applyFill="1" applyBorder="1" applyAlignment="1">
      <alignment horizontal="right" vertical="top"/>
    </xf>
    <xf numFmtId="169" fontId="52" fillId="0" borderId="0" xfId="0" applyNumberFormat="1" applyFont="1" applyFill="1" applyBorder="1" applyAlignment="1">
      <alignment horizontal="right" vertical="top"/>
    </xf>
    <xf numFmtId="3" fontId="0" fillId="0" borderId="0" xfId="1" applyNumberFormat="1" applyFont="1" applyFill="1" applyBorder="1" applyAlignment="1">
      <alignment horizontal="right" wrapText="1"/>
    </xf>
    <xf numFmtId="0" fontId="8" fillId="0" borderId="3" xfId="0" applyNumberFormat="1" applyFont="1" applyFill="1" applyBorder="1" applyAlignment="1">
      <alignment horizontal="left"/>
    </xf>
    <xf numFmtId="3" fontId="0" fillId="0" borderId="3" xfId="6" applyNumberFormat="1" applyFont="1" applyFill="1" applyBorder="1" applyAlignment="1">
      <alignment horizontal="right" vertical="top"/>
    </xf>
    <xf numFmtId="0" fontId="8" fillId="0" borderId="0" xfId="0" applyFont="1" applyBorder="1" applyAlignment="1">
      <alignment horizontal="center"/>
    </xf>
    <xf numFmtId="0" fontId="0" fillId="0" borderId="0" xfId="0" applyBorder="1" applyAlignment="1">
      <alignment horizontal="center"/>
    </xf>
    <xf numFmtId="165" fontId="50" fillId="0" borderId="0" xfId="0" applyNumberFormat="1" applyFont="1" applyBorder="1" applyAlignment="1">
      <alignment horizontal="right" vertical="top"/>
    </xf>
    <xf numFmtId="165" fontId="50" fillId="0" borderId="20" xfId="0" applyNumberFormat="1" applyFont="1" applyBorder="1" applyAlignment="1">
      <alignment horizontal="right" vertical="top"/>
    </xf>
    <xf numFmtId="165" fontId="45" fillId="10" borderId="16" xfId="0" applyNumberFormat="1" applyFont="1" applyFill="1" applyBorder="1" applyAlignment="1">
      <alignment horizontal="right" vertical="top"/>
    </xf>
    <xf numFmtId="165" fontId="45" fillId="10" borderId="24" xfId="0" applyNumberFormat="1" applyFont="1" applyFill="1" applyBorder="1" applyAlignment="1">
      <alignment horizontal="right" vertical="top"/>
    </xf>
    <xf numFmtId="165" fontId="46" fillId="0" borderId="10" xfId="0" applyNumberFormat="1" applyFont="1" applyBorder="1" applyAlignment="1">
      <alignment horizontal="right" vertical="top"/>
    </xf>
    <xf numFmtId="165" fontId="46" fillId="0" borderId="21" xfId="0" applyNumberFormat="1" applyFont="1" applyBorder="1" applyAlignment="1">
      <alignment horizontal="right" vertical="top"/>
    </xf>
    <xf numFmtId="165" fontId="46" fillId="0" borderId="11" xfId="0" applyNumberFormat="1" applyFont="1" applyBorder="1" applyAlignment="1">
      <alignment horizontal="right" vertical="top"/>
    </xf>
    <xf numFmtId="165" fontId="46" fillId="0" borderId="22" xfId="0" applyNumberFormat="1" applyFont="1" applyBorder="1" applyAlignment="1">
      <alignment horizontal="right" vertical="top"/>
    </xf>
    <xf numFmtId="165" fontId="50" fillId="0" borderId="0" xfId="1" applyNumberFormat="1" applyFont="1" applyBorder="1" applyAlignment="1">
      <alignment horizontal="right" vertical="top"/>
    </xf>
    <xf numFmtId="165" fontId="50" fillId="0" borderId="20" xfId="1" applyNumberFormat="1" applyFont="1" applyBorder="1" applyAlignment="1">
      <alignment horizontal="right" vertical="top"/>
    </xf>
    <xf numFmtId="165" fontId="45" fillId="8" borderId="16" xfId="0" applyNumberFormat="1" applyFont="1" applyFill="1" applyBorder="1" applyAlignment="1">
      <alignment horizontal="right" vertical="top"/>
    </xf>
    <xf numFmtId="165" fontId="45" fillId="8" borderId="24" xfId="0" applyNumberFormat="1" applyFont="1" applyFill="1" applyBorder="1" applyAlignment="1">
      <alignment horizontal="right" vertical="top"/>
    </xf>
    <xf numFmtId="165" fontId="45" fillId="12" borderId="16" xfId="1" applyNumberFormat="1" applyFont="1" applyFill="1" applyBorder="1" applyAlignment="1">
      <alignment horizontal="right" vertical="top"/>
    </xf>
    <xf numFmtId="165" fontId="45" fillId="12" borderId="24" xfId="1" applyNumberFormat="1" applyFont="1" applyFill="1" applyBorder="1" applyAlignment="1">
      <alignment horizontal="right" vertical="top"/>
    </xf>
    <xf numFmtId="165" fontId="50" fillId="0" borderId="0" xfId="0" applyNumberFormat="1" applyFont="1" applyFill="1" applyBorder="1" applyAlignment="1">
      <alignment horizontal="right" vertical="top"/>
    </xf>
    <xf numFmtId="165" fontId="45" fillId="15" borderId="16" xfId="1" applyNumberFormat="1" applyFont="1" applyFill="1" applyBorder="1" applyAlignment="1">
      <alignment horizontal="right" vertical="top"/>
    </xf>
    <xf numFmtId="165" fontId="45" fillId="15" borderId="24" xfId="1" applyNumberFormat="1" applyFont="1" applyFill="1" applyBorder="1" applyAlignment="1">
      <alignment horizontal="right" vertical="top"/>
    </xf>
    <xf numFmtId="165" fontId="45" fillId="11" borderId="16" xfId="1" applyNumberFormat="1" applyFont="1" applyFill="1" applyBorder="1" applyAlignment="1">
      <alignment horizontal="right" vertical="top"/>
    </xf>
    <xf numFmtId="165" fontId="45" fillId="11" borderId="24" xfId="1" applyNumberFormat="1" applyFont="1" applyFill="1" applyBorder="1" applyAlignment="1">
      <alignment horizontal="right" vertical="top"/>
    </xf>
    <xf numFmtId="165" fontId="45" fillId="16" borderId="16" xfId="1" applyNumberFormat="1" applyFont="1" applyFill="1" applyBorder="1" applyAlignment="1">
      <alignment horizontal="right" vertical="top"/>
    </xf>
    <xf numFmtId="165" fontId="45" fillId="16" borderId="24" xfId="1" applyNumberFormat="1" applyFont="1" applyFill="1" applyBorder="1" applyAlignment="1">
      <alignment horizontal="right" vertical="top"/>
    </xf>
    <xf numFmtId="165" fontId="52" fillId="18" borderId="16" xfId="0" applyNumberFormat="1" applyFont="1" applyFill="1" applyBorder="1" applyAlignment="1">
      <alignment horizontal="right" vertical="top"/>
    </xf>
    <xf numFmtId="165" fontId="52" fillId="18" borderId="24" xfId="0" applyNumberFormat="1" applyFont="1" applyFill="1" applyBorder="1" applyAlignment="1">
      <alignment horizontal="right" vertical="top"/>
    </xf>
    <xf numFmtId="165" fontId="46" fillId="6" borderId="21" xfId="0" applyNumberFormat="1" applyFont="1" applyFill="1" applyBorder="1" applyAlignment="1">
      <alignment horizontal="right" vertical="top"/>
    </xf>
    <xf numFmtId="165" fontId="46" fillId="6" borderId="22" xfId="0" applyNumberFormat="1" applyFont="1" applyFill="1" applyBorder="1" applyAlignment="1">
      <alignment horizontal="right" vertical="top"/>
    </xf>
    <xf numFmtId="165" fontId="45" fillId="15" borderId="24" xfId="0" applyNumberFormat="1" applyFont="1" applyFill="1" applyBorder="1" applyAlignment="1">
      <alignment horizontal="right" vertical="top"/>
    </xf>
    <xf numFmtId="165" fontId="45" fillId="11" borderId="24" xfId="0" applyNumberFormat="1" applyFont="1" applyFill="1" applyBorder="1" applyAlignment="1">
      <alignment horizontal="right" vertical="top"/>
    </xf>
    <xf numFmtId="165" fontId="45" fillId="16" borderId="24" xfId="0" applyNumberFormat="1" applyFont="1" applyFill="1" applyBorder="1" applyAlignment="1">
      <alignment horizontal="right" vertical="top"/>
    </xf>
    <xf numFmtId="165" fontId="56" fillId="17" borderId="28" xfId="0" applyNumberFormat="1" applyFont="1" applyFill="1" applyBorder="1" applyAlignment="1">
      <alignment horizontal="right" vertical="top"/>
    </xf>
    <xf numFmtId="169" fontId="0" fillId="0" borderId="0" xfId="0" applyNumberFormat="1">
      <alignment vertical="top"/>
    </xf>
    <xf numFmtId="43" fontId="0" fillId="0" borderId="0" xfId="1" applyFont="1" applyAlignment="1">
      <alignment vertical="top"/>
    </xf>
    <xf numFmtId="9" fontId="0" fillId="0" borderId="0" xfId="4" applyFont="1" applyAlignment="1">
      <alignment vertical="top"/>
    </xf>
    <xf numFmtId="43" fontId="0" fillId="0" borderId="0" xfId="1" applyFont="1" applyBorder="1" applyAlignment="1">
      <alignment horizontal="left" vertical="top"/>
    </xf>
    <xf numFmtId="0" fontId="79" fillId="19" borderId="29" xfId="0" applyFont="1" applyFill="1" applyBorder="1" applyAlignment="1">
      <alignment vertical="center"/>
    </xf>
    <xf numFmtId="0" fontId="79" fillId="19" borderId="29" xfId="0" applyFont="1" applyFill="1" applyBorder="1" applyAlignment="1">
      <alignment horizontal="center" vertical="center" wrapText="1"/>
    </xf>
    <xf numFmtId="0" fontId="79" fillId="19" borderId="29" xfId="0" applyFont="1" applyFill="1" applyBorder="1" applyAlignment="1">
      <alignment horizontal="right" vertical="center"/>
    </xf>
    <xf numFmtId="0" fontId="79" fillId="7" borderId="29" xfId="0" applyFont="1" applyFill="1" applyBorder="1" applyAlignment="1">
      <alignment horizontal="center" vertical="center" wrapText="1"/>
    </xf>
    <xf numFmtId="181" fontId="66" fillId="0" borderId="5" xfId="0" applyNumberFormat="1" applyFont="1" applyBorder="1" applyAlignment="1">
      <alignment horizontal="right" vertical="top"/>
    </xf>
    <xf numFmtId="49" fontId="21" fillId="0" borderId="2" xfId="0" applyNumberFormat="1" applyFont="1" applyFill="1" applyBorder="1" applyAlignment="1">
      <alignment horizontal="left" vertical="top" wrapText="1"/>
    </xf>
    <xf numFmtId="3" fontId="21" fillId="0" borderId="0" xfId="0" applyNumberFormat="1" applyFont="1" applyFill="1" applyBorder="1" applyAlignment="1">
      <alignment vertical="top"/>
    </xf>
    <xf numFmtId="181" fontId="21" fillId="0" borderId="5" xfId="1" applyNumberFormat="1" applyFont="1" applyFill="1" applyBorder="1" applyAlignment="1">
      <alignment horizontal="right" vertical="top" wrapText="1"/>
    </xf>
    <xf numFmtId="3" fontId="50" fillId="0" borderId="0" xfId="0" applyNumberFormat="1" applyFont="1" applyFill="1" applyBorder="1" applyAlignment="1">
      <alignment horizontal="right" vertical="top"/>
    </xf>
    <xf numFmtId="3" fontId="46" fillId="0" borderId="0" xfId="0" applyNumberFormat="1" applyFont="1" applyFill="1" applyBorder="1" applyAlignment="1">
      <alignment horizontal="right" vertical="top"/>
    </xf>
    <xf numFmtId="3" fontId="0" fillId="0" borderId="0" xfId="0" applyNumberFormat="1" applyAlignment="1">
      <alignment horizontal="right" vertical="top"/>
    </xf>
    <xf numFmtId="0" fontId="45" fillId="9" borderId="18" xfId="0" applyFont="1" applyFill="1" applyBorder="1" applyAlignment="1">
      <alignment horizontal="right"/>
    </xf>
    <xf numFmtId="0" fontId="59" fillId="6" borderId="20" xfId="0" applyFont="1" applyFill="1" applyBorder="1" applyAlignment="1">
      <alignment horizontal="right"/>
    </xf>
    <xf numFmtId="0" fontId="81" fillId="0" borderId="0" xfId="0" applyFont="1">
      <alignment vertical="top"/>
    </xf>
    <xf numFmtId="0" fontId="81" fillId="0" borderId="0" xfId="0" applyFont="1" applyAlignment="1">
      <alignment horizontal="right" vertical="top"/>
    </xf>
    <xf numFmtId="0" fontId="82" fillId="0" borderId="0" xfId="0" applyFont="1">
      <alignment vertical="top"/>
    </xf>
    <xf numFmtId="0" fontId="18" fillId="0" borderId="0" xfId="0" applyFont="1">
      <alignment vertical="top"/>
    </xf>
    <xf numFmtId="0" fontId="79" fillId="20" borderId="0" xfId="0" applyFont="1" applyFill="1" applyBorder="1" applyAlignment="1">
      <alignment vertical="center" wrapText="1"/>
    </xf>
    <xf numFmtId="0" fontId="18" fillId="0" borderId="0" xfId="0" applyFont="1" applyBorder="1">
      <alignment vertical="top"/>
    </xf>
    <xf numFmtId="0" fontId="78" fillId="0" borderId="0" xfId="0" applyFont="1" applyFill="1" applyBorder="1" applyAlignment="1">
      <alignment horizontal="right" vertical="center"/>
    </xf>
    <xf numFmtId="0" fontId="83" fillId="0" borderId="0" xfId="0" applyFont="1" applyBorder="1">
      <alignment vertical="top"/>
    </xf>
    <xf numFmtId="3" fontId="0" fillId="0" borderId="0" xfId="0" applyNumberFormat="1" applyBorder="1">
      <alignment vertical="top"/>
    </xf>
    <xf numFmtId="0" fontId="78" fillId="0" borderId="0" xfId="0" applyFont="1" applyFill="1" applyBorder="1" applyAlignment="1">
      <alignment vertical="center"/>
    </xf>
    <xf numFmtId="0" fontId="18" fillId="6" borderId="0" xfId="0" applyFont="1" applyFill="1" applyBorder="1">
      <alignment vertical="top"/>
    </xf>
    <xf numFmtId="0" fontId="79" fillId="20" borderId="0" xfId="0" applyFont="1" applyFill="1" applyBorder="1" applyAlignment="1">
      <alignment vertical="center"/>
    </xf>
    <xf numFmtId="0" fontId="79" fillId="20" borderId="0" xfId="0" applyFont="1" applyFill="1" applyBorder="1" applyAlignment="1">
      <alignment horizontal="right" vertical="center"/>
    </xf>
    <xf numFmtId="0" fontId="79" fillId="20" borderId="0" xfId="0" applyFont="1" applyFill="1" applyBorder="1" applyAlignment="1">
      <alignment horizontal="center" vertical="center" wrapText="1"/>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horizontal="center" vertical="center" wrapText="1"/>
    </xf>
    <xf numFmtId="43" fontId="0" fillId="0" borderId="0" xfId="0" applyNumberFormat="1" applyBorder="1">
      <alignment vertical="top"/>
    </xf>
    <xf numFmtId="0" fontId="79" fillId="0" borderId="0" xfId="0" applyFont="1" applyFill="1" applyBorder="1" applyAlignment="1">
      <alignment vertical="center"/>
    </xf>
    <xf numFmtId="0" fontId="18" fillId="0" borderId="0" xfId="0" applyFont="1" applyFill="1" applyBorder="1">
      <alignment vertical="top"/>
    </xf>
    <xf numFmtId="182" fontId="79" fillId="0" borderId="0" xfId="1" applyNumberFormat="1" applyFont="1" applyFill="1" applyBorder="1" applyAlignment="1">
      <alignment horizontal="center" vertical="center" wrapText="1"/>
    </xf>
    <xf numFmtId="2" fontId="78" fillId="0" borderId="0" xfId="1" applyNumberFormat="1" applyFont="1" applyFill="1" applyBorder="1" applyAlignment="1">
      <alignment horizontal="right" vertical="center" wrapText="1"/>
    </xf>
    <xf numFmtId="183" fontId="78" fillId="0" borderId="0" xfId="1" applyNumberFormat="1" applyFont="1" applyFill="1" applyBorder="1" applyAlignment="1">
      <alignment horizontal="center" vertical="center" wrapText="1"/>
    </xf>
    <xf numFmtId="0" fontId="78" fillId="0" borderId="0" xfId="0" applyFont="1" applyFill="1" applyBorder="1" applyAlignment="1">
      <alignment horizontal="center" vertical="center" wrapText="1"/>
    </xf>
    <xf numFmtId="0" fontId="79" fillId="0" borderId="0" xfId="0" applyFont="1" applyFill="1" applyBorder="1" applyAlignment="1">
      <alignment horizontal="right" vertical="center"/>
    </xf>
    <xf numFmtId="9" fontId="0" fillId="0" borderId="0" xfId="4" applyFont="1" applyBorder="1" applyAlignment="1">
      <alignment horizontal="right" vertical="top"/>
    </xf>
    <xf numFmtId="9" fontId="78" fillId="0" borderId="0" xfId="4" applyFont="1" applyFill="1" applyBorder="1" applyAlignment="1">
      <alignment horizontal="right" vertical="center" wrapText="1"/>
    </xf>
    <xf numFmtId="43" fontId="78" fillId="0" borderId="0" xfId="1" applyFont="1" applyFill="1" applyBorder="1" applyAlignment="1">
      <alignment horizontal="right" vertical="center" wrapText="1"/>
    </xf>
    <xf numFmtId="181" fontId="78" fillId="0" borderId="0" xfId="1" applyNumberFormat="1" applyFont="1" applyFill="1" applyBorder="1" applyAlignment="1">
      <alignment horizontal="right" vertical="center" wrapText="1"/>
    </xf>
    <xf numFmtId="9" fontId="0" fillId="0" borderId="0" xfId="4" applyFont="1" applyAlignment="1">
      <alignment horizontal="center" vertical="top"/>
    </xf>
    <xf numFmtId="182" fontId="21" fillId="0" borderId="0" xfId="1" applyNumberFormat="1" applyFont="1" applyAlignment="1">
      <alignment vertical="top"/>
    </xf>
    <xf numFmtId="10" fontId="50" fillId="0" borderId="0" xfId="4" applyNumberFormat="1" applyFont="1" applyFill="1" applyBorder="1" applyAlignment="1">
      <alignment vertical="top"/>
    </xf>
    <xf numFmtId="43" fontId="78" fillId="0" borderId="0" xfId="1" applyNumberFormat="1" applyFont="1" applyFill="1" applyBorder="1" applyAlignment="1">
      <alignment horizontal="center" vertical="center" wrapText="1"/>
    </xf>
    <xf numFmtId="43" fontId="0" fillId="0" borderId="0" xfId="1" applyFont="1" applyFill="1" applyBorder="1" applyAlignment="1">
      <alignment horizontal="right" vertical="top"/>
    </xf>
    <xf numFmtId="43" fontId="21" fillId="0" borderId="0" xfId="1" applyFont="1" applyAlignment="1">
      <alignment vertical="top"/>
    </xf>
    <xf numFmtId="0" fontId="78" fillId="0" borderId="0" xfId="0" applyFont="1" applyFill="1" applyBorder="1" applyAlignment="1">
      <alignment vertical="center"/>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horizontal="center" vertical="center" wrapText="1"/>
    </xf>
    <xf numFmtId="183" fontId="18" fillId="0" borderId="0" xfId="0" applyNumberFormat="1" applyFont="1" applyBorder="1">
      <alignment vertical="top"/>
    </xf>
    <xf numFmtId="9" fontId="0" fillId="0" borderId="0" xfId="4" applyFont="1" applyBorder="1" applyAlignment="1">
      <alignment vertical="top"/>
    </xf>
    <xf numFmtId="9" fontId="18" fillId="0" borderId="0" xfId="4" applyFont="1" applyBorder="1" applyAlignment="1">
      <alignment vertical="top"/>
    </xf>
    <xf numFmtId="43" fontId="18" fillId="0" borderId="0" xfId="0" applyNumberFormat="1" applyFont="1" applyBorder="1" applyAlignment="1">
      <alignment horizontal="center" vertical="top" wrapText="1"/>
    </xf>
    <xf numFmtId="0" fontId="79" fillId="0" borderId="0" xfId="0" applyFont="1" applyFill="1" applyBorder="1" applyAlignment="1">
      <alignment horizontal="center" vertical="center" wrapText="1"/>
    </xf>
    <xf numFmtId="181" fontId="79" fillId="0" borderId="0" xfId="1" applyNumberFormat="1" applyFont="1" applyFill="1" applyBorder="1" applyAlignment="1">
      <alignment horizontal="center" vertical="center" wrapText="1"/>
    </xf>
    <xf numFmtId="0" fontId="68" fillId="0" borderId="0" xfId="0" applyFont="1">
      <alignment vertical="top"/>
    </xf>
    <xf numFmtId="0" fontId="68" fillId="0" borderId="0" xfId="0" applyFont="1" applyBorder="1">
      <alignment vertical="top"/>
    </xf>
    <xf numFmtId="3" fontId="23" fillId="0" borderId="0" xfId="0" quotePrefix="1" applyNumberFormat="1" applyFont="1" applyBorder="1" applyAlignment="1" applyProtection="1">
      <alignment horizontal="right"/>
    </xf>
    <xf numFmtId="182"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horizontal="center" vertical="center" wrapText="1"/>
    </xf>
    <xf numFmtId="0" fontId="8" fillId="0" borderId="0" xfId="0" applyFont="1" applyBorder="1" applyAlignment="1">
      <alignment horizontal="center"/>
    </xf>
    <xf numFmtId="182" fontId="78" fillId="0" borderId="0" xfId="1" applyNumberFormat="1" applyFont="1" applyFill="1" applyBorder="1" applyAlignment="1">
      <alignment horizontal="center" vertical="center" wrapText="1"/>
    </xf>
    <xf numFmtId="2" fontId="0" fillId="0" borderId="0" xfId="0" applyNumberFormat="1" applyFont="1" applyFill="1" applyBorder="1" applyAlignment="1">
      <alignment vertical="top"/>
    </xf>
    <xf numFmtId="181" fontId="0" fillId="0" borderId="0" xfId="1" quotePrefix="1" applyNumberFormat="1" applyFont="1" applyFill="1" applyBorder="1" applyAlignment="1">
      <alignment vertical="top"/>
    </xf>
    <xf numFmtId="49" fontId="0" fillId="3" borderId="0" xfId="0" applyNumberFormat="1" applyFont="1" applyFill="1" applyBorder="1" applyAlignment="1">
      <alignment horizontal="left"/>
    </xf>
    <xf numFmtId="49" fontId="8" fillId="3" borderId="0" xfId="0" applyNumberFormat="1" applyFont="1" applyFill="1" applyBorder="1" applyAlignment="1">
      <alignment horizontal="left" vertical="top"/>
    </xf>
    <xf numFmtId="2" fontId="0" fillId="0" borderId="0" xfId="0" applyNumberFormat="1" applyFont="1" applyFill="1" applyBorder="1" applyAlignment="1">
      <alignment horizontal="left" vertical="top"/>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horizontal="center" vertical="center" wrapText="1"/>
    </xf>
    <xf numFmtId="0" fontId="8" fillId="0" borderId="2" xfId="0" applyFont="1" applyBorder="1" applyAlignment="1">
      <alignment horizontal="center"/>
    </xf>
    <xf numFmtId="3" fontId="8" fillId="0" borderId="2" xfId="0" applyNumberFormat="1" applyFont="1" applyBorder="1" applyAlignment="1">
      <alignment horizontal="center"/>
    </xf>
    <xf numFmtId="3" fontId="0" fillId="3" borderId="0" xfId="0" applyNumberFormat="1" applyFont="1" applyFill="1" applyBorder="1" applyAlignment="1">
      <alignment horizontal="left"/>
    </xf>
    <xf numFmtId="3" fontId="0" fillId="3" borderId="2" xfId="0" applyNumberFormat="1" applyFont="1" applyFill="1" applyBorder="1" applyAlignment="1">
      <alignment horizontal="left"/>
    </xf>
    <xf numFmtId="3" fontId="0" fillId="0" borderId="2" xfId="0" applyNumberFormat="1" applyFont="1" applyFill="1" applyBorder="1" applyAlignment="1">
      <alignment horizontal="left"/>
    </xf>
    <xf numFmtId="3" fontId="8" fillId="3" borderId="0" xfId="0" applyNumberFormat="1" applyFont="1" applyFill="1" applyBorder="1" applyAlignment="1">
      <alignment horizontal="left" vertical="top"/>
    </xf>
    <xf numFmtId="3" fontId="8" fillId="3" borderId="2" xfId="0" applyNumberFormat="1" applyFont="1" applyFill="1" applyBorder="1" applyAlignment="1">
      <alignment horizontal="left" vertical="top"/>
    </xf>
    <xf numFmtId="3" fontId="0" fillId="0" borderId="2" xfId="0" applyNumberFormat="1" applyFont="1" applyBorder="1" applyAlignment="1">
      <alignment horizontal="left" vertical="top"/>
    </xf>
    <xf numFmtId="0" fontId="0" fillId="0" borderId="2" xfId="0" applyNumberFormat="1" applyFont="1" applyBorder="1" applyAlignment="1">
      <alignment horizontal="left" indent="2"/>
    </xf>
    <xf numFmtId="0" fontId="0" fillId="0" borderId="2" xfId="0" applyNumberFormat="1" applyFont="1" applyBorder="1" applyAlignment="1">
      <alignment horizontal="left" vertical="top" indent="2"/>
    </xf>
    <xf numFmtId="0" fontId="7" fillId="0" borderId="2" xfId="0" applyNumberFormat="1" applyFont="1" applyBorder="1" applyAlignment="1">
      <alignment horizontal="left" vertical="top" indent="2"/>
    </xf>
    <xf numFmtId="0" fontId="0" fillId="0" borderId="2" xfId="0" applyNumberFormat="1" applyFont="1" applyBorder="1" applyAlignment="1">
      <alignment vertical="top"/>
    </xf>
    <xf numFmtId="3" fontId="8" fillId="0" borderId="2" xfId="0" applyNumberFormat="1" applyFont="1" applyFill="1" applyBorder="1" applyAlignment="1">
      <alignment horizontal="left" vertical="top"/>
    </xf>
    <xf numFmtId="3" fontId="0" fillId="0" borderId="0" xfId="0" applyNumberFormat="1" applyFill="1" applyBorder="1" applyAlignment="1"/>
    <xf numFmtId="49" fontId="7" fillId="0" borderId="0" xfId="0" applyNumberFormat="1" applyFont="1" applyFill="1" applyBorder="1" applyAlignment="1">
      <alignment horizontal="right"/>
    </xf>
    <xf numFmtId="3" fontId="0" fillId="0" borderId="0" xfId="0" applyNumberFormat="1" applyBorder="1" applyAlignment="1"/>
    <xf numFmtId="9" fontId="0" fillId="0" borderId="0" xfId="4" applyFont="1" applyBorder="1" applyAlignment="1"/>
    <xf numFmtId="4" fontId="0" fillId="0" borderId="0" xfId="0" applyNumberFormat="1" applyFill="1" applyBorder="1" applyAlignment="1"/>
    <xf numFmtId="178" fontId="0" fillId="0" borderId="0" xfId="0" applyNumberFormat="1" applyFill="1" applyBorder="1">
      <alignment vertical="top"/>
    </xf>
    <xf numFmtId="0" fontId="0" fillId="0" borderId="2" xfId="0" applyBorder="1" applyAlignment="1">
      <alignment horizontal="left" vertical="top" indent="2"/>
    </xf>
    <xf numFmtId="0" fontId="0" fillId="0" borderId="2" xfId="0" applyBorder="1" applyAlignment="1">
      <alignment horizontal="left" vertical="top" indent="1"/>
    </xf>
    <xf numFmtId="181" fontId="0" fillId="0" borderId="0" xfId="1" applyNumberFormat="1" applyFont="1" applyFill="1" applyBorder="1" applyAlignment="1"/>
    <xf numFmtId="49" fontId="0" fillId="0" borderId="0" xfId="1" applyNumberFormat="1" applyFont="1" applyFill="1" applyBorder="1" applyAlignment="1">
      <alignment horizontal="right"/>
    </xf>
    <xf numFmtId="181" fontId="0" fillId="0" borderId="0" xfId="1" applyNumberFormat="1" applyFont="1" applyBorder="1" applyAlignment="1"/>
    <xf numFmtId="181" fontId="29" fillId="0" borderId="0" xfId="1" applyNumberFormat="1" applyFont="1" applyFill="1" applyBorder="1" applyAlignment="1">
      <alignment vertical="top"/>
    </xf>
    <xf numFmtId="181" fontId="0" fillId="0" borderId="0" xfId="1" quotePrefix="1" applyNumberFormat="1" applyFont="1" applyFill="1" applyBorder="1" applyAlignment="1"/>
    <xf numFmtId="0" fontId="32" fillId="0" borderId="2" xfId="0" applyFont="1" applyFill="1" applyBorder="1" applyAlignment="1"/>
    <xf numFmtId="49" fontId="0" fillId="0" borderId="2" xfId="0" applyNumberFormat="1" applyFill="1" applyBorder="1" applyAlignment="1"/>
    <xf numFmtId="49" fontId="32" fillId="0" borderId="2" xfId="0" applyNumberFormat="1" applyFont="1" applyBorder="1" applyAlignment="1">
      <alignment horizontal="left"/>
    </xf>
    <xf numFmtId="0" fontId="32" fillId="0" borderId="2" xfId="0" applyFont="1" applyBorder="1" applyAlignment="1"/>
    <xf numFmtId="49" fontId="32" fillId="0" borderId="2" xfId="0" applyNumberFormat="1" applyFont="1" applyFill="1" applyBorder="1" applyAlignment="1">
      <alignment horizontal="center"/>
    </xf>
    <xf numFmtId="3" fontId="32" fillId="0" borderId="2" xfId="0" applyNumberFormat="1" applyFont="1" applyFill="1" applyBorder="1">
      <alignment vertical="top"/>
    </xf>
    <xf numFmtId="49" fontId="32" fillId="0" borderId="2" xfId="0" applyNumberFormat="1" applyFont="1" applyFill="1" applyBorder="1" applyAlignment="1">
      <alignment wrapText="1"/>
    </xf>
    <xf numFmtId="3" fontId="7" fillId="0" borderId="0" xfId="1" applyNumberFormat="1" applyFont="1" applyFill="1" applyBorder="1" applyAlignment="1">
      <alignment horizontal="right"/>
    </xf>
    <xf numFmtId="3" fontId="66" fillId="0" borderId="0" xfId="1" applyNumberFormat="1" applyFont="1" applyFill="1" applyBorder="1" applyAlignment="1">
      <alignment horizontal="right"/>
    </xf>
    <xf numFmtId="4" fontId="7" fillId="0" borderId="0" xfId="1" applyNumberFormat="1" applyFont="1" applyFill="1" applyBorder="1" applyAlignment="1">
      <alignment horizontal="right"/>
    </xf>
    <xf numFmtId="4" fontId="0" fillId="0" borderId="0" xfId="0" applyNumberFormat="1" applyFont="1" applyFill="1" applyAlignment="1">
      <alignment horizontal="right"/>
    </xf>
    <xf numFmtId="0" fontId="77" fillId="0" borderId="0" xfId="0" applyFont="1">
      <alignment vertical="top"/>
    </xf>
    <xf numFmtId="0" fontId="84" fillId="0" borderId="0" xfId="0" applyFont="1" applyFill="1">
      <alignment vertical="top"/>
    </xf>
    <xf numFmtId="179" fontId="77" fillId="0" borderId="0" xfId="6" applyFont="1" applyBorder="1" applyAlignment="1">
      <alignment horizontal="left" vertical="top"/>
    </xf>
    <xf numFmtId="0" fontId="77" fillId="0" borderId="0" xfId="0" applyFont="1" applyAlignment="1">
      <alignment horizontal="left" vertical="top"/>
    </xf>
    <xf numFmtId="179" fontId="77" fillId="0" borderId="0" xfId="6" applyFont="1" applyFill="1" applyBorder="1" applyAlignment="1">
      <alignment horizontal="left" vertical="top"/>
    </xf>
    <xf numFmtId="0" fontId="77" fillId="0" borderId="0" xfId="0" applyFont="1" applyFill="1" applyAlignment="1">
      <alignment horizontal="left" vertical="top"/>
    </xf>
    <xf numFmtId="0" fontId="84" fillId="10" borderId="11" xfId="0" applyFont="1" applyFill="1" applyBorder="1" applyAlignment="1">
      <alignment horizontal="left"/>
    </xf>
    <xf numFmtId="179" fontId="77" fillId="0" borderId="0" xfId="6" applyFont="1" applyBorder="1">
      <alignment horizontal="right" vertical="top"/>
    </xf>
    <xf numFmtId="179" fontId="77" fillId="0" borderId="0" xfId="6" applyFont="1" applyFill="1" applyBorder="1">
      <alignment horizontal="right" vertical="top"/>
    </xf>
    <xf numFmtId="0" fontId="77" fillId="0" borderId="0" xfId="0" applyFont="1" applyFill="1">
      <alignment vertical="top"/>
    </xf>
    <xf numFmtId="0" fontId="77" fillId="13" borderId="11" xfId="0" applyFont="1" applyFill="1" applyBorder="1" applyAlignment="1">
      <alignment vertical="top"/>
    </xf>
    <xf numFmtId="0" fontId="84" fillId="12" borderId="11" xfId="0" applyFont="1" applyFill="1" applyBorder="1" applyAlignment="1">
      <alignment horizontal="right"/>
    </xf>
    <xf numFmtId="0" fontId="77" fillId="11" borderId="11" xfId="0" applyFont="1" applyFill="1" applyBorder="1">
      <alignment vertical="top"/>
    </xf>
    <xf numFmtId="179" fontId="77" fillId="16" borderId="11" xfId="6" applyFont="1" applyFill="1" applyBorder="1" applyAlignment="1">
      <alignment horizontal="left" vertical="top"/>
    </xf>
    <xf numFmtId="169" fontId="0" fillId="0" borderId="0" xfId="0" applyNumberFormat="1" applyFont="1" applyFill="1" applyBorder="1">
      <alignment vertical="top"/>
    </xf>
    <xf numFmtId="182" fontId="78" fillId="0" borderId="0" xfId="1" applyNumberFormat="1" applyFont="1" applyFill="1" applyBorder="1" applyAlignment="1">
      <alignment horizontal="center" vertical="center" wrapText="1"/>
    </xf>
    <xf numFmtId="37" fontId="0" fillId="0" borderId="0" xfId="1" applyNumberFormat="1" applyFont="1" applyFill="1" applyBorder="1" applyAlignment="1">
      <alignment horizontal="right" vertical="top"/>
    </xf>
    <xf numFmtId="3" fontId="0" fillId="0" borderId="5" xfId="0" applyNumberFormat="1" applyFont="1" applyFill="1" applyBorder="1" applyAlignment="1">
      <alignment horizontal="right" vertical="top" wrapText="1"/>
    </xf>
    <xf numFmtId="9" fontId="50" fillId="0" borderId="0" xfId="4" applyFont="1" applyFill="1" applyBorder="1" applyAlignment="1">
      <alignment vertical="top"/>
    </xf>
    <xf numFmtId="0" fontId="78" fillId="0" borderId="0" xfId="0" applyFont="1" applyFill="1" applyBorder="1" applyAlignment="1">
      <alignment vertical="center"/>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182" fontId="78" fillId="0" borderId="0" xfId="1" applyNumberFormat="1" applyFont="1" applyFill="1" applyBorder="1" applyAlignment="1">
      <alignment horizontal="center" vertical="center" wrapText="1"/>
    </xf>
    <xf numFmtId="0" fontId="78" fillId="0" borderId="0" xfId="0" applyFont="1" applyFill="1" applyBorder="1" applyAlignment="1">
      <alignment vertical="center"/>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0" fontId="78" fillId="0" borderId="0" xfId="0" applyFont="1" applyFill="1" applyBorder="1" applyAlignment="1">
      <alignment vertical="center"/>
    </xf>
    <xf numFmtId="182"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4" fontId="79" fillId="0" borderId="0" xfId="1" applyNumberFormat="1" applyFont="1" applyFill="1" applyBorder="1" applyAlignment="1">
      <alignment horizontal="right" vertical="center" wrapText="1"/>
    </xf>
    <xf numFmtId="4" fontId="78" fillId="0" borderId="0" xfId="1" applyNumberFormat="1" applyFont="1" applyFill="1" applyBorder="1" applyAlignment="1">
      <alignment horizontal="right" vertical="center" wrapText="1"/>
    </xf>
    <xf numFmtId="3" fontId="78" fillId="0" borderId="0" xfId="1" applyNumberFormat="1" applyFont="1" applyFill="1" applyBorder="1" applyAlignment="1">
      <alignment horizontal="right" vertical="center" wrapText="1"/>
    </xf>
    <xf numFmtId="186" fontId="78" fillId="0" borderId="0" xfId="12" applyNumberFormat="1" applyFont="1" applyFill="1" applyBorder="1" applyAlignment="1">
      <alignment horizontal="center" vertical="center" wrapText="1"/>
    </xf>
    <xf numFmtId="182" fontId="78" fillId="0" borderId="0" xfId="1" applyNumberFormat="1" applyFont="1" applyFill="1" applyBorder="1" applyAlignment="1">
      <alignment horizontal="left" vertical="center"/>
    </xf>
    <xf numFmtId="182"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horizontal="center" vertical="center" wrapText="1"/>
    </xf>
    <xf numFmtId="164" fontId="0" fillId="0" borderId="0" xfId="0" applyNumberFormat="1" applyFont="1" applyFill="1" applyBorder="1" applyAlignment="1">
      <alignment horizontal="right" vertical="top"/>
    </xf>
    <xf numFmtId="181"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182" fontId="78" fillId="0" borderId="0" xfId="1" applyNumberFormat="1" applyFont="1" applyFill="1" applyBorder="1" applyAlignment="1">
      <alignment horizontal="center" vertical="center" wrapText="1"/>
    </xf>
    <xf numFmtId="182" fontId="78" fillId="0" borderId="0" xfId="1" applyNumberFormat="1" applyFont="1" applyFill="1" applyBorder="1" applyAlignment="1">
      <alignment horizontal="center" vertical="center" wrapText="1"/>
    </xf>
    <xf numFmtId="43" fontId="0" fillId="0" borderId="0" xfId="1" applyFont="1" applyFill="1" applyBorder="1" applyAlignment="1">
      <alignment horizontal="left" vertical="top"/>
    </xf>
    <xf numFmtId="0" fontId="0" fillId="0" borderId="2" xfId="0" applyFill="1" applyBorder="1" applyAlignment="1">
      <alignment vertical="top"/>
    </xf>
    <xf numFmtId="0" fontId="79" fillId="0" borderId="29" xfId="0" applyFont="1" applyFill="1" applyBorder="1" applyAlignment="1">
      <alignment horizontal="center" vertical="center" wrapText="1"/>
    </xf>
    <xf numFmtId="0" fontId="8" fillId="0" borderId="0" xfId="0" applyFont="1" applyBorder="1">
      <alignment vertical="top"/>
    </xf>
    <xf numFmtId="165" fontId="0" fillId="0" borderId="0" xfId="0" applyNumberFormat="1" applyFont="1" applyFill="1" applyBorder="1" applyAlignment="1">
      <alignment horizontal="right"/>
    </xf>
    <xf numFmtId="43" fontId="0" fillId="0" borderId="0" xfId="1" applyNumberFormat="1" applyFont="1" applyBorder="1" applyAlignment="1">
      <alignment vertical="top"/>
    </xf>
    <xf numFmtId="170" fontId="0" fillId="0" borderId="0" xfId="0" applyNumberFormat="1" applyBorder="1">
      <alignment vertical="top"/>
    </xf>
    <xf numFmtId="178" fontId="78" fillId="0" borderId="0" xfId="4" applyNumberFormat="1" applyFont="1" applyFill="1" applyBorder="1" applyAlignment="1">
      <alignment horizontal="right" vertical="center" wrapText="1"/>
    </xf>
    <xf numFmtId="178" fontId="18" fillId="0" borderId="0" xfId="4" applyNumberFormat="1" applyFont="1" applyBorder="1" applyAlignment="1">
      <alignment vertical="top"/>
    </xf>
    <xf numFmtId="188" fontId="78" fillId="0" borderId="0" xfId="1" applyNumberFormat="1" applyFont="1" applyFill="1" applyBorder="1" applyAlignment="1">
      <alignment horizontal="center" vertical="center" wrapText="1"/>
    </xf>
    <xf numFmtId="187" fontId="78" fillId="0" borderId="0" xfId="1" applyNumberFormat="1" applyFont="1" applyFill="1" applyBorder="1" applyAlignment="1">
      <alignment horizontal="center" vertical="center" wrapText="1"/>
    </xf>
    <xf numFmtId="182" fontId="0" fillId="0" borderId="0" xfId="0" applyNumberFormat="1" applyBorder="1">
      <alignment vertical="top"/>
    </xf>
    <xf numFmtId="181" fontId="0" fillId="0" borderId="0" xfId="0" applyNumberFormat="1" applyBorder="1">
      <alignment vertical="top"/>
    </xf>
    <xf numFmtId="0" fontId="83" fillId="0" borderId="0" xfId="0" applyFont="1" applyFill="1" applyBorder="1">
      <alignment vertical="top"/>
    </xf>
    <xf numFmtId="0" fontId="0" fillId="0" borderId="0" xfId="0" applyFont="1" applyAlignment="1">
      <alignment vertical="top" wrapText="1"/>
    </xf>
    <xf numFmtId="0" fontId="8" fillId="0" borderId="0" xfId="0" applyFont="1" applyBorder="1" applyAlignment="1">
      <alignment horizontal="center"/>
    </xf>
    <xf numFmtId="49" fontId="8" fillId="0" borderId="4" xfId="0" applyNumberFormat="1" applyFont="1" applyBorder="1" applyAlignment="1">
      <alignment horizontal="center"/>
    </xf>
    <xf numFmtId="0" fontId="8" fillId="0" borderId="4" xfId="0" applyFont="1" applyBorder="1" applyAlignment="1">
      <alignment horizontal="center"/>
    </xf>
    <xf numFmtId="0" fontId="20" fillId="0" borderId="4" xfId="0" applyNumberFormat="1" applyFont="1" applyFill="1" applyBorder="1" applyAlignment="1">
      <alignment horizontal="left" vertical="top"/>
    </xf>
    <xf numFmtId="49" fontId="32" fillId="0" borderId="4" xfId="0" applyNumberFormat="1" applyFont="1" applyFill="1" applyBorder="1" applyAlignment="1">
      <alignment vertical="top"/>
    </xf>
    <xf numFmtId="49" fontId="20" fillId="0" borderId="4" xfId="0" applyNumberFormat="1" applyFont="1" applyFill="1" applyBorder="1" applyAlignment="1">
      <alignment horizontal="left" vertical="top"/>
    </xf>
    <xf numFmtId="49" fontId="32" fillId="0" borderId="4" xfId="0" applyNumberFormat="1" applyFont="1" applyFill="1" applyBorder="1" applyAlignment="1">
      <alignment horizontal="center" vertical="top"/>
    </xf>
    <xf numFmtId="165" fontId="32" fillId="0" borderId="4" xfId="0" applyNumberFormat="1" applyFont="1" applyFill="1" applyBorder="1" applyAlignment="1">
      <alignment vertical="top"/>
    </xf>
    <xf numFmtId="49" fontId="32" fillId="0" borderId="4" xfId="0" applyNumberFormat="1" applyFont="1" applyFill="1" applyBorder="1" applyAlignment="1">
      <alignment horizontal="left" vertical="top" wrapText="1"/>
    </xf>
    <xf numFmtId="0" fontId="32" fillId="0" borderId="4" xfId="0" applyFont="1" applyFill="1" applyBorder="1" applyAlignment="1">
      <alignment vertical="top"/>
    </xf>
    <xf numFmtId="49" fontId="33" fillId="0" borderId="4" xfId="0" applyNumberFormat="1" applyFont="1" applyFill="1" applyBorder="1" applyAlignment="1">
      <alignment horizontal="center" vertical="top"/>
    </xf>
    <xf numFmtId="49" fontId="0" fillId="0" borderId="4" xfId="0" applyNumberFormat="1" applyFont="1" applyFill="1" applyBorder="1" applyAlignment="1">
      <alignment horizontal="left" vertical="top"/>
    </xf>
    <xf numFmtId="49" fontId="0" fillId="0" borderId="4" xfId="0" applyNumberFormat="1" applyFont="1" applyFill="1" applyBorder="1" applyAlignment="1">
      <alignment vertical="top"/>
    </xf>
    <xf numFmtId="49" fontId="0" fillId="0" borderId="4" xfId="0" applyNumberFormat="1" applyFont="1" applyFill="1" applyBorder="1" applyAlignment="1">
      <alignment horizontal="center" vertical="top"/>
    </xf>
    <xf numFmtId="165" fontId="0" fillId="0" borderId="4" xfId="0" applyNumberFormat="1" applyFont="1" applyFill="1" applyBorder="1" applyAlignment="1">
      <alignment horizontal="center" vertical="top" wrapText="1"/>
    </xf>
    <xf numFmtId="0" fontId="0" fillId="0" borderId="4" xfId="0" applyFont="1" applyBorder="1" applyAlignment="1">
      <alignment vertical="top"/>
    </xf>
    <xf numFmtId="0" fontId="0" fillId="0" borderId="4" xfId="0" applyFont="1" applyFill="1" applyBorder="1">
      <alignment vertical="top"/>
    </xf>
    <xf numFmtId="0" fontId="32" fillId="0" borderId="4" xfId="0" applyFont="1" applyFill="1" applyBorder="1">
      <alignment vertical="top"/>
    </xf>
    <xf numFmtId="0" fontId="32" fillId="0" borderId="4" xfId="0" applyFont="1" applyBorder="1">
      <alignment vertical="top"/>
    </xf>
    <xf numFmtId="0" fontId="8" fillId="0" borderId="4" xfId="0" applyFont="1" applyFill="1" applyBorder="1" applyAlignment="1">
      <alignment horizontal="left" vertical="top"/>
    </xf>
    <xf numFmtId="0" fontId="0" fillId="0" borderId="4" xfId="0" applyFont="1" applyFill="1" applyBorder="1" applyAlignment="1">
      <alignment horizontal="left" vertical="top"/>
    </xf>
    <xf numFmtId="49" fontId="8" fillId="0" borderId="4" xfId="0" applyNumberFormat="1" applyFont="1" applyFill="1" applyBorder="1" applyAlignment="1">
      <alignment horizontal="left" vertical="top"/>
    </xf>
    <xf numFmtId="49" fontId="85" fillId="0" borderId="2" xfId="0" applyNumberFormat="1" applyFont="1" applyBorder="1" applyAlignment="1"/>
    <xf numFmtId="0" fontId="85" fillId="0" borderId="0" xfId="0" applyFont="1" applyAlignment="1">
      <alignment horizontal="center" vertical="top"/>
    </xf>
    <xf numFmtId="49" fontId="85" fillId="0" borderId="2" xfId="0" applyNumberFormat="1" applyFont="1" applyBorder="1" applyAlignment="1">
      <alignment horizontal="center"/>
    </xf>
    <xf numFmtId="181" fontId="85" fillId="0" borderId="0" xfId="1" applyNumberFormat="1" applyFont="1" applyBorder="1" applyAlignment="1">
      <alignment horizontal="center" vertical="top"/>
    </xf>
    <xf numFmtId="49" fontId="85" fillId="0" borderId="0" xfId="0" applyNumberFormat="1" applyFont="1" applyFill="1" applyBorder="1" applyAlignment="1">
      <alignment horizontal="center" vertical="top"/>
    </xf>
    <xf numFmtId="0" fontId="85" fillId="0" borderId="2" xfId="0" applyFont="1" applyFill="1" applyBorder="1" applyAlignment="1">
      <alignment horizontal="center" vertical="top"/>
    </xf>
    <xf numFmtId="181" fontId="85" fillId="0" borderId="0" xfId="1" applyNumberFormat="1" applyFont="1" applyFill="1" applyBorder="1" applyAlignment="1">
      <alignment horizontal="center" vertical="top"/>
    </xf>
    <xf numFmtId="0" fontId="85" fillId="0" borderId="0" xfId="0" applyFont="1" applyFill="1" applyBorder="1" applyAlignment="1">
      <alignment horizontal="center" vertical="top"/>
    </xf>
    <xf numFmtId="0" fontId="85" fillId="0" borderId="0" xfId="0" applyFont="1" applyFill="1" applyAlignment="1"/>
    <xf numFmtId="181" fontId="54" fillId="0" borderId="0" xfId="1" applyNumberFormat="1" applyFont="1" applyFill="1" applyBorder="1" applyAlignment="1">
      <alignment horizontal="right" vertical="top"/>
    </xf>
    <xf numFmtId="0" fontId="54" fillId="0" borderId="0" xfId="0" applyFont="1" applyFill="1" applyBorder="1" applyAlignment="1">
      <alignment horizontal="left" vertical="top"/>
    </xf>
    <xf numFmtId="0" fontId="54" fillId="0" borderId="2" xfId="0" applyFont="1" applyFill="1" applyBorder="1" applyAlignment="1">
      <alignment horizontal="left" vertical="top"/>
    </xf>
    <xf numFmtId="49" fontId="54" fillId="0" borderId="0" xfId="0" applyNumberFormat="1" applyFont="1" applyFill="1" applyBorder="1" applyAlignment="1">
      <alignment horizontal="left" vertical="top"/>
    </xf>
    <xf numFmtId="0" fontId="85" fillId="0" borderId="2" xfId="0" applyFont="1" applyFill="1" applyBorder="1" applyAlignment="1">
      <alignment horizontal="left" vertical="top"/>
    </xf>
    <xf numFmtId="49" fontId="54" fillId="0" borderId="2" xfId="0" applyNumberFormat="1" applyFont="1" applyFill="1" applyBorder="1" applyAlignment="1">
      <alignment horizontal="left" vertical="top"/>
    </xf>
    <xf numFmtId="0" fontId="54" fillId="0" borderId="0" xfId="0" quotePrefix="1" applyFont="1" applyFill="1" applyBorder="1" applyAlignment="1">
      <alignment horizontal="left" vertical="top"/>
    </xf>
    <xf numFmtId="0" fontId="85" fillId="0" borderId="0" xfId="0" applyFont="1" applyFill="1" applyAlignment="1">
      <alignment horizontal="left" vertical="top"/>
    </xf>
    <xf numFmtId="0" fontId="54" fillId="0" borderId="2" xfId="0" applyFont="1" applyBorder="1" applyAlignment="1">
      <alignment horizontal="left" vertical="top"/>
    </xf>
    <xf numFmtId="37" fontId="54" fillId="0" borderId="0" xfId="1" applyNumberFormat="1" applyFont="1" applyFill="1" applyBorder="1" applyAlignment="1">
      <alignment horizontal="right" vertical="top"/>
    </xf>
    <xf numFmtId="0" fontId="85" fillId="11" borderId="2" xfId="0" applyNumberFormat="1" applyFont="1" applyFill="1" applyBorder="1" applyAlignment="1">
      <alignment horizontal="left" vertical="top"/>
    </xf>
    <xf numFmtId="184" fontId="54" fillId="0" borderId="0" xfId="1" applyNumberFormat="1" applyFont="1" applyFill="1" applyBorder="1" applyAlignment="1">
      <alignment horizontal="right" vertical="top"/>
    </xf>
    <xf numFmtId="49" fontId="85" fillId="25" borderId="2" xfId="0" applyNumberFormat="1" applyFont="1" applyFill="1" applyBorder="1" applyAlignment="1">
      <alignment horizontal="left" vertical="top"/>
    </xf>
    <xf numFmtId="181" fontId="85" fillId="0" borderId="0" xfId="1" applyNumberFormat="1" applyFont="1" applyFill="1" applyBorder="1" applyAlignment="1">
      <alignment horizontal="right" vertical="top"/>
    </xf>
    <xf numFmtId="49" fontId="85" fillId="0" borderId="0" xfId="0" applyNumberFormat="1" applyFont="1" applyFill="1" applyBorder="1" applyAlignment="1">
      <alignment horizontal="left" vertical="top"/>
    </xf>
    <xf numFmtId="49" fontId="85" fillId="0" borderId="2" xfId="0" applyNumberFormat="1" applyFont="1" applyFill="1" applyBorder="1" applyAlignment="1">
      <alignment horizontal="left" vertical="top"/>
    </xf>
    <xf numFmtId="49" fontId="85" fillId="0" borderId="0" xfId="0" applyNumberFormat="1" applyFont="1" applyFill="1" applyBorder="1" applyAlignment="1">
      <alignment horizontal="left"/>
    </xf>
    <xf numFmtId="0" fontId="85" fillId="0" borderId="0" xfId="0" applyFont="1" applyFill="1" applyAlignment="1">
      <alignment horizontal="right"/>
    </xf>
    <xf numFmtId="3" fontId="54" fillId="0" borderId="0" xfId="0" applyNumberFormat="1" applyFont="1" applyFill="1" applyBorder="1" applyAlignment="1">
      <alignment horizontal="right" vertical="top"/>
    </xf>
    <xf numFmtId="0" fontId="54" fillId="0" borderId="2" xfId="0" applyFont="1" applyFill="1" applyBorder="1" applyAlignment="1"/>
    <xf numFmtId="3" fontId="85" fillId="0" borderId="0" xfId="1" applyNumberFormat="1" applyFont="1" applyFill="1" applyBorder="1" applyAlignment="1">
      <alignment horizontal="right" vertical="top"/>
    </xf>
    <xf numFmtId="0" fontId="85" fillId="0" borderId="0" xfId="0" applyFont="1" applyFill="1" applyBorder="1" applyAlignment="1">
      <alignment horizontal="left" vertical="top"/>
    </xf>
    <xf numFmtId="0" fontId="86" fillId="0" borderId="0" xfId="0" applyFont="1" applyFill="1" applyBorder="1" applyAlignment="1">
      <alignment horizontal="left" vertical="top"/>
    </xf>
    <xf numFmtId="3" fontId="85" fillId="0" borderId="0" xfId="0" applyNumberFormat="1" applyFont="1" applyFill="1" applyBorder="1" applyAlignment="1">
      <alignment horizontal="right" vertical="top"/>
    </xf>
    <xf numFmtId="3" fontId="54" fillId="0" borderId="0" xfId="1" applyNumberFormat="1" applyFont="1" applyFill="1" applyBorder="1" applyAlignment="1">
      <alignment horizontal="right" vertical="top"/>
    </xf>
    <xf numFmtId="0" fontId="54" fillId="0" borderId="0" xfId="0" applyFont="1" applyFill="1" applyAlignment="1"/>
    <xf numFmtId="165" fontId="54" fillId="0" borderId="0" xfId="1" applyNumberFormat="1" applyFont="1" applyFill="1" applyBorder="1" applyAlignment="1">
      <alignment horizontal="right" vertical="top"/>
    </xf>
    <xf numFmtId="4" fontId="54" fillId="0" borderId="0" xfId="1" applyNumberFormat="1" applyFont="1" applyFill="1" applyBorder="1" applyAlignment="1">
      <alignment horizontal="right" vertical="top"/>
    </xf>
    <xf numFmtId="2" fontId="54" fillId="0" borderId="0" xfId="1" applyNumberFormat="1" applyFont="1" applyFill="1" applyBorder="1" applyAlignment="1">
      <alignment horizontal="right" vertical="top"/>
    </xf>
    <xf numFmtId="2" fontId="54" fillId="23" borderId="0" xfId="1" applyNumberFormat="1" applyFont="1" applyFill="1" applyBorder="1" applyAlignment="1">
      <alignment horizontal="right" vertical="top"/>
    </xf>
    <xf numFmtId="0" fontId="54" fillId="0" borderId="0" xfId="0" applyFont="1" applyFill="1" applyBorder="1" applyAlignment="1"/>
    <xf numFmtId="49" fontId="85" fillId="11" borderId="2" xfId="0" applyNumberFormat="1" applyFont="1" applyFill="1" applyBorder="1" applyAlignment="1">
      <alignment horizontal="left" vertical="top"/>
    </xf>
    <xf numFmtId="0" fontId="54" fillId="21" borderId="0" xfId="0" applyFont="1" applyFill="1" applyBorder="1" applyAlignment="1">
      <alignment horizontal="left" vertical="top"/>
    </xf>
    <xf numFmtId="0" fontId="54" fillId="21" borderId="2" xfId="0" applyFont="1" applyFill="1" applyBorder="1" applyAlignment="1">
      <alignment horizontal="left" vertical="top"/>
    </xf>
    <xf numFmtId="2" fontId="54" fillId="0" borderId="0" xfId="0" applyNumberFormat="1" applyFont="1" applyFill="1" applyAlignment="1"/>
    <xf numFmtId="2" fontId="54" fillId="23" borderId="0" xfId="0" applyNumberFormat="1" applyFont="1" applyFill="1" applyAlignment="1"/>
    <xf numFmtId="0" fontId="54" fillId="0" borderId="0" xfId="1" applyNumberFormat="1" applyFont="1" applyFill="1" applyBorder="1" applyAlignment="1">
      <alignment horizontal="right" vertical="top"/>
    </xf>
    <xf numFmtId="49" fontId="54" fillId="0" borderId="0" xfId="0" applyNumberFormat="1" applyFont="1" applyBorder="1" applyAlignment="1">
      <alignment horizontal="left" vertical="top"/>
    </xf>
    <xf numFmtId="3" fontId="54" fillId="0" borderId="0" xfId="0" applyNumberFormat="1" applyFont="1" applyFill="1" applyAlignment="1"/>
    <xf numFmtId="3" fontId="85" fillId="0" borderId="0" xfId="0" applyNumberFormat="1" applyFont="1" applyFill="1" applyAlignment="1"/>
    <xf numFmtId="0" fontId="54" fillId="0" borderId="0" xfId="0" applyFont="1" applyAlignment="1">
      <alignment horizontal="right" vertical="top"/>
    </xf>
    <xf numFmtId="0" fontId="54" fillId="0" borderId="0" xfId="0" applyFont="1" applyAlignment="1">
      <alignment horizontal="left" vertical="top"/>
    </xf>
    <xf numFmtId="0" fontId="54" fillId="0" borderId="0" xfId="0" applyFont="1" applyBorder="1" applyAlignment="1">
      <alignment horizontal="left" vertical="top"/>
    </xf>
    <xf numFmtId="0" fontId="54" fillId="0" borderId="0" xfId="0" applyFont="1">
      <alignment vertical="top"/>
    </xf>
    <xf numFmtId="170" fontId="85" fillId="0" borderId="0" xfId="1" applyNumberFormat="1" applyFont="1" applyFill="1" applyBorder="1" applyAlignment="1">
      <alignment horizontal="right" vertical="top"/>
    </xf>
    <xf numFmtId="170" fontId="85" fillId="23" borderId="0" xfId="1" applyNumberFormat="1" applyFont="1" applyFill="1" applyBorder="1" applyAlignment="1">
      <alignment horizontal="right" vertical="top"/>
    </xf>
    <xf numFmtId="0" fontId="54" fillId="0" borderId="0" xfId="0" applyFont="1" applyFill="1" applyAlignment="1">
      <alignment horizontal="right" vertical="top"/>
    </xf>
    <xf numFmtId="0" fontId="54" fillId="0" borderId="0" xfId="0" applyFont="1" applyFill="1" applyAlignment="1">
      <alignment horizontal="left" vertical="top"/>
    </xf>
    <xf numFmtId="3" fontId="54" fillId="0" borderId="0" xfId="0" applyNumberFormat="1" applyFont="1" applyFill="1" applyAlignment="1">
      <alignment horizontal="right" vertical="top"/>
    </xf>
    <xf numFmtId="0" fontId="85" fillId="0" borderId="0" xfId="0" quotePrefix="1" applyFont="1" applyFill="1" applyBorder="1" applyAlignment="1">
      <alignment horizontal="left" vertical="top"/>
    </xf>
    <xf numFmtId="0" fontId="90" fillId="0" borderId="0" xfId="0" applyFont="1" applyAlignment="1">
      <alignment horizontal="left" vertical="top"/>
    </xf>
    <xf numFmtId="0" fontId="85" fillId="16" borderId="2" xfId="0" applyNumberFormat="1" applyFont="1" applyFill="1" applyBorder="1" applyAlignment="1">
      <alignment horizontal="left" vertical="top"/>
    </xf>
    <xf numFmtId="3" fontId="54" fillId="0" borderId="0" xfId="0" applyNumberFormat="1" applyFont="1" applyAlignment="1">
      <alignment horizontal="right" vertical="top"/>
    </xf>
    <xf numFmtId="0" fontId="91" fillId="0" borderId="2" xfId="0" applyFont="1" applyBorder="1" applyAlignment="1">
      <alignment horizontal="left" vertical="top"/>
    </xf>
    <xf numFmtId="4" fontId="54" fillId="0" borderId="0" xfId="0" applyNumberFormat="1" applyFont="1" applyAlignment="1">
      <alignment horizontal="right" vertical="top"/>
    </xf>
    <xf numFmtId="0" fontId="92" fillId="0" borderId="2" xfId="10" applyFont="1" applyBorder="1" applyAlignment="1">
      <alignment horizontal="left" vertical="top"/>
    </xf>
    <xf numFmtId="165" fontId="54" fillId="0" borderId="0" xfId="0" applyNumberFormat="1" applyFont="1" applyAlignment="1">
      <alignment horizontal="right" vertical="top"/>
    </xf>
    <xf numFmtId="172" fontId="54" fillId="0" borderId="0" xfId="0" applyNumberFormat="1" applyFont="1" applyFill="1" applyAlignment="1">
      <alignment horizontal="right" vertical="top"/>
    </xf>
    <xf numFmtId="172" fontId="54" fillId="0" borderId="0" xfId="0" applyNumberFormat="1" applyFont="1" applyAlignment="1">
      <alignment horizontal="right" vertical="top"/>
    </xf>
    <xf numFmtId="170" fontId="54" fillId="0" borderId="0" xfId="0" applyNumberFormat="1" applyFont="1" applyAlignment="1">
      <alignment horizontal="right" vertical="top"/>
    </xf>
    <xf numFmtId="3" fontId="85" fillId="26" borderId="0" xfId="0" applyNumberFormat="1" applyFont="1" applyFill="1" applyAlignment="1">
      <alignment horizontal="right" vertical="top"/>
    </xf>
    <xf numFmtId="0" fontId="85" fillId="26" borderId="0" xfId="0" applyFont="1" applyFill="1" applyAlignment="1">
      <alignment horizontal="left" vertical="top"/>
    </xf>
    <xf numFmtId="0" fontId="54" fillId="26" borderId="0" xfId="0" applyFont="1" applyFill="1" applyBorder="1" applyAlignment="1">
      <alignment horizontal="left" vertical="top"/>
    </xf>
    <xf numFmtId="0" fontId="54" fillId="26" borderId="2" xfId="0" applyFont="1" applyFill="1" applyBorder="1" applyAlignment="1">
      <alignment horizontal="left" vertical="top"/>
    </xf>
    <xf numFmtId="0" fontId="54" fillId="26" borderId="0" xfId="0" applyFont="1" applyFill="1" applyAlignment="1">
      <alignment horizontal="left" vertical="top"/>
    </xf>
    <xf numFmtId="43" fontId="54" fillId="0" borderId="0" xfId="0" applyNumberFormat="1" applyFont="1" applyAlignment="1">
      <alignment horizontal="right" vertical="top"/>
    </xf>
    <xf numFmtId="0" fontId="93" fillId="28" borderId="2" xfId="0" applyNumberFormat="1" applyFont="1" applyFill="1" applyBorder="1" applyAlignment="1">
      <alignment horizontal="left" vertical="top"/>
    </xf>
    <xf numFmtId="0" fontId="54" fillId="28" borderId="0" xfId="0" applyNumberFormat="1" applyFont="1" applyFill="1" applyBorder="1" applyAlignment="1">
      <alignment horizontal="right" vertical="top"/>
    </xf>
    <xf numFmtId="0" fontId="54" fillId="28" borderId="0" xfId="0" applyNumberFormat="1" applyFont="1" applyFill="1" applyBorder="1" applyAlignment="1">
      <alignment horizontal="left" vertical="top"/>
    </xf>
    <xf numFmtId="0" fontId="54" fillId="28" borderId="2" xfId="0" applyNumberFormat="1" applyFont="1" applyFill="1" applyBorder="1" applyAlignment="1">
      <alignment horizontal="left" vertical="top"/>
    </xf>
    <xf numFmtId="0" fontId="74" fillId="28" borderId="2" xfId="0" applyNumberFormat="1" applyFont="1" applyFill="1" applyBorder="1" applyAlignment="1">
      <alignment horizontal="left"/>
    </xf>
    <xf numFmtId="0" fontId="74" fillId="28" borderId="0" xfId="0" applyNumberFormat="1" applyFont="1" applyFill="1" applyBorder="1" applyAlignment="1">
      <alignment horizontal="left"/>
    </xf>
    <xf numFmtId="0" fontId="74" fillId="28" borderId="0" xfId="0" applyNumberFormat="1" applyFont="1" applyFill="1" applyBorder="1" applyAlignment="1">
      <alignment horizontal="center"/>
    </xf>
    <xf numFmtId="0" fontId="94" fillId="28" borderId="2" xfId="0" applyNumberFormat="1" applyFont="1" applyFill="1" applyBorder="1" applyAlignment="1">
      <alignment horizontal="left"/>
    </xf>
    <xf numFmtId="181" fontId="74" fillId="28" borderId="0" xfId="1" applyNumberFormat="1" applyFont="1" applyFill="1" applyBorder="1" applyAlignment="1">
      <alignment horizontal="left"/>
    </xf>
    <xf numFmtId="181" fontId="0" fillId="23" borderId="0" xfId="1" applyNumberFormat="1" applyFont="1" applyFill="1" applyAlignment="1">
      <alignment vertical="top"/>
    </xf>
    <xf numFmtId="181" fontId="0" fillId="23" borderId="0" xfId="1" applyNumberFormat="1" applyFont="1" applyFill="1" applyBorder="1" applyAlignment="1"/>
    <xf numFmtId="9" fontId="0" fillId="23" borderId="0" xfId="4" applyFont="1" applyFill="1" applyBorder="1" applyAlignment="1"/>
    <xf numFmtId="3" fontId="0" fillId="23" borderId="0" xfId="0" applyNumberFormat="1" applyFill="1" applyBorder="1" applyAlignment="1"/>
    <xf numFmtId="49" fontId="8" fillId="25" borderId="2" xfId="0" applyNumberFormat="1" applyFont="1" applyFill="1" applyBorder="1" applyAlignment="1">
      <alignment horizontal="left"/>
    </xf>
    <xf numFmtId="0" fontId="94" fillId="28" borderId="2" xfId="0" applyNumberFormat="1" applyFont="1" applyFill="1" applyBorder="1" applyAlignment="1"/>
    <xf numFmtId="0" fontId="8" fillId="11" borderId="2" xfId="0" applyNumberFormat="1" applyFont="1" applyFill="1" applyBorder="1" applyAlignment="1">
      <alignment horizontal="left"/>
    </xf>
    <xf numFmtId="0" fontId="8" fillId="16" borderId="2" xfId="0" applyNumberFormat="1" applyFont="1" applyFill="1" applyBorder="1" applyAlignment="1">
      <alignment horizontal="left"/>
    </xf>
    <xf numFmtId="0" fontId="8" fillId="16" borderId="0" xfId="0" applyNumberFormat="1" applyFont="1" applyFill="1" applyBorder="1" applyAlignment="1">
      <alignment horizontal="left"/>
    </xf>
    <xf numFmtId="49" fontId="85" fillId="9" borderId="2" xfId="0" applyNumberFormat="1" applyFont="1" applyFill="1" applyBorder="1" applyAlignment="1">
      <alignment horizontal="left" vertical="top"/>
    </xf>
    <xf numFmtId="49" fontId="8" fillId="20" borderId="2" xfId="0" applyNumberFormat="1" applyFont="1" applyFill="1" applyBorder="1" applyAlignment="1">
      <alignment horizontal="left"/>
    </xf>
    <xf numFmtId="49" fontId="8" fillId="9" borderId="2" xfId="0" applyNumberFormat="1" applyFont="1" applyFill="1" applyBorder="1" applyAlignment="1">
      <alignment horizontal="left"/>
    </xf>
    <xf numFmtId="0" fontId="94" fillId="28" borderId="0" xfId="0" applyNumberFormat="1" applyFont="1" applyFill="1" applyBorder="1" applyAlignment="1"/>
    <xf numFmtId="3" fontId="32" fillId="0" borderId="0" xfId="0" applyNumberFormat="1" applyFont="1" applyFill="1" applyBorder="1" applyAlignment="1">
      <alignment vertical="top"/>
    </xf>
    <xf numFmtId="0" fontId="8" fillId="0" borderId="4" xfId="0" applyFont="1" applyBorder="1" applyAlignment="1"/>
    <xf numFmtId="0" fontId="8" fillId="0" borderId="4" xfId="0" applyFont="1" applyFill="1" applyBorder="1" applyAlignment="1"/>
    <xf numFmtId="0" fontId="7" fillId="0" borderId="4" xfId="0" applyFont="1" applyFill="1" applyBorder="1" applyAlignment="1"/>
    <xf numFmtId="49" fontId="8" fillId="0" borderId="4" xfId="0" applyNumberFormat="1" applyFont="1" applyFill="1" applyBorder="1" applyAlignment="1">
      <alignment horizontal="left"/>
    </xf>
    <xf numFmtId="0" fontId="0" fillId="0" borderId="4" xfId="0" applyBorder="1">
      <alignment vertical="top"/>
    </xf>
    <xf numFmtId="3" fontId="0" fillId="23" borderId="0" xfId="0" applyNumberFormat="1" applyFont="1" applyFill="1" applyAlignment="1">
      <alignment vertical="top"/>
    </xf>
    <xf numFmtId="0" fontId="8" fillId="26" borderId="0" xfId="0" applyFont="1" applyFill="1">
      <alignment vertical="top"/>
    </xf>
    <xf numFmtId="0" fontId="8" fillId="0" borderId="0" xfId="0" applyFont="1" applyFill="1" applyBorder="1" applyAlignment="1">
      <alignment horizontal="right" indent="1"/>
    </xf>
    <xf numFmtId="0" fontId="94" fillId="28" borderId="5" xfId="0" applyNumberFormat="1" applyFont="1" applyFill="1" applyBorder="1" applyAlignment="1"/>
    <xf numFmtId="0" fontId="20" fillId="16" borderId="2" xfId="0" applyNumberFormat="1" applyFont="1" applyFill="1" applyBorder="1" applyAlignment="1">
      <alignment horizontal="left"/>
    </xf>
    <xf numFmtId="0" fontId="94" fillId="28" borderId="4" xfId="0" applyNumberFormat="1" applyFont="1" applyFill="1" applyBorder="1" applyAlignment="1">
      <alignment horizontal="left"/>
    </xf>
    <xf numFmtId="181" fontId="0" fillId="23" borderId="0" xfId="1" applyNumberFormat="1" applyFont="1" applyFill="1" applyBorder="1" applyAlignment="1">
      <alignment vertical="top"/>
    </xf>
    <xf numFmtId="181" fontId="8" fillId="23" borderId="0" xfId="1" applyNumberFormat="1" applyFont="1" applyFill="1" applyBorder="1" applyAlignment="1">
      <alignment horizontal="right" vertical="top"/>
    </xf>
    <xf numFmtId="0" fontId="74" fillId="28" borderId="5" xfId="0" applyNumberFormat="1" applyFont="1" applyFill="1" applyBorder="1" applyAlignment="1">
      <alignment horizontal="left"/>
    </xf>
    <xf numFmtId="0" fontId="94" fillId="28" borderId="0" xfId="0" applyNumberFormat="1" applyFont="1" applyFill="1" applyBorder="1" applyAlignment="1">
      <alignment horizontal="left"/>
    </xf>
    <xf numFmtId="0" fontId="20" fillId="0" borderId="2" xfId="0" applyNumberFormat="1" applyFont="1" applyFill="1" applyBorder="1" applyAlignment="1">
      <alignment horizontal="left" vertical="top"/>
    </xf>
    <xf numFmtId="165" fontId="32" fillId="0" borderId="2" xfId="0" applyNumberFormat="1" applyFont="1" applyFill="1" applyBorder="1" applyAlignment="1">
      <alignment vertical="top"/>
    </xf>
    <xf numFmtId="49" fontId="8" fillId="26" borderId="2" xfId="0" applyNumberFormat="1" applyFont="1" applyFill="1" applyBorder="1" applyAlignment="1">
      <alignment vertical="top" wrapText="1"/>
    </xf>
    <xf numFmtId="49" fontId="8" fillId="25" borderId="0" xfId="0" applyNumberFormat="1" applyFont="1" applyFill="1" applyBorder="1" applyAlignment="1">
      <alignment horizontal="left"/>
    </xf>
    <xf numFmtId="49" fontId="8" fillId="9" borderId="0" xfId="0" applyNumberFormat="1" applyFont="1" applyFill="1" applyBorder="1" applyAlignment="1">
      <alignment horizontal="left"/>
    </xf>
    <xf numFmtId="181" fontId="8" fillId="26" borderId="5" xfId="0" applyNumberFormat="1" applyFont="1" applyFill="1" applyBorder="1">
      <alignment vertical="top"/>
    </xf>
    <xf numFmtId="3" fontId="0" fillId="26" borderId="5" xfId="0" applyNumberFormat="1" applyFill="1" applyBorder="1">
      <alignment vertical="top"/>
    </xf>
    <xf numFmtId="181" fontId="8" fillId="26" borderId="5" xfId="1" applyNumberFormat="1" applyFont="1" applyFill="1" applyBorder="1" applyAlignment="1">
      <alignment vertical="top"/>
    </xf>
    <xf numFmtId="181" fontId="8" fillId="26" borderId="5" xfId="1" applyNumberFormat="1" applyFont="1" applyFill="1" applyBorder="1" applyAlignment="1">
      <alignment horizontal="left" vertical="top"/>
    </xf>
    <xf numFmtId="3" fontId="8" fillId="26" borderId="0" xfId="0" applyNumberFormat="1" applyFont="1" applyFill="1" applyBorder="1" applyAlignment="1">
      <alignment horizontal="right"/>
    </xf>
    <xf numFmtId="0" fontId="8" fillId="26" borderId="0" xfId="0" applyFont="1" applyFill="1" applyBorder="1" applyAlignment="1">
      <alignment vertical="top"/>
    </xf>
    <xf numFmtId="0" fontId="0" fillId="26" borderId="0" xfId="0" applyFont="1" applyFill="1" applyAlignment="1">
      <alignment horizontal="center" vertical="top"/>
    </xf>
    <xf numFmtId="0" fontId="32" fillId="26" borderId="2" xfId="0" applyFont="1" applyFill="1" applyBorder="1" applyAlignment="1">
      <alignment vertical="top"/>
    </xf>
    <xf numFmtId="0" fontId="32" fillId="26" borderId="2" xfId="0" applyFont="1" applyFill="1" applyBorder="1">
      <alignment vertical="top"/>
    </xf>
    <xf numFmtId="3" fontId="8" fillId="26" borderId="0" xfId="0" applyNumberFormat="1" applyFont="1" applyFill="1">
      <alignment vertical="top"/>
    </xf>
    <xf numFmtId="0" fontId="8" fillId="26" borderId="2" xfId="0" applyFont="1" applyFill="1" applyBorder="1">
      <alignment vertical="top"/>
    </xf>
    <xf numFmtId="181" fontId="8" fillId="26" borderId="0" xfId="0" applyNumberFormat="1" applyFont="1" applyFill="1" applyBorder="1">
      <alignment vertical="top"/>
    </xf>
    <xf numFmtId="0" fontId="8" fillId="26" borderId="0" xfId="0" applyFont="1" applyFill="1" applyBorder="1">
      <alignment vertical="top"/>
    </xf>
    <xf numFmtId="181" fontId="8" fillId="26" borderId="0" xfId="0" applyNumberFormat="1" applyFont="1" applyFill="1">
      <alignment vertical="top"/>
    </xf>
    <xf numFmtId="181" fontId="8" fillId="26" borderId="0" xfId="1" applyNumberFormat="1" applyFont="1" applyFill="1" applyBorder="1" applyAlignment="1"/>
    <xf numFmtId="0" fontId="8" fillId="26" borderId="0" xfId="0" applyFont="1" applyFill="1" applyBorder="1" applyAlignment="1"/>
    <xf numFmtId="49" fontId="8" fillId="26" borderId="0" xfId="0" applyNumberFormat="1" applyFont="1" applyFill="1" applyBorder="1" applyAlignment="1">
      <alignment horizontal="center"/>
    </xf>
    <xf numFmtId="49" fontId="20" fillId="26" borderId="2" xfId="0" applyNumberFormat="1" applyFont="1" applyFill="1" applyBorder="1" applyAlignment="1">
      <alignment horizontal="center"/>
    </xf>
    <xf numFmtId="49" fontId="8" fillId="26" borderId="0" xfId="0" applyNumberFormat="1" applyFont="1" applyFill="1" applyBorder="1" applyAlignment="1"/>
    <xf numFmtId="49" fontId="20" fillId="26" borderId="2" xfId="0" applyNumberFormat="1" applyFont="1" applyFill="1" applyBorder="1" applyAlignment="1"/>
    <xf numFmtId="3" fontId="85" fillId="27" borderId="0" xfId="0" applyNumberFormat="1" applyFont="1" applyFill="1" applyBorder="1" applyAlignment="1">
      <alignment horizontal="right" vertical="top"/>
    </xf>
    <xf numFmtId="181" fontId="8" fillId="27" borderId="0" xfId="1" applyNumberFormat="1" applyFont="1" applyFill="1" applyBorder="1" applyAlignment="1">
      <alignment vertical="top"/>
    </xf>
    <xf numFmtId="181" fontId="8" fillId="27" borderId="0" xfId="1" applyNumberFormat="1" applyFont="1" applyFill="1" applyBorder="1" applyAlignment="1">
      <alignment horizontal="left" vertical="top"/>
    </xf>
    <xf numFmtId="181" fontId="8" fillId="27" borderId="0" xfId="1" applyNumberFormat="1" applyFont="1" applyFill="1" applyBorder="1" applyAlignment="1">
      <alignment horizontal="center" vertical="top"/>
    </xf>
    <xf numFmtId="181" fontId="20" fillId="27" borderId="2" xfId="1" applyNumberFormat="1" applyFont="1" applyFill="1" applyBorder="1" applyAlignment="1">
      <alignment horizontal="left" vertical="top"/>
    </xf>
    <xf numFmtId="181" fontId="20" fillId="27" borderId="2" xfId="1" applyNumberFormat="1" applyFont="1" applyFill="1" applyBorder="1" applyAlignment="1">
      <alignment vertical="top"/>
    </xf>
    <xf numFmtId="181" fontId="20" fillId="27" borderId="4" xfId="1" applyNumberFormat="1" applyFont="1" applyFill="1" applyBorder="1" applyAlignment="1">
      <alignment vertical="top"/>
    </xf>
    <xf numFmtId="181" fontId="8" fillId="0" borderId="0" xfId="1" applyNumberFormat="1" applyFont="1" applyAlignment="1">
      <alignment vertical="top"/>
    </xf>
    <xf numFmtId="3" fontId="74" fillId="28" borderId="0" xfId="0" applyNumberFormat="1" applyFont="1" applyFill="1" applyBorder="1" applyAlignment="1">
      <alignment horizontal="right"/>
    </xf>
    <xf numFmtId="0" fontId="74" fillId="28" borderId="0" xfId="0" applyNumberFormat="1" applyFont="1" applyFill="1" applyBorder="1" applyAlignment="1">
      <alignment horizontal="right"/>
    </xf>
    <xf numFmtId="0" fontId="8" fillId="0" borderId="4" xfId="0" applyFont="1" applyBorder="1" applyAlignment="1">
      <alignment horizontal="left"/>
    </xf>
    <xf numFmtId="0" fontId="74" fillId="28" borderId="4" xfId="0" applyFont="1" applyFill="1" applyBorder="1" applyAlignment="1">
      <alignment horizontal="left"/>
    </xf>
    <xf numFmtId="0" fontId="8" fillId="0" borderId="4" xfId="0" applyFont="1" applyFill="1" applyBorder="1" applyAlignment="1">
      <alignment horizontal="left"/>
    </xf>
    <xf numFmtId="0" fontId="0" fillId="0" borderId="2" xfId="0" applyNumberFormat="1" applyFont="1" applyFill="1" applyBorder="1" applyAlignment="1"/>
    <xf numFmtId="3" fontId="0" fillId="0" borderId="2" xfId="0" applyNumberFormat="1" applyFont="1" applyFill="1" applyBorder="1" applyAlignment="1"/>
    <xf numFmtId="3" fontId="8" fillId="0" borderId="2" xfId="0" applyNumberFormat="1" applyFont="1" applyFill="1" applyBorder="1" applyAlignment="1">
      <alignment horizontal="left"/>
    </xf>
    <xf numFmtId="49" fontId="8" fillId="26" borderId="0" xfId="0" applyNumberFormat="1" applyFont="1" applyFill="1" applyBorder="1" applyAlignment="1">
      <alignment vertical="top"/>
    </xf>
    <xf numFmtId="49" fontId="8" fillId="26" borderId="2" xfId="0" applyNumberFormat="1" applyFont="1" applyFill="1" applyBorder="1" applyAlignment="1">
      <alignment vertical="top"/>
    </xf>
    <xf numFmtId="3" fontId="8" fillId="26" borderId="0" xfId="0" applyNumberFormat="1" applyFont="1" applyFill="1" applyBorder="1" applyAlignment="1"/>
    <xf numFmtId="3" fontId="0" fillId="26" borderId="0" xfId="0" applyNumberFormat="1" applyFont="1" applyFill="1" applyBorder="1" applyAlignment="1">
      <alignment horizontal="left"/>
    </xf>
    <xf numFmtId="3" fontId="0" fillId="26" borderId="2" xfId="0" applyNumberFormat="1" applyFont="1" applyFill="1" applyBorder="1" applyAlignment="1">
      <alignment horizontal="left"/>
    </xf>
    <xf numFmtId="4" fontId="0" fillId="26" borderId="0" xfId="0" applyNumberFormat="1" applyFill="1" applyAlignment="1">
      <alignment vertical="top"/>
    </xf>
    <xf numFmtId="0" fontId="0" fillId="26" borderId="0" xfId="0" applyFill="1" applyAlignment="1">
      <alignment vertical="top"/>
    </xf>
    <xf numFmtId="49" fontId="0" fillId="26" borderId="0" xfId="0" applyNumberFormat="1" applyFill="1" applyBorder="1" applyAlignment="1">
      <alignment vertical="top"/>
    </xf>
    <xf numFmtId="49" fontId="32" fillId="26" borderId="2" xfId="0" applyNumberFormat="1" applyFont="1" applyFill="1" applyBorder="1" applyAlignment="1">
      <alignment vertical="top"/>
    </xf>
    <xf numFmtId="0" fontId="0" fillId="26" borderId="0" xfId="0" applyFont="1" applyFill="1" applyBorder="1" applyAlignment="1">
      <alignment horizontal="left" vertical="top"/>
    </xf>
    <xf numFmtId="0" fontId="0" fillId="26" borderId="2" xfId="0" applyFont="1" applyFill="1" applyBorder="1" applyAlignment="1">
      <alignment horizontal="left" vertical="top"/>
    </xf>
    <xf numFmtId="49" fontId="0" fillId="26" borderId="0" xfId="0" applyNumberFormat="1" applyFont="1" applyFill="1" applyBorder="1" applyAlignment="1">
      <alignment horizontal="left" vertical="top"/>
    </xf>
    <xf numFmtId="49" fontId="32" fillId="26" borderId="2" xfId="0" applyNumberFormat="1" applyFont="1" applyFill="1" applyBorder="1" applyAlignment="1">
      <alignment horizontal="left" vertical="top"/>
    </xf>
    <xf numFmtId="3" fontId="8" fillId="26" borderId="0" xfId="0" applyNumberFormat="1" applyFont="1" applyFill="1" applyBorder="1" applyAlignment="1">
      <alignment horizontal="right" vertical="top"/>
    </xf>
    <xf numFmtId="0" fontId="8" fillId="26" borderId="0" xfId="0" applyFont="1" applyFill="1" applyBorder="1" applyAlignment="1">
      <alignment horizontal="left" vertical="top"/>
    </xf>
    <xf numFmtId="181" fontId="8" fillId="28" borderId="0" xfId="1" applyNumberFormat="1" applyFont="1" applyFill="1" applyBorder="1" applyAlignment="1">
      <alignment horizontal="center"/>
    </xf>
    <xf numFmtId="0" fontId="8" fillId="28" borderId="0" xfId="0" applyFont="1" applyFill="1" applyBorder="1" applyAlignment="1">
      <alignment horizontal="center"/>
    </xf>
    <xf numFmtId="49" fontId="74" fillId="28" borderId="2" xfId="0" applyNumberFormat="1" applyFont="1" applyFill="1" applyBorder="1" applyAlignment="1"/>
    <xf numFmtId="181" fontId="74" fillId="28" borderId="0" xfId="1" applyNumberFormat="1" applyFont="1" applyFill="1" applyBorder="1" applyAlignment="1">
      <alignment horizontal="center"/>
    </xf>
    <xf numFmtId="0" fontId="74" fillId="28" borderId="0" xfId="0" applyFont="1" applyFill="1" applyBorder="1" applyAlignment="1">
      <alignment horizontal="center"/>
    </xf>
    <xf numFmtId="49" fontId="74" fillId="28" borderId="0" xfId="0" applyNumberFormat="1" applyFont="1" applyFill="1" applyBorder="1" applyAlignment="1">
      <alignment horizontal="center"/>
    </xf>
    <xf numFmtId="49" fontId="74" fillId="28" borderId="2" xfId="0" applyNumberFormat="1" applyFont="1" applyFill="1" applyBorder="1" applyAlignment="1">
      <alignment horizontal="center"/>
    </xf>
    <xf numFmtId="3" fontId="8" fillId="24" borderId="0" xfId="0" applyNumberFormat="1" applyFont="1" applyFill="1" applyBorder="1" applyAlignment="1">
      <alignment horizontal="right" vertical="top"/>
    </xf>
    <xf numFmtId="3" fontId="0" fillId="22" borderId="0" xfId="0" applyNumberFormat="1" applyFont="1" applyFill="1" applyBorder="1" applyAlignment="1">
      <alignment horizontal="right" vertical="top"/>
    </xf>
    <xf numFmtId="3" fontId="0" fillId="23" borderId="0" xfId="0" applyNumberFormat="1" applyFont="1" applyFill="1" applyBorder="1" applyAlignment="1">
      <alignment horizontal="right" vertical="top"/>
    </xf>
    <xf numFmtId="3" fontId="8" fillId="23" borderId="0" xfId="0" applyNumberFormat="1" applyFont="1" applyFill="1" applyBorder="1" applyAlignment="1">
      <alignment horizontal="right" vertical="top"/>
    </xf>
    <xf numFmtId="183" fontId="0" fillId="23" borderId="0" xfId="1" applyNumberFormat="1" applyFont="1" applyFill="1" applyBorder="1" applyAlignment="1">
      <alignment horizontal="right" vertical="top"/>
    </xf>
    <xf numFmtId="3" fontId="0" fillId="23" borderId="0" xfId="1" applyNumberFormat="1" applyFont="1" applyFill="1" applyBorder="1" applyAlignment="1">
      <alignment horizontal="right" vertical="top"/>
    </xf>
    <xf numFmtId="181" fontId="74" fillId="28" borderId="0" xfId="0" applyNumberFormat="1" applyFont="1" applyFill="1" applyBorder="1" applyAlignment="1">
      <alignment horizontal="right"/>
    </xf>
    <xf numFmtId="0" fontId="74" fillId="28" borderId="0" xfId="0" applyNumberFormat="1" applyFont="1" applyFill="1" applyBorder="1" applyAlignment="1"/>
    <xf numFmtId="0" fontId="74" fillId="28" borderId="2" xfId="0" applyNumberFormat="1" applyFont="1" applyFill="1" applyBorder="1" applyAlignment="1">
      <alignment wrapText="1"/>
    </xf>
    <xf numFmtId="0" fontId="8" fillId="16" borderId="0" xfId="0" applyNumberFormat="1" applyFont="1" applyFill="1" applyBorder="1" applyAlignment="1">
      <alignment horizontal="right"/>
    </xf>
    <xf numFmtId="181" fontId="8" fillId="16" borderId="0" xfId="0" applyNumberFormat="1" applyFont="1" applyFill="1" applyBorder="1" applyAlignment="1">
      <alignment horizontal="right" vertical="top"/>
    </xf>
    <xf numFmtId="0" fontId="8" fillId="16" borderId="0" xfId="0" applyNumberFormat="1" applyFont="1" applyFill="1" applyBorder="1" applyAlignment="1">
      <alignment vertical="top"/>
    </xf>
    <xf numFmtId="0" fontId="8" fillId="16" borderId="2" xfId="0" applyNumberFormat="1" applyFont="1" applyFill="1" applyBorder="1" applyAlignment="1">
      <alignment vertical="top" wrapText="1"/>
    </xf>
    <xf numFmtId="181" fontId="0" fillId="16" borderId="0" xfId="0" applyNumberFormat="1" applyFill="1" applyBorder="1" applyAlignment="1">
      <alignment horizontal="right" vertical="top"/>
    </xf>
    <xf numFmtId="0" fontId="0" fillId="16" borderId="0" xfId="0" applyFill="1" applyBorder="1" applyAlignment="1">
      <alignment vertical="top"/>
    </xf>
    <xf numFmtId="49" fontId="0" fillId="16" borderId="0" xfId="0" applyNumberFormat="1" applyFill="1" applyBorder="1" applyAlignment="1">
      <alignment vertical="top"/>
    </xf>
    <xf numFmtId="49" fontId="0" fillId="16" borderId="2" xfId="0" applyNumberFormat="1" applyFont="1" applyFill="1" applyBorder="1" applyAlignment="1">
      <alignment vertical="top" wrapText="1"/>
    </xf>
    <xf numFmtId="0" fontId="0" fillId="16" borderId="0" xfId="0" applyFont="1" applyFill="1" applyBorder="1" applyAlignment="1">
      <alignment horizontal="right" vertical="top" wrapText="1"/>
    </xf>
    <xf numFmtId="0" fontId="0" fillId="16" borderId="0" xfId="0" applyFont="1" applyFill="1" applyBorder="1" applyAlignment="1">
      <alignment vertical="top" wrapText="1"/>
    </xf>
    <xf numFmtId="0" fontId="0" fillId="16" borderId="2" xfId="0" applyFont="1" applyFill="1" applyBorder="1" applyAlignment="1">
      <alignment vertical="top" wrapText="1"/>
    </xf>
    <xf numFmtId="0" fontId="8" fillId="16" borderId="0" xfId="0" applyNumberFormat="1" applyFont="1" applyFill="1" applyBorder="1" applyAlignment="1">
      <alignment horizontal="right" vertical="top" wrapText="1"/>
    </xf>
    <xf numFmtId="0" fontId="8" fillId="16" borderId="0" xfId="0" applyNumberFormat="1" applyFont="1" applyFill="1" applyBorder="1" applyAlignment="1">
      <alignment vertical="top" wrapText="1"/>
    </xf>
    <xf numFmtId="43" fontId="0" fillId="23" borderId="0" xfId="0" applyNumberFormat="1" applyFill="1" applyBorder="1" applyAlignment="1">
      <alignment horizontal="right" vertical="top"/>
    </xf>
    <xf numFmtId="183" fontId="0" fillId="23" borderId="0" xfId="0" applyNumberFormat="1" applyFill="1" applyBorder="1" applyAlignment="1">
      <alignment horizontal="right" vertical="top"/>
    </xf>
    <xf numFmtId="181" fontId="0" fillId="23" borderId="0" xfId="1" applyNumberFormat="1" applyFont="1" applyFill="1" applyBorder="1" applyAlignment="1">
      <alignment horizontal="right" vertical="top"/>
    </xf>
    <xf numFmtId="43" fontId="0" fillId="23" borderId="0" xfId="4" applyNumberFormat="1" applyFont="1" applyFill="1" applyBorder="1" applyAlignment="1">
      <alignment horizontal="right" vertical="top"/>
    </xf>
    <xf numFmtId="0" fontId="0" fillId="23" borderId="0" xfId="0" applyNumberFormat="1" applyFill="1" applyBorder="1" applyAlignment="1">
      <alignment horizontal="right" vertical="top"/>
    </xf>
    <xf numFmtId="181" fontId="0" fillId="23" borderId="0" xfId="0" applyNumberFormat="1" applyFill="1" applyBorder="1" applyAlignment="1">
      <alignment horizontal="right" vertical="top"/>
    </xf>
    <xf numFmtId="181" fontId="66" fillId="23" borderId="0" xfId="0" applyNumberFormat="1" applyFont="1" applyFill="1" applyBorder="1" applyAlignment="1">
      <alignment horizontal="right" vertical="top"/>
    </xf>
    <xf numFmtId="181" fontId="26" fillId="0" borderId="0" xfId="1" applyNumberFormat="1" applyFont="1" applyFill="1" applyBorder="1" applyAlignment="1">
      <alignment horizontal="right" vertical="top"/>
    </xf>
    <xf numFmtId="0" fontId="0" fillId="16" borderId="4" xfId="0" applyFill="1" applyBorder="1" applyAlignment="1">
      <alignment horizontal="left" vertical="top"/>
    </xf>
    <xf numFmtId="3" fontId="7" fillId="23" borderId="0" xfId="0" applyNumberFormat="1" applyFont="1" applyFill="1" applyBorder="1" applyAlignment="1">
      <alignment horizontal="right" vertical="top" wrapText="1"/>
    </xf>
    <xf numFmtId="184" fontId="0" fillId="23" borderId="0" xfId="0" applyNumberFormat="1" applyFill="1" applyBorder="1" applyAlignment="1">
      <alignment horizontal="right" vertical="top"/>
    </xf>
    <xf numFmtId="165" fontId="0" fillId="23" borderId="0" xfId="0" applyNumberFormat="1" applyFont="1" applyFill="1" applyBorder="1" applyAlignment="1">
      <alignment horizontal="right" vertical="top"/>
    </xf>
    <xf numFmtId="165" fontId="7" fillId="23" borderId="0" xfId="0" applyNumberFormat="1" applyFont="1" applyFill="1" applyBorder="1" applyAlignment="1">
      <alignment horizontal="right" vertical="top" wrapText="1"/>
    </xf>
    <xf numFmtId="39" fontId="0" fillId="23" borderId="0" xfId="1" applyNumberFormat="1" applyFont="1" applyFill="1" applyBorder="1" applyAlignment="1">
      <alignment horizontal="right" vertical="top"/>
    </xf>
    <xf numFmtId="3" fontId="0" fillId="23" borderId="0" xfId="0" applyNumberFormat="1" applyFill="1" applyBorder="1" applyAlignment="1">
      <alignment horizontal="right" vertical="top"/>
    </xf>
    <xf numFmtId="181" fontId="21" fillId="23" borderId="0" xfId="1" applyNumberFormat="1" applyFont="1" applyFill="1" applyBorder="1" applyAlignment="1">
      <alignment horizontal="right" vertical="top" wrapText="1"/>
    </xf>
    <xf numFmtId="49" fontId="8" fillId="24" borderId="2" xfId="0" applyNumberFormat="1" applyFont="1" applyFill="1" applyBorder="1" applyAlignment="1">
      <alignment horizontal="left"/>
    </xf>
    <xf numFmtId="3" fontId="8" fillId="24" borderId="4" xfId="0" applyNumberFormat="1" applyFont="1" applyFill="1" applyBorder="1" applyAlignment="1">
      <alignment horizontal="right" vertical="top"/>
    </xf>
    <xf numFmtId="0" fontId="0" fillId="24" borderId="2" xfId="0" applyFill="1" applyBorder="1">
      <alignment vertical="top"/>
    </xf>
    <xf numFmtId="0" fontId="0" fillId="24" borderId="0" xfId="0" applyFill="1" applyAlignment="1">
      <alignment vertical="top"/>
    </xf>
    <xf numFmtId="0" fontId="32" fillId="24" borderId="0" xfId="0" applyFont="1" applyFill="1" applyBorder="1" applyAlignment="1">
      <alignment vertical="top" wrapText="1"/>
    </xf>
    <xf numFmtId="0" fontId="32" fillId="24" borderId="2" xfId="0" applyFont="1" applyFill="1" applyBorder="1" applyAlignment="1">
      <alignment vertical="top" wrapText="1"/>
    </xf>
    <xf numFmtId="0" fontId="0" fillId="24" borderId="2" xfId="0" applyFont="1" applyFill="1" applyBorder="1" applyAlignment="1">
      <alignment vertical="top" wrapText="1"/>
    </xf>
    <xf numFmtId="0" fontId="0" fillId="24" borderId="0" xfId="0" applyFill="1" applyBorder="1" applyAlignment="1">
      <alignment vertical="top"/>
    </xf>
    <xf numFmtId="3" fontId="75" fillId="28" borderId="0" xfId="1" applyNumberFormat="1" applyFont="1" applyFill="1" applyBorder="1" applyAlignment="1">
      <alignment horizontal="right" vertical="top"/>
    </xf>
    <xf numFmtId="0" fontId="75" fillId="28" borderId="0" xfId="0" applyFont="1" applyFill="1" applyBorder="1" applyAlignment="1">
      <alignment vertical="top"/>
    </xf>
    <xf numFmtId="49" fontId="75" fillId="28" borderId="0" xfId="0" applyNumberFormat="1" applyFont="1" applyFill="1" applyBorder="1" applyAlignment="1">
      <alignment vertical="top"/>
    </xf>
    <xf numFmtId="49" fontId="75" fillId="28" borderId="2" xfId="0" applyNumberFormat="1" applyFont="1" applyFill="1" applyBorder="1" applyAlignment="1">
      <alignment vertical="top" wrapText="1"/>
    </xf>
    <xf numFmtId="49" fontId="75" fillId="28" borderId="0" xfId="0" applyNumberFormat="1" applyFont="1" applyFill="1" applyBorder="1" applyAlignment="1">
      <alignment vertical="top" wrapText="1"/>
    </xf>
    <xf numFmtId="3" fontId="0" fillId="16" borderId="0" xfId="0" applyNumberFormat="1" applyFont="1" applyFill="1" applyBorder="1" applyAlignment="1">
      <alignment horizontal="right" wrapText="1"/>
    </xf>
    <xf numFmtId="3" fontId="0" fillId="16" borderId="0" xfId="0" applyNumberFormat="1" applyFont="1" applyFill="1" applyBorder="1" applyAlignment="1">
      <alignment wrapText="1"/>
    </xf>
    <xf numFmtId="3" fontId="7" fillId="16" borderId="2" xfId="0" applyNumberFormat="1" applyFont="1" applyFill="1" applyBorder="1" applyAlignment="1">
      <alignment wrapText="1"/>
    </xf>
    <xf numFmtId="0" fontId="0" fillId="16" borderId="0" xfId="0" applyFill="1" applyBorder="1" applyAlignment="1">
      <alignment horizontal="right" vertical="top"/>
    </xf>
    <xf numFmtId="0" fontId="0" fillId="16" borderId="0" xfId="0" applyFill="1" applyBorder="1" applyAlignment="1"/>
    <xf numFmtId="49" fontId="0" fillId="16" borderId="0" xfId="0" applyNumberFormat="1" applyFill="1" applyBorder="1" applyAlignment="1"/>
    <xf numFmtId="49" fontId="0" fillId="16" borderId="0" xfId="0" applyNumberFormat="1" applyFont="1" applyFill="1" applyBorder="1" applyAlignment="1">
      <alignment wrapText="1"/>
    </xf>
    <xf numFmtId="0" fontId="74" fillId="16" borderId="2" xfId="0" applyNumberFormat="1" applyFont="1" applyFill="1" applyBorder="1" applyAlignment="1">
      <alignment horizontal="left"/>
    </xf>
    <xf numFmtId="3" fontId="75" fillId="16" borderId="0" xfId="1" applyNumberFormat="1" applyFont="1" applyFill="1" applyBorder="1" applyAlignment="1">
      <alignment horizontal="right" vertical="top"/>
    </xf>
    <xf numFmtId="0" fontId="75" fillId="16" borderId="0" xfId="0" applyFont="1" applyFill="1" applyBorder="1" applyAlignment="1">
      <alignment vertical="top"/>
    </xf>
    <xf numFmtId="49" fontId="75" fillId="16" borderId="0" xfId="0" applyNumberFormat="1" applyFont="1" applyFill="1" applyBorder="1" applyAlignment="1">
      <alignment vertical="top"/>
    </xf>
    <xf numFmtId="49" fontId="75" fillId="16" borderId="2" xfId="0" applyNumberFormat="1" applyFont="1" applyFill="1" applyBorder="1" applyAlignment="1">
      <alignment vertical="top" wrapText="1"/>
    </xf>
    <xf numFmtId="181" fontId="75" fillId="16" borderId="0" xfId="1" applyNumberFormat="1" applyFont="1" applyFill="1" applyBorder="1" applyAlignment="1">
      <alignment horizontal="right" vertical="top"/>
    </xf>
    <xf numFmtId="49" fontId="75" fillId="16" borderId="0" xfId="0" applyNumberFormat="1" applyFont="1" applyFill="1" applyBorder="1" applyAlignment="1">
      <alignment vertical="top" wrapText="1"/>
    </xf>
    <xf numFmtId="49" fontId="74" fillId="28" borderId="2" xfId="0" applyNumberFormat="1" applyFont="1" applyFill="1" applyBorder="1" applyAlignment="1">
      <alignment horizontal="left"/>
    </xf>
    <xf numFmtId="3" fontId="74" fillId="28" borderId="0" xfId="1" applyNumberFormat="1" applyFont="1" applyFill="1" applyBorder="1" applyAlignment="1">
      <alignment horizontal="center" vertical="top"/>
    </xf>
    <xf numFmtId="49" fontId="74" fillId="28" borderId="2" xfId="0" applyNumberFormat="1" applyFont="1" applyFill="1" applyBorder="1" applyAlignment="1">
      <alignment horizontal="center" wrapText="1"/>
    </xf>
    <xf numFmtId="181" fontId="74" fillId="28" borderId="0" xfId="1" applyNumberFormat="1" applyFont="1" applyFill="1" applyBorder="1" applyAlignment="1">
      <alignment horizontal="center" vertical="top"/>
    </xf>
    <xf numFmtId="49" fontId="74" fillId="28" borderId="0" xfId="0" applyNumberFormat="1" applyFont="1" applyFill="1" applyBorder="1" applyAlignment="1">
      <alignment horizontal="center" wrapText="1"/>
    </xf>
    <xf numFmtId="0" fontId="68" fillId="0" borderId="2" xfId="0" applyFont="1" applyFill="1" applyBorder="1" applyAlignment="1">
      <alignment horizontal="left" vertical="top"/>
    </xf>
    <xf numFmtId="0" fontId="74" fillId="16" borderId="4" xfId="0" applyFont="1" applyFill="1" applyBorder="1" applyAlignment="1">
      <alignment horizontal="left"/>
    </xf>
    <xf numFmtId="0" fontId="38" fillId="0" borderId="4" xfId="0" applyNumberFormat="1" applyFont="1" applyBorder="1" applyAlignment="1">
      <alignment horizontal="left"/>
    </xf>
    <xf numFmtId="0" fontId="38" fillId="0" borderId="4" xfId="0" applyNumberFormat="1" applyFont="1" applyFill="1" applyBorder="1" applyAlignment="1">
      <alignment horizontal="left"/>
    </xf>
    <xf numFmtId="0" fontId="0" fillId="0" borderId="4" xfId="0" applyFont="1" applyFill="1" applyBorder="1" applyAlignment="1">
      <alignment horizontal="left"/>
    </xf>
    <xf numFmtId="49" fontId="0" fillId="0" borderId="2" xfId="0" applyNumberFormat="1" applyFont="1" applyBorder="1" applyAlignment="1">
      <alignment vertical="top" wrapText="1"/>
    </xf>
    <xf numFmtId="49" fontId="8" fillId="0" borderId="2" xfId="0" applyNumberFormat="1" applyFont="1" applyFill="1" applyBorder="1" applyAlignment="1">
      <alignment wrapText="1"/>
    </xf>
    <xf numFmtId="49" fontId="0" fillId="0" borderId="2" xfId="0" applyNumberFormat="1" applyFont="1" applyFill="1" applyBorder="1" applyAlignment="1">
      <alignment wrapText="1"/>
    </xf>
    <xf numFmtId="49" fontId="0" fillId="16" borderId="2" xfId="0" applyNumberFormat="1" applyFont="1" applyFill="1" applyBorder="1" applyAlignment="1">
      <alignment wrapText="1"/>
    </xf>
    <xf numFmtId="181" fontId="7" fillId="23" borderId="0" xfId="0" applyNumberFormat="1" applyFont="1" applyFill="1" applyBorder="1" applyAlignment="1">
      <alignment horizontal="right" vertical="top"/>
    </xf>
    <xf numFmtId="3" fontId="66" fillId="23" borderId="0" xfId="0" applyNumberFormat="1" applyFont="1" applyFill="1" applyBorder="1" applyAlignment="1">
      <alignment horizontal="right" vertical="top"/>
    </xf>
    <xf numFmtId="0" fontId="0" fillId="23" borderId="0" xfId="0" applyFill="1" applyBorder="1" applyAlignment="1">
      <alignment horizontal="right" vertical="top"/>
    </xf>
    <xf numFmtId="181" fontId="38" fillId="23" borderId="0" xfId="0" applyNumberFormat="1" applyFont="1" applyFill="1" applyBorder="1" applyAlignment="1">
      <alignment horizontal="right" vertical="top"/>
    </xf>
    <xf numFmtId="1" fontId="0" fillId="23" borderId="0" xfId="1" applyNumberFormat="1" applyFont="1" applyFill="1" applyBorder="1" applyAlignment="1">
      <alignment horizontal="right" vertical="top"/>
    </xf>
    <xf numFmtId="169" fontId="8" fillId="23" borderId="0" xfId="0" applyNumberFormat="1" applyFont="1" applyFill="1" applyBorder="1" applyAlignment="1">
      <alignment horizontal="right" vertical="top"/>
    </xf>
    <xf numFmtId="181" fontId="0" fillId="23" borderId="0" xfId="1" quotePrefix="1" applyNumberFormat="1" applyFont="1" applyFill="1" applyBorder="1" applyAlignment="1">
      <alignment horizontal="right" vertical="top"/>
    </xf>
    <xf numFmtId="43" fontId="0" fillId="23" borderId="0" xfId="1" applyNumberFormat="1" applyFont="1" applyFill="1" applyBorder="1" applyAlignment="1">
      <alignment horizontal="right" vertical="top"/>
    </xf>
    <xf numFmtId="43" fontId="0" fillId="23" borderId="0" xfId="1" applyFont="1" applyFill="1" applyBorder="1" applyAlignment="1">
      <alignment horizontal="right" vertical="top"/>
    </xf>
    <xf numFmtId="181" fontId="66" fillId="23" borderId="0" xfId="1" applyNumberFormat="1" applyFont="1" applyFill="1" applyBorder="1" applyAlignment="1">
      <alignment horizontal="right" vertical="top"/>
    </xf>
    <xf numFmtId="181" fontId="7" fillId="23" borderId="0" xfId="1" applyNumberFormat="1" applyFont="1" applyFill="1" applyBorder="1" applyAlignment="1">
      <alignment horizontal="right" vertical="top"/>
    </xf>
    <xf numFmtId="0" fontId="0" fillId="23" borderId="0" xfId="1" applyNumberFormat="1" applyFont="1" applyFill="1" applyBorder="1" applyAlignment="1">
      <alignment horizontal="right" vertical="top"/>
    </xf>
    <xf numFmtId="178" fontId="0" fillId="23" borderId="0" xfId="4" applyNumberFormat="1" applyFont="1" applyFill="1" applyBorder="1" applyAlignment="1">
      <alignment horizontal="right" vertical="top"/>
    </xf>
    <xf numFmtId="0" fontId="0" fillId="16" borderId="0" xfId="0" applyFill="1">
      <alignment vertical="top"/>
    </xf>
    <xf numFmtId="3" fontId="75" fillId="28" borderId="0" xfId="0" applyNumberFormat="1" applyFont="1" applyFill="1" applyBorder="1" applyAlignment="1">
      <alignment horizontal="right"/>
    </xf>
    <xf numFmtId="0" fontId="75" fillId="28" borderId="0" xfId="0" applyFont="1" applyFill="1" applyBorder="1" applyAlignment="1">
      <alignment horizontal="left"/>
    </xf>
    <xf numFmtId="0" fontId="75" fillId="28" borderId="2" xfId="0" applyFont="1" applyFill="1" applyBorder="1" applyAlignment="1">
      <alignment horizontal="left"/>
    </xf>
    <xf numFmtId="49" fontId="75" fillId="28" borderId="0" xfId="0" applyNumberFormat="1" applyFont="1" applyFill="1" applyBorder="1" applyAlignment="1">
      <alignment horizontal="left"/>
    </xf>
    <xf numFmtId="49" fontId="75" fillId="28" borderId="2" xfId="0" applyNumberFormat="1" applyFont="1" applyFill="1" applyBorder="1" applyAlignment="1">
      <alignment horizontal="left"/>
    </xf>
    <xf numFmtId="0" fontId="95" fillId="28" borderId="0" xfId="0" applyFont="1" applyFill="1" applyBorder="1" applyAlignment="1">
      <alignment horizontal="left" vertical="top"/>
    </xf>
    <xf numFmtId="0" fontId="95" fillId="28" borderId="2" xfId="0" applyFont="1" applyFill="1" applyBorder="1" applyAlignment="1">
      <alignment horizontal="left" vertical="top"/>
    </xf>
    <xf numFmtId="3" fontId="75" fillId="28" borderId="0" xfId="1" applyNumberFormat="1" applyFont="1" applyFill="1" applyBorder="1" applyAlignment="1">
      <alignment horizontal="left" vertical="top"/>
    </xf>
    <xf numFmtId="0" fontId="75" fillId="28" borderId="0" xfId="0" applyFont="1" applyFill="1" applyBorder="1" applyAlignment="1">
      <alignment horizontal="left" vertical="top"/>
    </xf>
    <xf numFmtId="49" fontId="75" fillId="28" borderId="0" xfId="0" applyNumberFormat="1" applyFont="1" applyFill="1" applyBorder="1" applyAlignment="1">
      <alignment horizontal="left" vertical="top"/>
    </xf>
    <xf numFmtId="49" fontId="75" fillId="28" borderId="2" xfId="0" applyNumberFormat="1" applyFont="1" applyFill="1" applyBorder="1" applyAlignment="1">
      <alignment horizontal="left" vertical="top"/>
    </xf>
    <xf numFmtId="0" fontId="74" fillId="28" borderId="0" xfId="0" applyFont="1" applyFill="1" applyAlignment="1"/>
    <xf numFmtId="49" fontId="8" fillId="24" borderId="2" xfId="0" applyNumberFormat="1" applyFont="1" applyFill="1" applyBorder="1" applyAlignment="1">
      <alignment horizontal="left" vertical="top" wrapText="1"/>
    </xf>
    <xf numFmtId="0" fontId="8" fillId="24" borderId="0" xfId="0" applyFont="1" applyFill="1" applyBorder="1" applyAlignment="1">
      <alignment vertical="top"/>
    </xf>
    <xf numFmtId="0" fontId="8" fillId="24" borderId="2" xfId="0" applyFont="1" applyFill="1" applyBorder="1" applyAlignment="1">
      <alignment vertical="top"/>
    </xf>
    <xf numFmtId="49" fontId="0" fillId="24" borderId="0" xfId="0" applyNumberFormat="1" applyFont="1" applyFill="1" applyBorder="1" applyAlignment="1">
      <alignment vertical="top"/>
    </xf>
    <xf numFmtId="49" fontId="0" fillId="24" borderId="2" xfId="0" applyNumberFormat="1" applyFont="1" applyFill="1" applyBorder="1" applyAlignment="1">
      <alignment vertical="top"/>
    </xf>
    <xf numFmtId="2" fontId="0" fillId="24" borderId="0" xfId="0" applyNumberFormat="1" applyFont="1" applyFill="1" applyBorder="1" applyAlignment="1">
      <alignment vertical="top"/>
    </xf>
    <xf numFmtId="0" fontId="0" fillId="11" borderId="2" xfId="0" applyNumberFormat="1" applyFont="1" applyFill="1" applyBorder="1" applyAlignment="1">
      <alignment horizontal="left"/>
    </xf>
    <xf numFmtId="181" fontId="75" fillId="28" borderId="5" xfId="1" applyNumberFormat="1" applyFont="1" applyFill="1" applyBorder="1" applyAlignment="1">
      <alignment horizontal="right" vertical="top"/>
    </xf>
    <xf numFmtId="49" fontId="75" fillId="28" borderId="2" xfId="0" applyNumberFormat="1" applyFont="1" applyFill="1" applyBorder="1" applyAlignment="1">
      <alignment vertical="top"/>
    </xf>
    <xf numFmtId="0" fontId="27" fillId="23" borderId="0" xfId="0" applyFont="1" applyFill="1" applyAlignment="1">
      <alignment vertical="top"/>
    </xf>
    <xf numFmtId="9" fontId="0" fillId="0" borderId="0" xfId="4" applyFont="1" applyFill="1" applyBorder="1" applyAlignment="1">
      <alignment horizontal="right" vertical="top"/>
    </xf>
    <xf numFmtId="178" fontId="0" fillId="23" borderId="0" xfId="0" applyNumberFormat="1" applyFill="1" applyBorder="1" applyAlignment="1">
      <alignment horizontal="right" vertical="top"/>
    </xf>
    <xf numFmtId="3" fontId="75" fillId="28" borderId="0" xfId="0" applyNumberFormat="1" applyFont="1" applyFill="1" applyBorder="1" applyAlignment="1">
      <alignment horizontal="left" vertical="top"/>
    </xf>
    <xf numFmtId="181" fontId="75" fillId="28" borderId="0" xfId="1" applyNumberFormat="1" applyFont="1" applyFill="1" applyBorder="1" applyAlignment="1">
      <alignment horizontal="left" vertical="top"/>
    </xf>
    <xf numFmtId="3" fontId="74" fillId="28" borderId="0" xfId="1" applyNumberFormat="1" applyFont="1" applyFill="1" applyBorder="1" applyAlignment="1">
      <alignment horizontal="center"/>
    </xf>
    <xf numFmtId="0" fontId="8" fillId="0" borderId="2" xfId="0" applyNumberFormat="1" applyFont="1" applyFill="1" applyBorder="1" applyAlignment="1"/>
    <xf numFmtId="0" fontId="76" fillId="26" borderId="2" xfId="0" applyFont="1" applyFill="1" applyBorder="1" applyAlignment="1">
      <alignment vertical="top"/>
    </xf>
    <xf numFmtId="0" fontId="0" fillId="26" borderId="0" xfId="0" applyFont="1" applyFill="1" applyBorder="1">
      <alignment vertical="top"/>
    </xf>
    <xf numFmtId="0" fontId="0" fillId="26" borderId="0" xfId="0" applyFont="1" applyFill="1">
      <alignment vertical="top"/>
    </xf>
    <xf numFmtId="49" fontId="0" fillId="26" borderId="2" xfId="0" applyNumberFormat="1" applyFont="1" applyFill="1" applyBorder="1" applyAlignment="1">
      <alignment horizontal="left" vertical="top"/>
    </xf>
    <xf numFmtId="3" fontId="0" fillId="26" borderId="0" xfId="0" applyNumberFormat="1" applyFont="1" applyFill="1" applyBorder="1" applyAlignment="1">
      <alignment horizontal="left" vertical="top"/>
    </xf>
    <xf numFmtId="3" fontId="0" fillId="26" borderId="2" xfId="0" applyNumberFormat="1" applyFont="1" applyFill="1" applyBorder="1" applyAlignment="1">
      <alignment horizontal="left" vertical="top"/>
    </xf>
    <xf numFmtId="3" fontId="8" fillId="3" borderId="4" xfId="0" applyNumberFormat="1" applyFont="1" applyFill="1" applyBorder="1" applyAlignment="1">
      <alignment horizontal="left" vertical="top"/>
    </xf>
    <xf numFmtId="0" fontId="67" fillId="0" borderId="4" xfId="10" applyFont="1" applyFill="1" applyBorder="1" applyAlignment="1"/>
    <xf numFmtId="10" fontId="77" fillId="0" borderId="4" xfId="0" applyNumberFormat="1" applyFont="1" applyBorder="1">
      <alignment vertical="top"/>
    </xf>
    <xf numFmtId="3" fontId="0" fillId="26" borderId="4" xfId="0" applyNumberFormat="1" applyFont="1" applyFill="1" applyBorder="1" applyAlignment="1">
      <alignment horizontal="left" vertical="top"/>
    </xf>
    <xf numFmtId="3" fontId="0" fillId="22" borderId="0" xfId="1" applyNumberFormat="1" applyFont="1" applyFill="1" applyBorder="1" applyAlignment="1">
      <alignment horizontal="right" vertical="top"/>
    </xf>
    <xf numFmtId="9" fontId="7" fillId="22" borderId="0" xfId="1" applyNumberFormat="1" applyFont="1" applyFill="1" applyBorder="1" applyAlignment="1">
      <alignment horizontal="right"/>
    </xf>
    <xf numFmtId="3" fontId="0" fillId="22" borderId="0" xfId="0" applyNumberFormat="1" applyFill="1" applyBorder="1" applyAlignment="1">
      <alignment horizontal="right"/>
    </xf>
    <xf numFmtId="10" fontId="21" fillId="0" borderId="0" xfId="0" applyNumberFormat="1" applyFont="1">
      <alignment vertical="top"/>
    </xf>
    <xf numFmtId="49" fontId="8" fillId="28" borderId="2" xfId="0" applyNumberFormat="1" applyFont="1" applyFill="1" applyBorder="1" applyAlignment="1">
      <alignment horizontal="left"/>
    </xf>
    <xf numFmtId="49" fontId="74" fillId="29" borderId="2" xfId="0" applyNumberFormat="1" applyFont="1" applyFill="1" applyBorder="1" applyAlignment="1"/>
    <xf numFmtId="3" fontId="74" fillId="29" borderId="0" xfId="0" applyNumberFormat="1" applyFont="1" applyFill="1" applyBorder="1" applyAlignment="1">
      <alignment horizontal="right"/>
    </xf>
    <xf numFmtId="0" fontId="75" fillId="29" borderId="0" xfId="0" applyFont="1" applyFill="1" applyBorder="1" applyAlignment="1">
      <alignment horizontal="left"/>
    </xf>
    <xf numFmtId="0" fontId="75" fillId="29" borderId="2" xfId="0" applyFont="1" applyFill="1" applyBorder="1" applyAlignment="1">
      <alignment horizontal="left"/>
    </xf>
    <xf numFmtId="3" fontId="74" fillId="29" borderId="5" xfId="0" applyNumberFormat="1" applyFont="1" applyFill="1" applyBorder="1" applyAlignment="1">
      <alignment horizontal="right"/>
    </xf>
    <xf numFmtId="3" fontId="8" fillId="0" borderId="5" xfId="0" applyNumberFormat="1" applyFont="1" applyFill="1" applyBorder="1" applyAlignment="1">
      <alignment horizontal="right"/>
    </xf>
    <xf numFmtId="3" fontId="7" fillId="0" borderId="5" xfId="0" applyNumberFormat="1" applyFont="1" applyBorder="1" applyAlignment="1">
      <alignment horizontal="right" vertical="top" indent="1"/>
    </xf>
    <xf numFmtId="3" fontId="7" fillId="0" borderId="5" xfId="0" applyNumberFormat="1" applyFont="1" applyFill="1" applyBorder="1" applyAlignment="1">
      <alignment horizontal="right"/>
    </xf>
    <xf numFmtId="3" fontId="0" fillId="0" borderId="5" xfId="0" applyNumberFormat="1" applyFont="1" applyFill="1" applyBorder="1" applyAlignment="1">
      <alignment vertical="top"/>
    </xf>
    <xf numFmtId="3" fontId="8" fillId="0" borderId="5" xfId="0" applyNumberFormat="1" applyFont="1" applyFill="1" applyBorder="1" applyAlignment="1"/>
    <xf numFmtId="0" fontId="75" fillId="29" borderId="0" xfId="0" applyFont="1" applyFill="1" applyBorder="1" applyAlignment="1">
      <alignment horizontal="right"/>
    </xf>
    <xf numFmtId="49" fontId="75" fillId="29" borderId="0" xfId="0" applyNumberFormat="1" applyFont="1" applyFill="1" applyBorder="1" applyAlignment="1">
      <alignment horizontal="left"/>
    </xf>
    <xf numFmtId="49" fontId="75" fillId="29" borderId="2" xfId="0" applyNumberFormat="1" applyFont="1" applyFill="1" applyBorder="1" applyAlignment="1">
      <alignment horizontal="left"/>
    </xf>
    <xf numFmtId="0" fontId="8" fillId="0" borderId="0" xfId="0" applyFont="1" applyBorder="1" applyAlignment="1">
      <alignment horizontal="center"/>
    </xf>
    <xf numFmtId="0" fontId="8" fillId="0" borderId="2" xfId="0" applyFont="1" applyBorder="1" applyAlignment="1">
      <alignment horizontal="center"/>
    </xf>
    <xf numFmtId="49" fontId="20" fillId="0" borderId="2" xfId="1" applyNumberFormat="1" applyFont="1" applyBorder="1" applyAlignment="1">
      <alignment horizontal="center"/>
    </xf>
    <xf numFmtId="0" fontId="85" fillId="0" borderId="0" xfId="0" applyFont="1" applyBorder="1" applyAlignment="1">
      <alignment horizontal="center" vertical="top"/>
    </xf>
    <xf numFmtId="49" fontId="0" fillId="0" borderId="2" xfId="0" applyNumberFormat="1" applyFont="1" applyFill="1" applyBorder="1" applyAlignment="1">
      <alignment horizontal="center"/>
    </xf>
    <xf numFmtId="4" fontId="7" fillId="0" borderId="0" xfId="0" applyNumberFormat="1" applyFont="1" applyFill="1" applyAlignment="1"/>
    <xf numFmtId="164" fontId="7" fillId="0" borderId="0" xfId="0" applyNumberFormat="1" applyFont="1" applyFill="1" applyAlignment="1"/>
    <xf numFmtId="0" fontId="96" fillId="0" borderId="0" xfId="0" applyFont="1">
      <alignment vertical="top"/>
    </xf>
    <xf numFmtId="0" fontId="8" fillId="0" borderId="10" xfId="0" applyFont="1" applyBorder="1">
      <alignment vertical="top"/>
    </xf>
    <xf numFmtId="0" fontId="8" fillId="0" borderId="30" xfId="0" applyFont="1" applyBorder="1">
      <alignment vertical="top"/>
    </xf>
    <xf numFmtId="0" fontId="8" fillId="0" borderId="31" xfId="0" applyFont="1" applyBorder="1">
      <alignment vertical="top"/>
    </xf>
    <xf numFmtId="49" fontId="20" fillId="0" borderId="4" xfId="1" applyNumberFormat="1" applyFont="1" applyBorder="1" applyAlignment="1">
      <alignment horizontal="center"/>
    </xf>
    <xf numFmtId="0" fontId="94" fillId="28" borderId="4" xfId="0" applyNumberFormat="1" applyFont="1" applyFill="1" applyBorder="1" applyAlignment="1"/>
    <xf numFmtId="0" fontId="20" fillId="0" borderId="4" xfId="0" applyNumberFormat="1" applyFont="1" applyFill="1" applyBorder="1" applyAlignment="1"/>
    <xf numFmtId="0" fontId="67" fillId="0" borderId="4" xfId="10" applyNumberFormat="1" applyFill="1" applyBorder="1" applyAlignment="1">
      <alignment horizontal="left"/>
    </xf>
    <xf numFmtId="0" fontId="8" fillId="0" borderId="4" xfId="0" applyNumberFormat="1" applyFont="1" applyFill="1" applyBorder="1" applyAlignment="1">
      <alignment horizontal="left"/>
    </xf>
    <xf numFmtId="0" fontId="0" fillId="16" borderId="0" xfId="0" applyFont="1" applyFill="1" applyBorder="1" applyAlignment="1"/>
    <xf numFmtId="0" fontId="0" fillId="16" borderId="2" xfId="0" applyFont="1" applyFill="1" applyBorder="1" applyAlignment="1"/>
    <xf numFmtId="0" fontId="8" fillId="16" borderId="4" xfId="0" applyNumberFormat="1" applyFont="1" applyFill="1" applyBorder="1" applyAlignment="1">
      <alignment horizontal="left"/>
    </xf>
    <xf numFmtId="2" fontId="0" fillId="30" borderId="0" xfId="0" applyNumberFormat="1" applyFont="1" applyFill="1" applyBorder="1" applyAlignment="1"/>
    <xf numFmtId="0" fontId="0" fillId="30" borderId="0" xfId="0" applyFont="1" applyFill="1" applyBorder="1" applyAlignment="1"/>
    <xf numFmtId="0" fontId="32" fillId="0" borderId="4" xfId="0" applyFont="1" applyBorder="1" applyAlignment="1">
      <alignment vertical="top"/>
    </xf>
    <xf numFmtId="49" fontId="0" fillId="0" borderId="2" xfId="0" applyNumberFormat="1" applyFont="1" applyFill="1" applyBorder="1">
      <alignment vertical="top"/>
    </xf>
    <xf numFmtId="0" fontId="0" fillId="26" borderId="2" xfId="0" applyFont="1" applyFill="1" applyBorder="1" applyAlignment="1"/>
    <xf numFmtId="49" fontId="32" fillId="26" borderId="4" xfId="0" applyNumberFormat="1" applyFont="1" applyFill="1" applyBorder="1" applyAlignment="1">
      <alignment vertical="top"/>
    </xf>
    <xf numFmtId="49" fontId="20" fillId="0" borderId="4" xfId="0" applyNumberFormat="1" applyFont="1" applyFill="1" applyBorder="1" applyAlignment="1">
      <alignment vertical="top"/>
    </xf>
    <xf numFmtId="49" fontId="20" fillId="0" borderId="4" xfId="0" applyNumberFormat="1" applyFont="1" applyFill="1" applyBorder="1" applyAlignment="1"/>
    <xf numFmtId="3" fontId="32" fillId="0" borderId="4" xfId="0" applyNumberFormat="1" applyFont="1" applyFill="1" applyBorder="1" applyAlignment="1">
      <alignment vertical="top"/>
    </xf>
    <xf numFmtId="0" fontId="0" fillId="0" borderId="2" xfId="0" applyNumberFormat="1" applyFont="1" applyFill="1" applyBorder="1" applyAlignment="1">
      <alignment horizontal="left"/>
    </xf>
    <xf numFmtId="0" fontId="101" fillId="0" borderId="0" xfId="0" applyFont="1" applyBorder="1" applyAlignment="1">
      <alignment vertical="center"/>
    </xf>
    <xf numFmtId="0" fontId="101" fillId="0" borderId="0" xfId="0" applyFont="1" applyFill="1" applyBorder="1" applyAlignment="1">
      <alignment vertical="center"/>
    </xf>
    <xf numFmtId="0" fontId="99" fillId="34" borderId="0" xfId="0" applyFont="1" applyFill="1" applyBorder="1" applyAlignment="1">
      <alignment vertical="center"/>
    </xf>
    <xf numFmtId="0" fontId="101" fillId="34" borderId="0" xfId="0" applyFont="1" applyFill="1" applyBorder="1" applyAlignment="1">
      <alignment vertical="top"/>
    </xf>
    <xf numFmtId="0" fontId="98" fillId="31" borderId="0" xfId="0" applyNumberFormat="1" applyFont="1" applyFill="1" applyBorder="1" applyAlignment="1" applyProtection="1">
      <alignment vertical="center"/>
    </xf>
    <xf numFmtId="0" fontId="100" fillId="30" borderId="0" xfId="0" applyNumberFormat="1" applyFont="1" applyFill="1" applyBorder="1" applyAlignment="1" applyProtection="1">
      <alignment vertical="top"/>
    </xf>
    <xf numFmtId="0" fontId="99" fillId="24" borderId="0" xfId="0" applyFont="1" applyFill="1" applyBorder="1" applyAlignment="1">
      <alignment vertical="center"/>
    </xf>
    <xf numFmtId="0" fontId="100" fillId="24" borderId="0" xfId="0" applyNumberFormat="1" applyFont="1" applyFill="1" applyBorder="1" applyAlignment="1" applyProtection="1">
      <alignment vertical="top"/>
    </xf>
    <xf numFmtId="0" fontId="100" fillId="23" borderId="0" xfId="0" applyNumberFormat="1" applyFont="1" applyFill="1" applyBorder="1" applyAlignment="1" applyProtection="1">
      <alignment vertical="top"/>
    </xf>
    <xf numFmtId="0" fontId="100" fillId="31" borderId="0" xfId="0" applyNumberFormat="1" applyFont="1" applyFill="1" applyBorder="1" applyAlignment="1" applyProtection="1">
      <alignment vertical="top"/>
    </xf>
    <xf numFmtId="0" fontId="101" fillId="30" borderId="0" xfId="0" applyFont="1" applyFill="1" applyBorder="1" applyAlignment="1">
      <alignment vertical="top"/>
    </xf>
    <xf numFmtId="0" fontId="99" fillId="32" borderId="0" xfId="0" applyFont="1" applyFill="1" applyBorder="1" applyAlignment="1">
      <alignment vertical="center"/>
    </xf>
    <xf numFmtId="0" fontId="101" fillId="32" borderId="0" xfId="0" applyFont="1" applyFill="1" applyBorder="1" applyAlignment="1">
      <alignment vertical="top"/>
    </xf>
    <xf numFmtId="0" fontId="101" fillId="33" borderId="0" xfId="0" applyFont="1" applyFill="1" applyBorder="1" applyAlignment="1">
      <alignment vertical="top"/>
    </xf>
    <xf numFmtId="0" fontId="101" fillId="21" borderId="0" xfId="0" applyFont="1" applyFill="1" applyBorder="1" applyAlignment="1">
      <alignment vertical="top"/>
    </xf>
    <xf numFmtId="0" fontId="99" fillId="35" borderId="0" xfId="0" applyFont="1" applyFill="1" applyBorder="1" applyAlignment="1">
      <alignment vertical="center"/>
    </xf>
    <xf numFmtId="0" fontId="101" fillId="35" borderId="0" xfId="0" applyFont="1" applyFill="1" applyBorder="1" applyAlignment="1">
      <alignment vertical="top"/>
    </xf>
    <xf numFmtId="0" fontId="101" fillId="36" borderId="0" xfId="0" applyFont="1" applyFill="1" applyBorder="1" applyAlignment="1">
      <alignment vertical="top"/>
    </xf>
    <xf numFmtId="0" fontId="101" fillId="37" borderId="0" xfId="0" applyFont="1" applyFill="1" applyBorder="1" applyAlignment="1">
      <alignment vertical="top"/>
    </xf>
    <xf numFmtId="3" fontId="0" fillId="16" borderId="0" xfId="0" applyNumberFormat="1" applyFont="1" applyFill="1" applyAlignment="1">
      <alignment vertical="top"/>
    </xf>
    <xf numFmtId="0" fontId="0" fillId="16" borderId="0" xfId="0" applyFont="1" applyFill="1" applyBorder="1" applyAlignment="1">
      <alignment vertical="top"/>
    </xf>
    <xf numFmtId="49" fontId="0" fillId="16" borderId="0" xfId="0" applyNumberFormat="1" applyFont="1" applyFill="1" applyBorder="1" applyAlignment="1">
      <alignment vertical="top"/>
    </xf>
    <xf numFmtId="49" fontId="32" fillId="16" borderId="2" xfId="0" applyNumberFormat="1" applyFont="1" applyFill="1" applyBorder="1" applyAlignment="1">
      <alignment vertical="top"/>
    </xf>
    <xf numFmtId="49" fontId="8" fillId="16" borderId="2" xfId="0" applyNumberFormat="1" applyFont="1" applyFill="1" applyBorder="1">
      <alignment vertical="top"/>
    </xf>
    <xf numFmtId="1" fontId="0" fillId="0" borderId="0" xfId="0" applyNumberFormat="1" applyFont="1" applyFill="1" applyAlignment="1">
      <alignment vertical="top"/>
    </xf>
    <xf numFmtId="1" fontId="0" fillId="0" borderId="0" xfId="1" applyNumberFormat="1" applyFont="1" applyFill="1" applyBorder="1" applyAlignment="1">
      <alignment vertical="top"/>
    </xf>
    <xf numFmtId="0" fontId="92" fillId="0" borderId="2" xfId="10" applyFont="1" applyFill="1" applyBorder="1" applyAlignment="1">
      <alignment horizontal="left" vertical="top"/>
    </xf>
    <xf numFmtId="0" fontId="0" fillId="0" borderId="0" xfId="0" applyNumberFormat="1" applyFont="1" applyFill="1" applyBorder="1" applyAlignment="1">
      <alignment horizontal="left"/>
    </xf>
    <xf numFmtId="0" fontId="32" fillId="0" borderId="2" xfId="0" applyNumberFormat="1" applyFont="1" applyFill="1" applyBorder="1" applyAlignment="1"/>
    <xf numFmtId="0" fontId="0" fillId="16" borderId="0" xfId="0" applyNumberFormat="1" applyFont="1" applyFill="1" applyBorder="1" applyAlignment="1">
      <alignment horizontal="left"/>
    </xf>
    <xf numFmtId="0" fontId="0" fillId="16" borderId="2" xfId="0" applyNumberFormat="1" applyFont="1" applyFill="1" applyBorder="1" applyAlignment="1">
      <alignment horizontal="left"/>
    </xf>
    <xf numFmtId="0" fontId="0" fillId="30" borderId="0" xfId="0" applyNumberFormat="1" applyFont="1" applyFill="1" applyBorder="1" applyAlignment="1">
      <alignment horizontal="left"/>
    </xf>
    <xf numFmtId="164" fontId="0" fillId="0" borderId="0" xfId="0" applyNumberFormat="1" applyFont="1" applyFill="1" applyAlignment="1">
      <alignment vertical="top"/>
    </xf>
    <xf numFmtId="3" fontId="26" fillId="0" borderId="0" xfId="0" applyNumberFormat="1" applyFont="1" applyFill="1" applyAlignment="1">
      <alignment horizontal="right" vertical="top"/>
    </xf>
    <xf numFmtId="43" fontId="0" fillId="0" borderId="0" xfId="1" applyFont="1" applyFill="1" applyBorder="1" applyAlignment="1">
      <alignment vertical="top"/>
    </xf>
    <xf numFmtId="43" fontId="0" fillId="23" borderId="0" xfId="1" applyFont="1" applyFill="1" applyBorder="1" applyAlignment="1">
      <alignment vertical="top"/>
    </xf>
    <xf numFmtId="43" fontId="0" fillId="0" borderId="0" xfId="1" applyFont="1" applyFill="1" applyAlignment="1">
      <alignment horizontal="right"/>
    </xf>
    <xf numFmtId="43" fontId="8" fillId="0" borderId="0" xfId="1" applyFont="1" applyBorder="1" applyAlignment="1">
      <alignment horizontal="center"/>
    </xf>
    <xf numFmtId="43" fontId="74" fillId="28" borderId="0" xfId="1" applyFont="1" applyFill="1" applyBorder="1" applyAlignment="1">
      <alignment horizontal="center"/>
    </xf>
    <xf numFmtId="43" fontId="8" fillId="0" borderId="0" xfId="1" applyFont="1" applyFill="1" applyBorder="1" applyAlignment="1"/>
    <xf numFmtId="43" fontId="8" fillId="0" borderId="0" xfId="1" applyFont="1" applyFill="1" applyBorder="1" applyAlignment="1">
      <alignment horizontal="left"/>
    </xf>
    <xf numFmtId="3" fontId="2" fillId="0" borderId="0" xfId="0" applyNumberFormat="1" applyFont="1" applyBorder="1" applyAlignment="1">
      <alignment horizontal="right" vertical="top"/>
    </xf>
    <xf numFmtId="9" fontId="2" fillId="0" borderId="0" xfId="4" applyFont="1" applyBorder="1" applyAlignment="1">
      <alignment horizontal="right" vertical="top"/>
    </xf>
    <xf numFmtId="9" fontId="2" fillId="0" borderId="0" xfId="4" applyFont="1" applyFill="1" applyBorder="1" applyAlignment="1">
      <alignment horizontal="right" vertical="top"/>
    </xf>
    <xf numFmtId="0" fontId="2" fillId="0" borderId="2" xfId="0" applyFont="1" applyBorder="1" applyAlignment="1">
      <alignment horizontal="left" indent="1"/>
    </xf>
    <xf numFmtId="0" fontId="2" fillId="0" borderId="2" xfId="0" applyFont="1" applyBorder="1" applyAlignment="1">
      <alignment horizontal="left"/>
    </xf>
    <xf numFmtId="0" fontId="6" fillId="26" borderId="2" xfId="0" applyFont="1" applyFill="1" applyBorder="1" applyAlignment="1">
      <alignment horizontal="left"/>
    </xf>
    <xf numFmtId="181" fontId="8" fillId="26" borderId="0" xfId="1" applyNumberFormat="1" applyFont="1" applyFill="1" applyBorder="1" applyAlignment="1">
      <alignment horizontal="right" vertical="top"/>
    </xf>
    <xf numFmtId="0" fontId="0" fillId="26" borderId="2" xfId="0" applyFont="1" applyFill="1" applyBorder="1" applyAlignment="1">
      <alignment vertical="top"/>
    </xf>
    <xf numFmtId="0" fontId="0" fillId="26" borderId="0" xfId="0" applyFont="1" applyFill="1" applyBorder="1" applyAlignment="1">
      <alignment vertical="top"/>
    </xf>
    <xf numFmtId="0" fontId="0" fillId="26" borderId="0" xfId="0" applyFill="1">
      <alignment vertical="top"/>
    </xf>
    <xf numFmtId="0" fontId="0" fillId="26" borderId="2" xfId="0" applyFill="1" applyBorder="1">
      <alignment vertical="top"/>
    </xf>
    <xf numFmtId="49" fontId="0" fillId="26" borderId="2" xfId="0" applyNumberFormat="1" applyFont="1" applyFill="1" applyBorder="1" applyAlignment="1">
      <alignment horizontal="left" vertical="top" indent="1"/>
    </xf>
    <xf numFmtId="49" fontId="8" fillId="0" borderId="2" xfId="0" applyNumberFormat="1" applyFont="1" applyFill="1" applyBorder="1" applyAlignment="1">
      <alignment horizontal="left" vertical="top" wrapText="1" indent="3"/>
    </xf>
    <xf numFmtId="0" fontId="8" fillId="11" borderId="2" xfId="0" applyFont="1" applyFill="1" applyBorder="1">
      <alignment vertical="top"/>
    </xf>
    <xf numFmtId="43" fontId="8" fillId="0" borderId="0" xfId="1" applyFont="1" applyBorder="1" applyAlignment="1">
      <alignment horizontal="left" vertical="top"/>
    </xf>
    <xf numFmtId="0" fontId="0" fillId="23" borderId="0" xfId="0" applyFont="1" applyFill="1" applyAlignment="1"/>
    <xf numFmtId="0" fontId="7" fillId="11" borderId="0" xfId="0" applyNumberFormat="1" applyFont="1" applyFill="1" applyBorder="1" applyAlignment="1">
      <alignment horizontal="left" vertical="top"/>
    </xf>
    <xf numFmtId="0" fontId="7" fillId="11" borderId="2" xfId="0" applyNumberFormat="1" applyFont="1" applyFill="1" applyBorder="1" applyAlignment="1">
      <alignment horizontal="left" vertical="top"/>
    </xf>
    <xf numFmtId="0" fontId="8" fillId="11" borderId="0" xfId="0" applyFont="1" applyFill="1" applyAlignment="1"/>
    <xf numFmtId="0" fontId="8" fillId="11" borderId="2" xfId="0" applyFont="1" applyFill="1" applyBorder="1" applyAlignment="1"/>
    <xf numFmtId="0" fontId="67" fillId="0" borderId="2" xfId="10" applyFill="1" applyBorder="1" applyAlignment="1"/>
    <xf numFmtId="0" fontId="67" fillId="0" borderId="0" xfId="10" applyFill="1" applyAlignment="1"/>
    <xf numFmtId="0" fontId="8" fillId="26" borderId="0" xfId="0" applyFont="1" applyFill="1" applyAlignment="1"/>
    <xf numFmtId="3" fontId="0" fillId="0" borderId="5" xfId="0" applyNumberFormat="1" applyFill="1" applyBorder="1" applyAlignment="1">
      <alignment horizontal="right" vertical="top" indent="1"/>
    </xf>
    <xf numFmtId="3" fontId="7" fillId="0" borderId="5" xfId="0" applyNumberFormat="1" applyFont="1" applyFill="1" applyBorder="1" applyAlignment="1">
      <alignment horizontal="right" vertical="top" indent="1"/>
    </xf>
    <xf numFmtId="1" fontId="8" fillId="0" borderId="5" xfId="0" applyNumberFormat="1" applyFont="1" applyFill="1" applyBorder="1" applyAlignment="1"/>
    <xf numFmtId="170" fontId="0" fillId="0" borderId="2" xfId="0" applyNumberFormat="1" applyFont="1" applyFill="1" applyBorder="1" applyAlignment="1"/>
    <xf numFmtId="3" fontId="0" fillId="0" borderId="5" xfId="0" applyNumberFormat="1" applyFont="1" applyFill="1" applyBorder="1" applyAlignment="1"/>
    <xf numFmtId="1" fontId="0" fillId="0" borderId="5" xfId="0" applyNumberFormat="1" applyFill="1" applyBorder="1" applyAlignment="1"/>
    <xf numFmtId="1" fontId="0" fillId="0" borderId="5" xfId="0" applyNumberFormat="1" applyFill="1" applyBorder="1">
      <alignment vertical="top"/>
    </xf>
    <xf numFmtId="10" fontId="0" fillId="23" borderId="0" xfId="0" applyNumberFormat="1" applyFill="1" applyAlignment="1">
      <alignment vertical="top"/>
    </xf>
    <xf numFmtId="10" fontId="7" fillId="23" borderId="0" xfId="1" applyNumberFormat="1" applyFont="1" applyFill="1" applyBorder="1" applyAlignment="1">
      <alignment horizontal="right" vertical="top"/>
    </xf>
    <xf numFmtId="10" fontId="0" fillId="23" borderId="0" xfId="0" applyNumberFormat="1" applyFont="1" applyFill="1" applyAlignment="1"/>
    <xf numFmtId="1" fontId="0" fillId="0" borderId="0" xfId="0" applyNumberFormat="1" applyFont="1" applyFill="1" applyAlignment="1"/>
    <xf numFmtId="0" fontId="7" fillId="0" borderId="2" xfId="10" applyFont="1" applyFill="1" applyBorder="1" applyAlignment="1"/>
    <xf numFmtId="0" fontId="67" fillId="0" borderId="0" xfId="10" applyFill="1" applyBorder="1" applyAlignment="1"/>
    <xf numFmtId="9" fontId="0" fillId="30" borderId="0" xfId="4" applyFont="1" applyFill="1" applyBorder="1" applyAlignment="1">
      <alignment horizontal="left"/>
    </xf>
    <xf numFmtId="0" fontId="0" fillId="0" borderId="4" xfId="0" applyNumberFormat="1" applyFont="1" applyFill="1" applyBorder="1" applyAlignment="1">
      <alignment horizontal="left"/>
    </xf>
    <xf numFmtId="0" fontId="0" fillId="16" borderId="4" xfId="0" applyNumberFormat="1" applyFont="1" applyFill="1" applyBorder="1" applyAlignment="1">
      <alignment horizontal="left"/>
    </xf>
    <xf numFmtId="1" fontId="0" fillId="0" borderId="0" xfId="0" applyNumberFormat="1" applyFont="1" applyFill="1" applyBorder="1" applyAlignment="1"/>
    <xf numFmtId="1" fontId="0" fillId="30" borderId="0" xfId="0" applyNumberFormat="1" applyFont="1" applyFill="1" applyBorder="1" applyAlignment="1"/>
    <xf numFmtId="1" fontId="8" fillId="30" borderId="0" xfId="0" applyNumberFormat="1" applyFont="1" applyFill="1" applyBorder="1" applyAlignment="1"/>
    <xf numFmtId="181" fontId="0" fillId="0" borderId="0" xfId="1" applyNumberFormat="1" applyFont="1" applyBorder="1" applyAlignment="1">
      <alignment horizontal="left" vertical="top"/>
    </xf>
    <xf numFmtId="181" fontId="8" fillId="26" borderId="0" xfId="1" applyNumberFormat="1" applyFont="1" applyFill="1" applyBorder="1" applyAlignment="1">
      <alignment horizontal="left" vertical="top"/>
    </xf>
    <xf numFmtId="181" fontId="8" fillId="23" borderId="0" xfId="1" applyNumberFormat="1" applyFont="1" applyFill="1" applyBorder="1" applyAlignment="1">
      <alignment horizontal="left" vertical="top"/>
    </xf>
    <xf numFmtId="181" fontId="8" fillId="0" borderId="0" xfId="1" applyNumberFormat="1" applyFont="1" applyBorder="1" applyAlignment="1">
      <alignment horizontal="right" vertical="top"/>
    </xf>
    <xf numFmtId="181" fontId="0" fillId="0" borderId="0" xfId="1" applyNumberFormat="1" applyFont="1" applyFill="1" applyBorder="1" applyAlignment="1">
      <alignment horizontal="right"/>
    </xf>
    <xf numFmtId="43" fontId="8" fillId="23" borderId="0" xfId="1" applyNumberFormat="1" applyFont="1" applyFill="1" applyBorder="1" applyAlignment="1">
      <alignment horizontal="left" vertical="top"/>
    </xf>
    <xf numFmtId="0" fontId="71" fillId="0" borderId="0" xfId="0" applyFont="1" applyFill="1" applyBorder="1" applyAlignment="1">
      <alignment vertical="top"/>
    </xf>
    <xf numFmtId="2" fontId="0" fillId="0" borderId="0" xfId="1" applyNumberFormat="1" applyFont="1" applyBorder="1" applyAlignment="1">
      <alignment horizontal="left" vertical="top"/>
    </xf>
    <xf numFmtId="2" fontId="0" fillId="0" borderId="0" xfId="0" applyNumberFormat="1" applyFill="1" applyBorder="1" applyAlignment="1">
      <alignment horizontal="right" vertical="top"/>
    </xf>
    <xf numFmtId="0" fontId="8" fillId="24" borderId="0" xfId="0" applyFont="1" applyFill="1" applyBorder="1" applyAlignment="1"/>
    <xf numFmtId="9" fontId="0" fillId="0" borderId="0" xfId="4" applyFont="1" applyFill="1" applyAlignment="1">
      <alignment vertical="top"/>
    </xf>
    <xf numFmtId="49" fontId="0" fillId="0" borderId="0" xfId="0" applyNumberFormat="1" applyFont="1" applyAlignment="1">
      <alignment vertical="top"/>
    </xf>
    <xf numFmtId="1" fontId="0" fillId="0" borderId="0" xfId="0" applyNumberFormat="1" applyFont="1" applyBorder="1" applyAlignment="1"/>
    <xf numFmtId="0" fontId="0" fillId="0" borderId="0" xfId="0" applyFont="1" applyAlignment="1">
      <alignment horizontal="left"/>
    </xf>
    <xf numFmtId="0" fontId="8" fillId="16" borderId="0" xfId="0" applyNumberFormat="1" applyFont="1" applyFill="1" applyBorder="1" applyAlignment="1">
      <alignment horizontal="left"/>
    </xf>
    <xf numFmtId="0" fontId="20" fillId="16" borderId="0" xfId="0" applyNumberFormat="1" applyFont="1" applyFill="1" applyBorder="1" applyAlignment="1">
      <alignment horizontal="left"/>
    </xf>
    <xf numFmtId="0" fontId="8" fillId="0" borderId="0" xfId="0" applyFont="1" applyBorder="1" applyAlignment="1">
      <alignment horizontal="center"/>
    </xf>
    <xf numFmtId="0" fontId="101" fillId="0" borderId="0" xfId="0" applyFont="1" applyFill="1" applyBorder="1" applyAlignment="1">
      <alignment vertical="top"/>
    </xf>
    <xf numFmtId="0" fontId="0" fillId="0" borderId="0" xfId="0" applyAlignment="1">
      <alignment vertical="top" wrapText="1"/>
    </xf>
    <xf numFmtId="0" fontId="0" fillId="0" borderId="0" xfId="0" applyBorder="1" applyAlignment="1">
      <alignment vertical="top" wrapText="1"/>
    </xf>
    <xf numFmtId="0" fontId="100" fillId="24" borderId="0" xfId="0" applyNumberFormat="1" applyFont="1" applyFill="1" applyBorder="1" applyAlignment="1" applyProtection="1">
      <alignment vertical="top" wrapText="1"/>
    </xf>
    <xf numFmtId="0" fontId="100" fillId="31" borderId="0" xfId="0" applyNumberFormat="1" applyFont="1" applyFill="1" applyBorder="1" applyAlignment="1" applyProtection="1">
      <alignment vertical="top" wrapText="1"/>
    </xf>
    <xf numFmtId="0" fontId="101" fillId="32" borderId="0" xfId="0" applyFont="1" applyFill="1" applyBorder="1" applyAlignment="1">
      <alignment vertical="top" wrapText="1"/>
    </xf>
    <xf numFmtId="0" fontId="101" fillId="34" borderId="0" xfId="0" applyFont="1" applyFill="1" applyBorder="1" applyAlignment="1">
      <alignment vertical="top" wrapText="1"/>
    </xf>
    <xf numFmtId="0" fontId="101" fillId="35" borderId="0" xfId="0" applyFont="1" applyFill="1" applyBorder="1" applyAlignment="1">
      <alignment vertical="top" wrapText="1"/>
    </xf>
    <xf numFmtId="0" fontId="98" fillId="20" borderId="0" xfId="0" applyFont="1" applyFill="1" applyAlignment="1">
      <alignment horizontal="center" vertical="top"/>
    </xf>
    <xf numFmtId="0" fontId="98" fillId="0" borderId="0" xfId="0" applyFont="1" applyFill="1" applyAlignment="1">
      <alignment horizontal="center" vertical="top"/>
    </xf>
    <xf numFmtId="0" fontId="100" fillId="0" borderId="0" xfId="0" applyNumberFormat="1" applyFont="1" applyFill="1" applyBorder="1" applyAlignment="1" applyProtection="1">
      <alignment vertical="top" wrapText="1"/>
    </xf>
    <xf numFmtId="0" fontId="101" fillId="0" borderId="0" xfId="0" applyFont="1" applyFill="1" applyBorder="1" applyAlignment="1">
      <alignment vertical="top" wrapText="1"/>
    </xf>
    <xf numFmtId="0" fontId="104" fillId="41" borderId="0" xfId="0" applyFont="1" applyFill="1" applyBorder="1" applyAlignment="1">
      <alignment vertical="center"/>
    </xf>
    <xf numFmtId="0" fontId="105" fillId="42" borderId="0" xfId="0" applyFont="1" applyFill="1" applyBorder="1" applyAlignment="1">
      <alignment vertical="center"/>
    </xf>
    <xf numFmtId="0" fontId="103" fillId="37" borderId="0" xfId="0" applyFont="1" applyFill="1" applyBorder="1" applyAlignment="1">
      <alignment vertical="center"/>
    </xf>
    <xf numFmtId="0" fontId="8" fillId="34" borderId="0" xfId="0" applyFont="1" applyFill="1" applyAlignment="1">
      <alignment vertical="top"/>
    </xf>
    <xf numFmtId="0" fontId="54" fillId="35" borderId="0" xfId="0" applyFont="1" applyFill="1">
      <alignment vertical="top"/>
    </xf>
    <xf numFmtId="0" fontId="85" fillId="0" borderId="0" xfId="0" applyFont="1">
      <alignment vertical="top"/>
    </xf>
    <xf numFmtId="182" fontId="54" fillId="0" borderId="0" xfId="1" applyNumberFormat="1" applyFont="1" applyAlignment="1">
      <alignment vertical="top"/>
    </xf>
    <xf numFmtId="181" fontId="54" fillId="35" borderId="0" xfId="1" applyNumberFormat="1" applyFont="1" applyFill="1" applyAlignment="1">
      <alignment horizontal="right" vertical="top"/>
    </xf>
    <xf numFmtId="0" fontId="54" fillId="40" borderId="0" xfId="0" applyFont="1" applyFill="1">
      <alignment vertical="top"/>
    </xf>
    <xf numFmtId="0" fontId="54" fillId="38" borderId="0" xfId="0" applyFont="1" applyFill="1">
      <alignment vertical="top"/>
    </xf>
    <xf numFmtId="0" fontId="85" fillId="38" borderId="0" xfId="0" applyFont="1" applyFill="1">
      <alignment vertical="top"/>
    </xf>
    <xf numFmtId="0" fontId="54" fillId="21" borderId="0" xfId="0" applyFont="1" applyFill="1">
      <alignment vertical="top"/>
    </xf>
    <xf numFmtId="0" fontId="85" fillId="6" borderId="11" xfId="0" applyFont="1" applyFill="1" applyBorder="1">
      <alignment vertical="top"/>
    </xf>
    <xf numFmtId="1" fontId="85" fillId="6" borderId="11" xfId="1" applyNumberFormat="1" applyFont="1" applyFill="1" applyBorder="1" applyAlignment="1">
      <alignment horizontal="center" vertical="top"/>
    </xf>
    <xf numFmtId="181" fontId="54" fillId="21" borderId="0" xfId="1" applyNumberFormat="1" applyFont="1" applyFill="1" applyAlignment="1">
      <alignment vertical="top"/>
    </xf>
    <xf numFmtId="0" fontId="49" fillId="21" borderId="0" xfId="0" applyFont="1" applyFill="1">
      <alignment vertical="top"/>
    </xf>
    <xf numFmtId="181" fontId="85" fillId="0" borderId="35" xfId="1" applyNumberFormat="1" applyFont="1" applyBorder="1" applyAlignment="1"/>
    <xf numFmtId="182" fontId="85" fillId="0" borderId="35" xfId="1" applyNumberFormat="1" applyFont="1" applyBorder="1" applyAlignment="1"/>
    <xf numFmtId="181" fontId="54" fillId="0" borderId="0" xfId="1" applyNumberFormat="1" applyFont="1" applyAlignment="1">
      <alignment vertical="top"/>
    </xf>
    <xf numFmtId="0" fontId="54" fillId="0" borderId="36" xfId="0" applyFont="1" applyFill="1" applyBorder="1" applyAlignment="1"/>
    <xf numFmtId="181" fontId="54" fillId="0" borderId="36" xfId="1" applyNumberFormat="1" applyFont="1" applyBorder="1" applyAlignment="1"/>
    <xf numFmtId="182" fontId="54" fillId="0" borderId="36" xfId="1" applyNumberFormat="1" applyFont="1" applyBorder="1" applyAlignment="1"/>
    <xf numFmtId="181" fontId="107" fillId="20" borderId="41" xfId="1" applyNumberFormat="1" applyFont="1" applyFill="1" applyBorder="1" applyAlignment="1"/>
    <xf numFmtId="182" fontId="107" fillId="20" borderId="41" xfId="1" applyNumberFormat="1" applyFont="1" applyFill="1" applyBorder="1" applyAlignment="1"/>
    <xf numFmtId="181" fontId="85" fillId="0" borderId="36" xfId="1" applyNumberFormat="1" applyFont="1" applyBorder="1" applyAlignment="1"/>
    <xf numFmtId="182" fontId="85" fillId="0" borderId="36" xfId="1" applyNumberFormat="1" applyFont="1" applyBorder="1" applyAlignment="1"/>
    <xf numFmtId="3" fontId="54" fillId="0" borderId="0" xfId="0" applyNumberFormat="1" applyFont="1">
      <alignment vertical="top"/>
    </xf>
    <xf numFmtId="0" fontId="54" fillId="0" borderId="0" xfId="0" applyFont="1" applyAlignment="1">
      <alignment vertical="top"/>
    </xf>
    <xf numFmtId="0" fontId="54" fillId="0" borderId="37" xfId="0" applyFont="1" applyBorder="1" applyAlignment="1"/>
    <xf numFmtId="181" fontId="54" fillId="0" borderId="37" xfId="1" applyNumberFormat="1" applyFont="1" applyBorder="1" applyAlignment="1"/>
    <xf numFmtId="181" fontId="107" fillId="20" borderId="42" xfId="1" applyNumberFormat="1" applyFont="1" applyFill="1" applyBorder="1" applyAlignment="1"/>
    <xf numFmtId="182" fontId="54" fillId="0" borderId="37" xfId="1" applyNumberFormat="1" applyFont="1" applyBorder="1" applyAlignment="1"/>
    <xf numFmtId="182" fontId="107" fillId="20" borderId="42" xfId="1" applyNumberFormat="1" applyFont="1" applyFill="1" applyBorder="1" applyAlignment="1"/>
    <xf numFmtId="0" fontId="54" fillId="0" borderId="35" xfId="0" applyFont="1" applyBorder="1" applyAlignment="1"/>
    <xf numFmtId="0" fontId="54" fillId="0" borderId="36" xfId="0" applyFont="1" applyBorder="1" applyAlignment="1"/>
    <xf numFmtId="181" fontId="54" fillId="0" borderId="34" xfId="1" applyNumberFormat="1" applyFont="1" applyBorder="1" applyAlignment="1"/>
    <xf numFmtId="182" fontId="54" fillId="0" borderId="34" xfId="1" applyNumberFormat="1" applyFont="1" applyBorder="1" applyAlignment="1"/>
    <xf numFmtId="181" fontId="54" fillId="0" borderId="35" xfId="1" applyNumberFormat="1" applyFont="1" applyBorder="1" applyAlignment="1"/>
    <xf numFmtId="181" fontId="107" fillId="20" borderId="38" xfId="1" applyNumberFormat="1" applyFont="1" applyFill="1" applyBorder="1" applyAlignment="1"/>
    <xf numFmtId="182" fontId="54" fillId="0" borderId="35" xfId="1" applyNumberFormat="1" applyFont="1" applyBorder="1" applyAlignment="1"/>
    <xf numFmtId="182" fontId="107" fillId="20" borderId="38" xfId="1" applyNumberFormat="1" applyFont="1" applyFill="1" applyBorder="1" applyAlignment="1"/>
    <xf numFmtId="181" fontId="108" fillId="14" borderId="33" xfId="1" applyNumberFormat="1" applyFont="1" applyFill="1" applyBorder="1" applyAlignment="1"/>
    <xf numFmtId="181" fontId="108" fillId="14" borderId="40" xfId="1" applyNumberFormat="1" applyFont="1" applyFill="1" applyBorder="1" applyAlignment="1"/>
    <xf numFmtId="182" fontId="108" fillId="14" borderId="33" xfId="1" applyNumberFormat="1" applyFont="1" applyFill="1" applyBorder="1" applyAlignment="1"/>
    <xf numFmtId="182" fontId="108" fillId="14" borderId="40" xfId="1" applyNumberFormat="1" applyFont="1" applyFill="1" applyBorder="1" applyAlignment="1"/>
    <xf numFmtId="0" fontId="106" fillId="0" borderId="34" xfId="0" applyFont="1" applyFill="1" applyBorder="1" applyAlignment="1"/>
    <xf numFmtId="0" fontId="54" fillId="24" borderId="32" xfId="0" applyNumberFormat="1" applyFont="1" applyFill="1" applyBorder="1" applyAlignment="1" applyProtection="1"/>
    <xf numFmtId="181" fontId="85" fillId="24" borderId="32" xfId="1" applyNumberFormat="1" applyFont="1" applyFill="1" applyBorder="1" applyAlignment="1" applyProtection="1"/>
    <xf numFmtId="182" fontId="85" fillId="24" borderId="32" xfId="1" applyNumberFormat="1" applyFont="1" applyFill="1" applyBorder="1" applyAlignment="1" applyProtection="1"/>
    <xf numFmtId="0" fontId="54" fillId="0" borderId="35" xfId="0" applyNumberFormat="1" applyFont="1" applyFill="1" applyBorder="1" applyAlignment="1" applyProtection="1"/>
    <xf numFmtId="0" fontId="111" fillId="0" borderId="36" xfId="0" applyFont="1" applyFill="1" applyBorder="1" applyAlignment="1"/>
    <xf numFmtId="0" fontId="54" fillId="0" borderId="36" xfId="0" applyNumberFormat="1" applyFont="1" applyFill="1" applyBorder="1" applyAlignment="1" applyProtection="1"/>
    <xf numFmtId="0" fontId="111" fillId="0" borderId="37" xfId="0" applyFont="1" applyFill="1" applyBorder="1" applyAlignment="1"/>
    <xf numFmtId="0" fontId="54" fillId="31" borderId="33" xfId="0" applyNumberFormat="1" applyFont="1" applyFill="1" applyBorder="1" applyAlignment="1" applyProtection="1"/>
    <xf numFmtId="181" fontId="112" fillId="31" borderId="33" xfId="1" applyNumberFormat="1" applyFont="1" applyFill="1" applyBorder="1" applyAlignment="1" applyProtection="1"/>
    <xf numFmtId="181" fontId="112" fillId="31" borderId="40" xfId="1" applyNumberFormat="1" applyFont="1" applyFill="1" applyBorder="1" applyAlignment="1" applyProtection="1"/>
    <xf numFmtId="182" fontId="112" fillId="31" borderId="33" xfId="1" applyNumberFormat="1" applyFont="1" applyFill="1" applyBorder="1" applyAlignment="1" applyProtection="1"/>
    <xf numFmtId="182" fontId="112" fillId="31" borderId="40" xfId="1" applyNumberFormat="1" applyFont="1" applyFill="1" applyBorder="1" applyAlignment="1" applyProtection="1"/>
    <xf numFmtId="0" fontId="111" fillId="32" borderId="33" xfId="0" applyFont="1" applyFill="1" applyBorder="1" applyAlignment="1"/>
    <xf numFmtId="181" fontId="112" fillId="32" borderId="33" xfId="1" applyNumberFormat="1" applyFont="1" applyFill="1" applyBorder="1" applyAlignment="1"/>
    <xf numFmtId="181" fontId="112" fillId="32" borderId="40" xfId="1" applyNumberFormat="1" applyFont="1" applyFill="1" applyBorder="1" applyAlignment="1"/>
    <xf numFmtId="182" fontId="112" fillId="32" borderId="33" xfId="1" applyNumberFormat="1" applyFont="1" applyFill="1" applyBorder="1" applyAlignment="1"/>
    <xf numFmtId="182" fontId="112" fillId="32" borderId="40" xfId="1" applyNumberFormat="1" applyFont="1" applyFill="1" applyBorder="1" applyAlignment="1"/>
    <xf numFmtId="0" fontId="111" fillId="0" borderId="34" xfId="0" applyFont="1" applyFill="1" applyBorder="1" applyAlignment="1"/>
    <xf numFmtId="0" fontId="111" fillId="39" borderId="33" xfId="0" applyFont="1" applyFill="1" applyBorder="1" applyAlignment="1"/>
    <xf numFmtId="181" fontId="112" fillId="39" borderId="33" xfId="1" applyNumberFormat="1" applyFont="1" applyFill="1" applyBorder="1" applyAlignment="1"/>
    <xf numFmtId="181" fontId="112" fillId="39" borderId="40" xfId="1" applyNumberFormat="1" applyFont="1" applyFill="1" applyBorder="1" applyAlignment="1"/>
    <xf numFmtId="182" fontId="112" fillId="39" borderId="33" xfId="1" applyNumberFormat="1" applyFont="1" applyFill="1" applyBorder="1" applyAlignment="1"/>
    <xf numFmtId="182" fontId="112" fillId="39" borderId="40" xfId="1" applyNumberFormat="1" applyFont="1" applyFill="1" applyBorder="1" applyAlignment="1"/>
    <xf numFmtId="0" fontId="111" fillId="0" borderId="35" xfId="0" applyFont="1" applyFill="1" applyBorder="1" applyAlignment="1"/>
    <xf numFmtId="0" fontId="111" fillId="35" borderId="33" xfId="0" applyFont="1" applyFill="1" applyBorder="1" applyAlignment="1"/>
    <xf numFmtId="181" fontId="110" fillId="35" borderId="33" xfId="1" applyNumberFormat="1" applyFont="1" applyFill="1" applyBorder="1" applyAlignment="1"/>
    <xf numFmtId="181" fontId="110" fillId="35" borderId="40" xfId="1" applyNumberFormat="1" applyFont="1" applyFill="1" applyBorder="1" applyAlignment="1"/>
    <xf numFmtId="182" fontId="110" fillId="35" borderId="33" xfId="1" applyNumberFormat="1" applyFont="1" applyFill="1" applyBorder="1" applyAlignment="1"/>
    <xf numFmtId="182" fontId="110" fillId="35" borderId="40" xfId="1" applyNumberFormat="1" applyFont="1" applyFill="1" applyBorder="1" applyAlignment="1"/>
    <xf numFmtId="0" fontId="111" fillId="37" borderId="33" xfId="0" applyFont="1" applyFill="1" applyBorder="1" applyAlignment="1"/>
    <xf numFmtId="181" fontId="112" fillId="37" borderId="33" xfId="1" applyNumberFormat="1" applyFont="1" applyFill="1" applyBorder="1" applyAlignment="1"/>
    <xf numFmtId="181" fontId="112" fillId="37" borderId="40" xfId="1" applyNumberFormat="1" applyFont="1" applyFill="1" applyBorder="1" applyAlignment="1"/>
    <xf numFmtId="182" fontId="112" fillId="37" borderId="33" xfId="1" applyNumberFormat="1" applyFont="1" applyFill="1" applyBorder="1" applyAlignment="1"/>
    <xf numFmtId="182" fontId="112" fillId="37" borderId="40" xfId="1" applyNumberFormat="1" applyFont="1" applyFill="1" applyBorder="1" applyAlignment="1"/>
    <xf numFmtId="0" fontId="108" fillId="14" borderId="33" xfId="0" applyFont="1" applyFill="1" applyBorder="1" applyAlignment="1"/>
    <xf numFmtId="0" fontId="55" fillId="0" borderId="38" xfId="0" applyFont="1" applyFill="1" applyBorder="1" applyAlignment="1">
      <alignment vertical="center"/>
    </xf>
    <xf numFmtId="181" fontId="54" fillId="7" borderId="0" xfId="1" applyNumberFormat="1" applyFont="1" applyFill="1" applyAlignment="1">
      <alignment vertical="top"/>
    </xf>
    <xf numFmtId="3" fontId="54" fillId="7" borderId="0" xfId="0" applyNumberFormat="1" applyFont="1" applyFill="1">
      <alignment vertical="top"/>
    </xf>
    <xf numFmtId="0" fontId="55" fillId="0" borderId="34" xfId="0" applyFont="1" applyFill="1" applyBorder="1" applyAlignment="1"/>
    <xf numFmtId="0" fontId="106" fillId="0" borderId="38" xfId="0" applyFont="1" applyFill="1" applyBorder="1" applyAlignment="1">
      <alignment vertical="center"/>
    </xf>
    <xf numFmtId="0" fontId="55" fillId="0" borderId="38" xfId="0" applyFont="1" applyFill="1" applyBorder="1" applyAlignment="1">
      <alignment vertical="top"/>
    </xf>
    <xf numFmtId="0" fontId="55" fillId="0" borderId="38" xfId="0" applyFont="1" applyBorder="1" applyAlignment="1">
      <alignment vertical="top"/>
    </xf>
    <xf numFmtId="181" fontId="55" fillId="0" borderId="34" xfId="1" applyNumberFormat="1" applyFont="1" applyFill="1" applyBorder="1" applyAlignment="1"/>
    <xf numFmtId="181" fontId="113" fillId="20" borderId="38" xfId="1" applyNumberFormat="1" applyFont="1" applyFill="1" applyBorder="1" applyAlignment="1"/>
    <xf numFmtId="181" fontId="55" fillId="0" borderId="38" xfId="1" applyNumberFormat="1" applyFont="1" applyFill="1" applyBorder="1" applyAlignment="1">
      <alignment vertical="center"/>
    </xf>
    <xf numFmtId="181" fontId="113" fillId="20" borderId="41" xfId="1" applyNumberFormat="1" applyFont="1" applyFill="1" applyBorder="1" applyAlignment="1">
      <alignment vertical="center"/>
    </xf>
    <xf numFmtId="181" fontId="55" fillId="0" borderId="38" xfId="1" applyNumberFormat="1" applyFont="1" applyFill="1" applyBorder="1" applyAlignment="1">
      <alignment vertical="top"/>
    </xf>
    <xf numFmtId="181" fontId="113" fillId="20" borderId="41" xfId="1" applyNumberFormat="1" applyFont="1" applyFill="1" applyBorder="1" applyAlignment="1">
      <alignment vertical="top"/>
    </xf>
    <xf numFmtId="182" fontId="55" fillId="0" borderId="34" xfId="1" applyNumberFormat="1" applyFont="1" applyFill="1" applyBorder="1" applyAlignment="1"/>
    <xf numFmtId="182" fontId="55" fillId="0" borderId="38" xfId="1" applyNumberFormat="1" applyFont="1" applyFill="1" applyBorder="1" applyAlignment="1">
      <alignment vertical="center"/>
    </xf>
    <xf numFmtId="182" fontId="55" fillId="0" borderId="38" xfId="1" applyNumberFormat="1" applyFont="1" applyFill="1" applyBorder="1" applyAlignment="1">
      <alignment vertical="top"/>
    </xf>
    <xf numFmtId="0" fontId="110" fillId="24" borderId="32" xfId="0" applyFont="1" applyFill="1" applyBorder="1" applyAlignment="1">
      <alignment horizontal="left" indent="1"/>
    </xf>
    <xf numFmtId="0" fontId="111" fillId="0" borderId="35" xfId="0" applyFont="1" applyBorder="1" applyAlignment="1">
      <alignment horizontal="left" indent="1"/>
    </xf>
    <xf numFmtId="0" fontId="111" fillId="0" borderId="36" xfId="0" applyFont="1" applyBorder="1" applyAlignment="1">
      <alignment horizontal="left" indent="1"/>
    </xf>
    <xf numFmtId="0" fontId="111" fillId="0" borderId="36" xfId="0" applyFont="1" applyFill="1" applyBorder="1" applyAlignment="1">
      <alignment horizontal="left" indent="1"/>
    </xf>
    <xf numFmtId="0" fontId="111" fillId="0" borderId="37" xfId="0" applyFont="1" applyFill="1" applyBorder="1" applyAlignment="1">
      <alignment horizontal="left" indent="1"/>
    </xf>
    <xf numFmtId="0" fontId="112" fillId="31" borderId="39" xfId="0" applyNumberFormat="1" applyFont="1" applyFill="1" applyBorder="1" applyAlignment="1" applyProtection="1">
      <alignment horizontal="left" indent="1"/>
    </xf>
    <xf numFmtId="0" fontId="54" fillId="0" borderId="35" xfId="0" applyFont="1" applyBorder="1" applyAlignment="1">
      <alignment horizontal="left" indent="1"/>
    </xf>
    <xf numFmtId="0" fontId="112" fillId="32" borderId="39" xfId="0" applyFont="1" applyFill="1" applyBorder="1" applyAlignment="1">
      <alignment horizontal="left" indent="1"/>
    </xf>
    <xf numFmtId="0" fontId="111" fillId="0" borderId="34" xfId="0" applyFont="1" applyFill="1" applyBorder="1" applyAlignment="1">
      <alignment horizontal="left" indent="1"/>
    </xf>
    <xf numFmtId="0" fontId="112" fillId="39" borderId="39" xfId="0" applyFont="1" applyFill="1" applyBorder="1" applyAlignment="1">
      <alignment horizontal="left" indent="1"/>
    </xf>
    <xf numFmtId="0" fontId="54" fillId="0" borderId="37" xfId="0" applyFont="1" applyBorder="1" applyAlignment="1">
      <alignment horizontal="left" indent="1"/>
    </xf>
    <xf numFmtId="0" fontId="110" fillId="35" borderId="39" xfId="0" applyFont="1" applyFill="1" applyBorder="1" applyAlignment="1">
      <alignment horizontal="left" indent="1"/>
    </xf>
    <xf numFmtId="0" fontId="111" fillId="0" borderId="37" xfId="0" applyFont="1" applyBorder="1" applyAlignment="1">
      <alignment horizontal="left" indent="1"/>
    </xf>
    <xf numFmtId="0" fontId="112" fillId="37" borderId="39" xfId="0" applyFont="1" applyFill="1" applyBorder="1" applyAlignment="1">
      <alignment horizontal="left" indent="1"/>
    </xf>
    <xf numFmtId="0" fontId="112" fillId="14" borderId="39" xfId="0" applyFont="1" applyFill="1" applyBorder="1" applyAlignment="1">
      <alignment horizontal="left" indent="1"/>
    </xf>
    <xf numFmtId="0" fontId="110" fillId="0" borderId="34" xfId="0" applyFont="1" applyFill="1" applyBorder="1" applyAlignment="1">
      <alignment horizontal="left" indent="1"/>
    </xf>
    <xf numFmtId="0" fontId="110" fillId="0" borderId="38" xfId="0" applyFont="1" applyFill="1" applyBorder="1" applyAlignment="1">
      <alignment horizontal="left" vertical="center" indent="1"/>
    </xf>
    <xf numFmtId="0" fontId="110" fillId="0" borderId="38" xfId="0" applyFont="1" applyFill="1" applyBorder="1" applyAlignment="1">
      <alignment horizontal="left" vertical="top" indent="1"/>
    </xf>
    <xf numFmtId="182" fontId="113" fillId="20" borderId="38" xfId="1" applyNumberFormat="1" applyFont="1" applyFill="1" applyBorder="1" applyAlignment="1"/>
    <xf numFmtId="182" fontId="113" fillId="20" borderId="41" xfId="1" applyNumberFormat="1" applyFont="1" applyFill="1" applyBorder="1" applyAlignment="1">
      <alignment vertical="center"/>
    </xf>
    <xf numFmtId="182" fontId="113" fillId="20" borderId="41" xfId="1" applyNumberFormat="1" applyFont="1" applyFill="1" applyBorder="1" applyAlignment="1">
      <alignment vertical="top"/>
    </xf>
    <xf numFmtId="0" fontId="85" fillId="0" borderId="35" xfId="0" applyNumberFormat="1" applyFont="1" applyFill="1" applyBorder="1" applyAlignment="1" applyProtection="1"/>
    <xf numFmtId="0" fontId="85" fillId="0" borderId="36" xfId="0" applyNumberFormat="1" applyFont="1" applyFill="1" applyBorder="1" applyAlignment="1" applyProtection="1"/>
    <xf numFmtId="0" fontId="85" fillId="0" borderId="35" xfId="0" applyFont="1" applyBorder="1" applyAlignment="1"/>
    <xf numFmtId="0" fontId="85" fillId="0" borderId="36" xfId="0" applyFont="1" applyBorder="1" applyAlignment="1"/>
    <xf numFmtId="0" fontId="110" fillId="0" borderId="36" xfId="0" applyFont="1" applyFill="1" applyBorder="1" applyAlignment="1"/>
    <xf numFmtId="0" fontId="110" fillId="0" borderId="37" xfId="0" applyFont="1" applyFill="1" applyBorder="1" applyAlignment="1"/>
    <xf numFmtId="181" fontId="109" fillId="20" borderId="41" xfId="1" applyNumberFormat="1" applyFont="1" applyFill="1" applyBorder="1" applyAlignment="1"/>
    <xf numFmtId="181" fontId="85" fillId="0" borderId="37" xfId="1" applyNumberFormat="1" applyFont="1" applyBorder="1" applyAlignment="1"/>
    <xf numFmtId="3" fontId="0" fillId="24" borderId="0" xfId="0" applyNumberFormat="1" applyFont="1" applyFill="1" applyBorder="1" applyAlignment="1">
      <alignment vertical="top" wrapText="1"/>
    </xf>
    <xf numFmtId="3" fontId="7" fillId="24" borderId="2" xfId="0" applyNumberFormat="1" applyFont="1" applyFill="1" applyBorder="1" applyAlignment="1">
      <alignment vertical="top" wrapText="1"/>
    </xf>
    <xf numFmtId="49" fontId="0" fillId="24" borderId="0" xfId="0" applyNumberFormat="1" applyFill="1" applyBorder="1" applyAlignment="1">
      <alignment vertical="top"/>
    </xf>
    <xf numFmtId="49" fontId="0" fillId="24" borderId="0" xfId="0" applyNumberFormat="1" applyFont="1" applyFill="1" applyBorder="1" applyAlignment="1">
      <alignment vertical="top" wrapText="1"/>
    </xf>
    <xf numFmtId="0" fontId="8" fillId="24" borderId="4" xfId="0" applyFont="1" applyFill="1" applyBorder="1" applyAlignment="1">
      <alignment horizontal="left"/>
    </xf>
    <xf numFmtId="49" fontId="0" fillId="24" borderId="2" xfId="0" applyNumberFormat="1" applyFont="1" applyFill="1" applyBorder="1" applyAlignment="1">
      <alignment vertical="top" wrapText="1"/>
    </xf>
    <xf numFmtId="0" fontId="8" fillId="20" borderId="0" xfId="0" applyFont="1" applyFill="1">
      <alignment vertical="top"/>
    </xf>
    <xf numFmtId="0" fontId="8" fillId="22" borderId="0" xfId="0" applyFont="1" applyFill="1" applyAlignment="1">
      <alignment horizontal="left" vertical="top" indent="1"/>
    </xf>
    <xf numFmtId="0" fontId="8" fillId="43" borderId="0" xfId="0" applyFont="1" applyFill="1" applyAlignment="1">
      <alignment horizontal="left" vertical="top" indent="1"/>
    </xf>
    <xf numFmtId="0" fontId="8" fillId="35" borderId="0" xfId="0" applyFont="1" applyFill="1" applyAlignment="1">
      <alignment horizontal="left" vertical="top" indent="1"/>
    </xf>
    <xf numFmtId="0" fontId="8" fillId="44" borderId="0" xfId="0" applyFont="1" applyFill="1" applyAlignment="1">
      <alignment horizontal="left" vertical="top" indent="1"/>
    </xf>
    <xf numFmtId="0" fontId="8" fillId="45" borderId="0" xfId="0" applyFont="1" applyFill="1" applyAlignment="1">
      <alignment horizontal="left" vertical="top" indent="1"/>
    </xf>
    <xf numFmtId="0" fontId="8" fillId="38" borderId="0" xfId="0" applyFont="1" applyFill="1" applyAlignment="1">
      <alignment horizontal="left" vertical="top" indent="1"/>
    </xf>
    <xf numFmtId="0" fontId="8" fillId="46" borderId="0" xfId="0" applyFont="1" applyFill="1" applyAlignment="1">
      <alignment horizontal="left" vertical="top" indent="1"/>
    </xf>
    <xf numFmtId="0" fontId="7" fillId="0" borderId="0" xfId="3" applyFont="1" applyAlignment="1">
      <alignment wrapText="1"/>
    </xf>
    <xf numFmtId="0" fontId="8" fillId="0" borderId="0"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8" fillId="16" borderId="2" xfId="0" applyNumberFormat="1" applyFont="1" applyFill="1" applyBorder="1" applyAlignment="1">
      <alignment horizontal="left"/>
    </xf>
    <xf numFmtId="0" fontId="8" fillId="16" borderId="0" xfId="0" applyNumberFormat="1" applyFont="1" applyFill="1" applyBorder="1" applyAlignment="1">
      <alignment horizontal="left"/>
    </xf>
    <xf numFmtId="0" fontId="8" fillId="43" borderId="0" xfId="0" applyFont="1" applyFill="1" applyAlignment="1">
      <alignment vertical="top"/>
    </xf>
    <xf numFmtId="0" fontId="8" fillId="38" borderId="0" xfId="0" applyFont="1" applyFill="1" applyAlignment="1">
      <alignment vertical="top" wrapText="1"/>
    </xf>
    <xf numFmtId="49" fontId="8" fillId="0" borderId="0" xfId="9" applyNumberFormat="1" applyFont="1" applyAlignment="1">
      <alignment vertical="top" wrapText="1"/>
    </xf>
    <xf numFmtId="0" fontId="0" fillId="34" borderId="0" xfId="0" applyFill="1" applyAlignment="1">
      <alignment vertical="top" wrapText="1"/>
    </xf>
    <xf numFmtId="0" fontId="0" fillId="20" borderId="0" xfId="0" applyFill="1" applyAlignment="1">
      <alignment vertical="top" wrapText="1"/>
    </xf>
    <xf numFmtId="0" fontId="0" fillId="3" borderId="2" xfId="0" applyNumberFormat="1" applyFont="1" applyFill="1" applyBorder="1" applyAlignment="1">
      <alignment horizontal="left"/>
    </xf>
    <xf numFmtId="1" fontId="0" fillId="23" borderId="0" xfId="0" applyNumberFormat="1" applyFont="1" applyFill="1" applyBorder="1" applyAlignment="1">
      <alignment vertical="top"/>
    </xf>
    <xf numFmtId="1" fontId="0" fillId="23" borderId="0" xfId="0" applyNumberFormat="1" applyFont="1" applyFill="1" applyAlignment="1">
      <alignment vertical="top"/>
    </xf>
    <xf numFmtId="0" fontId="0" fillId="0" borderId="0" xfId="4" applyNumberFormat="1" applyFont="1" applyFill="1" applyAlignment="1">
      <alignment vertical="top"/>
    </xf>
    <xf numFmtId="1" fontId="0" fillId="23" borderId="0" xfId="4" applyNumberFormat="1" applyFont="1" applyFill="1" applyAlignment="1">
      <alignment vertical="top"/>
    </xf>
    <xf numFmtId="0" fontId="6" fillId="0" borderId="0" xfId="0" applyFont="1" applyFill="1" applyAlignment="1"/>
    <xf numFmtId="0" fontId="2" fillId="0" borderId="0" xfId="0" applyFont="1" applyFill="1" applyAlignment="1"/>
    <xf numFmtId="4" fontId="0" fillId="0" borderId="0" xfId="0" applyNumberFormat="1" applyFont="1" applyFill="1" applyAlignment="1">
      <alignment vertical="top"/>
    </xf>
    <xf numFmtId="175" fontId="0" fillId="0" borderId="0" xfId="0" applyNumberFormat="1" applyFont="1" applyFill="1" applyAlignment="1">
      <alignment vertical="top"/>
    </xf>
    <xf numFmtId="164" fontId="0" fillId="0" borderId="0" xfId="0" applyNumberFormat="1">
      <alignment vertical="top"/>
    </xf>
    <xf numFmtId="0" fontId="94" fillId="0" borderId="0" xfId="0" applyNumberFormat="1" applyFont="1" applyFill="1" applyBorder="1" applyAlignment="1"/>
    <xf numFmtId="0" fontId="8" fillId="0" borderId="0" xfId="0" applyFont="1" applyBorder="1" applyAlignment="1">
      <alignment horizontal="center"/>
    </xf>
    <xf numFmtId="0" fontId="8" fillId="0" borderId="2" xfId="0" applyFont="1" applyBorder="1" applyAlignment="1">
      <alignment horizontal="center"/>
    </xf>
    <xf numFmtId="0" fontId="0" fillId="0" borderId="0" xfId="0" applyBorder="1" applyAlignment="1">
      <alignment horizontal="center"/>
    </xf>
    <xf numFmtId="49" fontId="20" fillId="0" borderId="2" xfId="1" applyNumberFormat="1" applyFont="1" applyBorder="1" applyAlignment="1">
      <alignment horizontal="center"/>
    </xf>
    <xf numFmtId="0" fontId="8" fillId="16" borderId="2" xfId="0" applyNumberFormat="1" applyFont="1" applyFill="1" applyBorder="1" applyAlignment="1">
      <alignment horizontal="left"/>
    </xf>
    <xf numFmtId="0" fontId="85" fillId="0" borderId="5" xfId="0" applyFont="1" applyBorder="1" applyAlignment="1">
      <alignment horizontal="center" vertical="top"/>
    </xf>
    <xf numFmtId="3" fontId="115" fillId="0" borderId="0" xfId="0" applyNumberFormat="1" applyFont="1" applyBorder="1" applyAlignment="1">
      <alignment horizontal="right" vertical="top"/>
    </xf>
    <xf numFmtId="3" fontId="8" fillId="26" borderId="0" xfId="0" applyNumberFormat="1" applyFont="1" applyFill="1" applyBorder="1" applyAlignment="1">
      <alignment vertical="top"/>
    </xf>
    <xf numFmtId="0" fontId="114" fillId="26" borderId="0" xfId="0" applyFont="1" applyFill="1" applyBorder="1" applyAlignment="1">
      <alignment vertical="top"/>
    </xf>
    <xf numFmtId="0" fontId="8" fillId="0" borderId="0" xfId="0" applyFont="1" applyFill="1" applyBorder="1" applyAlignment="1">
      <alignment horizontal="right"/>
    </xf>
    <xf numFmtId="3" fontId="7" fillId="0" borderId="2" xfId="0" applyNumberFormat="1" applyFont="1" applyFill="1" applyBorder="1" applyAlignment="1">
      <alignment horizontal="left" vertical="top"/>
    </xf>
    <xf numFmtId="0" fontId="7" fillId="0" borderId="0" xfId="10" applyFont="1" applyFill="1" applyBorder="1" applyAlignment="1"/>
    <xf numFmtId="0" fontId="20" fillId="0" borderId="0" xfId="0" applyNumberFormat="1" applyFont="1" applyFill="1" applyBorder="1" applyAlignment="1"/>
    <xf numFmtId="181" fontId="0" fillId="30" borderId="0" xfId="1" applyNumberFormat="1" applyFont="1" applyFill="1" applyBorder="1" applyAlignment="1"/>
    <xf numFmtId="181" fontId="0" fillId="0" borderId="0" xfId="1" applyNumberFormat="1" applyFont="1" applyFill="1" applyBorder="1" applyAlignment="1">
      <alignment horizontal="left"/>
    </xf>
    <xf numFmtId="170" fontId="0" fillId="0" borderId="0" xfId="0" applyNumberFormat="1" applyFont="1" applyFill="1" applyBorder="1" applyAlignment="1"/>
    <xf numFmtId="49" fontId="74" fillId="29" borderId="0" xfId="0" applyNumberFormat="1" applyFont="1" applyFill="1" applyBorder="1" applyAlignment="1"/>
    <xf numFmtId="170" fontId="0" fillId="0" borderId="0" xfId="0" quotePrefix="1" applyNumberFormat="1" applyFont="1" applyFill="1" applyBorder="1" applyAlignment="1">
      <alignment vertical="top"/>
    </xf>
    <xf numFmtId="3" fontId="74" fillId="29" borderId="2" xfId="0" applyNumberFormat="1" applyFont="1" applyFill="1" applyBorder="1" applyAlignment="1">
      <alignment horizontal="right"/>
    </xf>
    <xf numFmtId="0" fontId="0" fillId="0" borderId="0" xfId="0" applyFont="1" applyBorder="1" applyAlignment="1">
      <alignment horizontal="left" vertical="top" wrapText="1"/>
    </xf>
    <xf numFmtId="3" fontId="7" fillId="0" borderId="5" xfId="0" applyNumberFormat="1" applyFont="1" applyBorder="1" applyAlignment="1">
      <alignment vertical="top"/>
    </xf>
    <xf numFmtId="49" fontId="0" fillId="0" borderId="0" xfId="0" applyNumberFormat="1" applyBorder="1" applyAlignment="1">
      <alignment horizontal="left" vertical="top" indent="1"/>
    </xf>
    <xf numFmtId="49" fontId="7" fillId="0" borderId="0" xfId="0" applyNumberFormat="1" applyFont="1" applyBorder="1" applyAlignment="1">
      <alignment horizontal="left" vertical="top" indent="1"/>
    </xf>
    <xf numFmtId="49" fontId="0" fillId="0" borderId="0" xfId="0" applyNumberFormat="1" applyFont="1" applyBorder="1" applyAlignment="1"/>
    <xf numFmtId="49" fontId="0" fillId="0" borderId="0" xfId="0" applyNumberFormat="1" applyFont="1" applyBorder="1" applyAlignment="1">
      <alignment horizontal="left" vertical="top" indent="1"/>
    </xf>
    <xf numFmtId="49" fontId="8" fillId="28" borderId="0" xfId="0" applyNumberFormat="1" applyFont="1" applyFill="1" applyBorder="1" applyAlignment="1">
      <alignment horizontal="left"/>
    </xf>
    <xf numFmtId="49" fontId="0" fillId="0" borderId="0" xfId="0" applyNumberFormat="1" applyFont="1" applyFill="1" applyBorder="1" applyAlignment="1">
      <alignment horizontal="left" vertical="top" indent="1"/>
    </xf>
    <xf numFmtId="170" fontId="0" fillId="0" borderId="0"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indent="1"/>
    </xf>
    <xf numFmtId="49" fontId="8" fillId="0" borderId="0" xfId="0" applyNumberFormat="1" applyFont="1" applyFill="1" applyBorder="1" applyAlignment="1">
      <alignment horizontal="left" indent="1"/>
    </xf>
    <xf numFmtId="49" fontId="8" fillId="0" borderId="0" xfId="0" applyNumberFormat="1" applyFont="1" applyFill="1" applyBorder="1">
      <alignment vertical="top"/>
    </xf>
    <xf numFmtId="49" fontId="0" fillId="0" borderId="0" xfId="0" applyNumberFormat="1" applyBorder="1">
      <alignment vertical="top"/>
    </xf>
    <xf numFmtId="3" fontId="8" fillId="28" borderId="5" xfId="0" applyNumberFormat="1" applyFont="1" applyFill="1" applyBorder="1" applyAlignment="1">
      <alignment horizontal="right"/>
    </xf>
    <xf numFmtId="49" fontId="8" fillId="28" borderId="0" xfId="0" applyNumberFormat="1" applyFont="1" applyFill="1" applyBorder="1" applyAlignment="1"/>
    <xf numFmtId="1" fontId="8" fillId="28" borderId="5" xfId="0" applyNumberFormat="1" applyFont="1" applyFill="1" applyBorder="1" applyAlignment="1"/>
    <xf numFmtId="0" fontId="8" fillId="28" borderId="0" xfId="0" applyFont="1" applyFill="1" applyBorder="1" applyAlignment="1"/>
    <xf numFmtId="0" fontId="8" fillId="28" borderId="2" xfId="0" applyFont="1" applyFill="1" applyBorder="1" applyAlignment="1"/>
    <xf numFmtId="0" fontId="114" fillId="24" borderId="0" xfId="0" applyFont="1" applyFill="1" applyBorder="1" applyAlignment="1">
      <alignment vertical="top"/>
    </xf>
    <xf numFmtId="0" fontId="85" fillId="28" borderId="5" xfId="0" applyFont="1" applyFill="1" applyBorder="1" applyAlignment="1">
      <alignment horizontal="left" vertical="top"/>
    </xf>
    <xf numFmtId="0" fontId="85" fillId="0" borderId="5" xfId="0" applyFont="1" applyFill="1" applyBorder="1" applyAlignment="1">
      <alignment horizontal="left" vertical="top"/>
    </xf>
    <xf numFmtId="0" fontId="54" fillId="0" borderId="5" xfId="0" applyFont="1" applyFill="1" applyBorder="1" applyAlignment="1">
      <alignment horizontal="left" vertical="top"/>
    </xf>
    <xf numFmtId="49" fontId="85" fillId="0" borderId="5" xfId="0" applyNumberFormat="1" applyFont="1" applyFill="1" applyBorder="1" applyAlignment="1">
      <alignment horizontal="left" vertical="top"/>
    </xf>
    <xf numFmtId="0" fontId="54" fillId="0" borderId="5" xfId="0" applyFont="1" applyBorder="1" applyAlignment="1">
      <alignment horizontal="left" vertical="top"/>
    </xf>
    <xf numFmtId="0" fontId="8" fillId="0" borderId="0" xfId="0" applyFont="1" applyBorder="1" applyAlignment="1">
      <alignment horizontal="center"/>
    </xf>
    <xf numFmtId="0" fontId="8" fillId="0" borderId="2" xfId="0" applyFont="1" applyBorder="1" applyAlignment="1">
      <alignment horizontal="center"/>
    </xf>
    <xf numFmtId="181" fontId="8" fillId="0" borderId="5" xfId="1" applyNumberFormat="1" applyFont="1" applyBorder="1" applyAlignment="1">
      <alignment horizontal="center"/>
    </xf>
    <xf numFmtId="49" fontId="20" fillId="0" borderId="2" xfId="1" applyNumberFormat="1" applyFont="1" applyBorder="1" applyAlignment="1">
      <alignment horizontal="center"/>
    </xf>
    <xf numFmtId="0" fontId="8" fillId="16" borderId="2" xfId="0" applyNumberFormat="1" applyFont="1" applyFill="1" applyBorder="1" applyAlignment="1">
      <alignment horizontal="left"/>
    </xf>
    <xf numFmtId="0" fontId="8" fillId="16" borderId="0" xfId="0" applyNumberFormat="1" applyFont="1" applyFill="1" applyBorder="1" applyAlignment="1">
      <alignment horizontal="left"/>
    </xf>
    <xf numFmtId="0" fontId="20"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20" fillId="0" borderId="5" xfId="0" applyNumberFormat="1" applyFont="1" applyFill="1" applyBorder="1" applyAlignment="1">
      <alignment horizontal="left"/>
    </xf>
    <xf numFmtId="49" fontId="20" fillId="0" borderId="5" xfId="0" applyNumberFormat="1" applyFont="1" applyFill="1" applyBorder="1" applyAlignment="1">
      <alignment horizontal="left"/>
    </xf>
    <xf numFmtId="0" fontId="0" fillId="0" borderId="0" xfId="0" applyFont="1" applyFill="1" applyBorder="1" applyAlignment="1">
      <alignment horizontal="left" vertical="top" wrapText="1"/>
    </xf>
    <xf numFmtId="0" fontId="32" fillId="26" borderId="0" xfId="0" applyFont="1" applyFill="1" applyBorder="1" applyAlignment="1">
      <alignment vertical="top"/>
    </xf>
    <xf numFmtId="49" fontId="32" fillId="0" borderId="0" xfId="0" applyNumberFormat="1" applyFont="1" applyFill="1" applyBorder="1" applyAlignment="1"/>
    <xf numFmtId="49" fontId="32" fillId="0" borderId="0" xfId="0" applyNumberFormat="1" applyFont="1" applyFill="1" applyBorder="1" applyAlignment="1">
      <alignment horizontal="left"/>
    </xf>
    <xf numFmtId="49" fontId="32" fillId="0" borderId="0" xfId="0" applyNumberFormat="1" applyFont="1" applyFill="1" applyBorder="1" applyAlignment="1">
      <alignment horizontal="left" vertical="top" wrapText="1" indent="1"/>
    </xf>
    <xf numFmtId="49" fontId="32" fillId="0" borderId="0" xfId="0" applyNumberFormat="1" applyFont="1" applyFill="1" applyBorder="1" applyAlignment="1">
      <alignment horizontal="left" vertical="top" wrapText="1" indent="2"/>
    </xf>
    <xf numFmtId="49" fontId="32" fillId="0" borderId="0" xfId="0" applyNumberFormat="1" applyFont="1" applyFill="1" applyBorder="1" applyAlignment="1">
      <alignment horizontal="left" vertical="top" wrapText="1" indent="3"/>
    </xf>
    <xf numFmtId="49" fontId="20" fillId="0" borderId="0" xfId="0" applyNumberFormat="1" applyFont="1" applyFill="1" applyBorder="1" applyAlignment="1">
      <alignment horizontal="left" vertical="top" wrapText="1"/>
    </xf>
    <xf numFmtId="0" fontId="32" fillId="0" borderId="0" xfId="0" applyFont="1" applyBorder="1">
      <alignment vertical="top"/>
    </xf>
    <xf numFmtId="0" fontId="94" fillId="28" borderId="5" xfId="0" applyNumberFormat="1" applyFont="1" applyFill="1" applyBorder="1" applyAlignment="1">
      <alignment horizontal="left"/>
    </xf>
    <xf numFmtId="0" fontId="32" fillId="0" borderId="5" xfId="0" applyFont="1" applyFill="1" applyBorder="1" applyAlignment="1">
      <alignment vertical="top"/>
    </xf>
    <xf numFmtId="49" fontId="20" fillId="0" borderId="5" xfId="0" applyNumberFormat="1" applyFont="1" applyFill="1" applyBorder="1" applyAlignment="1">
      <alignment vertical="top"/>
    </xf>
    <xf numFmtId="49" fontId="32" fillId="0" borderId="5" xfId="0" applyNumberFormat="1" applyFont="1" applyFill="1" applyBorder="1" applyAlignment="1">
      <alignment vertical="top"/>
    </xf>
    <xf numFmtId="49" fontId="32" fillId="0" borderId="5" xfId="0" applyNumberFormat="1" applyFont="1" applyFill="1" applyBorder="1" applyAlignment="1"/>
    <xf numFmtId="49" fontId="20" fillId="0" borderId="5" xfId="0" applyNumberFormat="1" applyFont="1" applyFill="1" applyBorder="1" applyAlignment="1"/>
    <xf numFmtId="49" fontId="32" fillId="0" borderId="5" xfId="0" applyNumberFormat="1" applyFont="1" applyFill="1" applyBorder="1" applyAlignment="1">
      <alignment horizontal="left"/>
    </xf>
    <xf numFmtId="0" fontId="32" fillId="0" borderId="5" xfId="0" applyFont="1" applyFill="1" applyBorder="1">
      <alignment vertical="top"/>
    </xf>
    <xf numFmtId="49" fontId="32" fillId="0" borderId="5" xfId="0" applyNumberFormat="1" applyFont="1" applyFill="1" applyBorder="1" applyAlignment="1">
      <alignment horizontal="left" vertical="top" wrapText="1"/>
    </xf>
    <xf numFmtId="49" fontId="32" fillId="0" borderId="5" xfId="0" applyNumberFormat="1" applyFont="1" applyFill="1" applyBorder="1" applyAlignment="1">
      <alignment horizontal="left" vertical="top" wrapText="1" indent="1"/>
    </xf>
    <xf numFmtId="49" fontId="32" fillId="0" borderId="5" xfId="0" applyNumberFormat="1" applyFont="1" applyFill="1" applyBorder="1" applyAlignment="1">
      <alignment horizontal="left" vertical="top" wrapText="1" indent="2"/>
    </xf>
    <xf numFmtId="49" fontId="32" fillId="0" borderId="5" xfId="0" applyNumberFormat="1" applyFont="1" applyFill="1" applyBorder="1" applyAlignment="1">
      <alignment horizontal="left" vertical="top" wrapText="1" indent="3"/>
    </xf>
    <xf numFmtId="49" fontId="20" fillId="0" borderId="5" xfId="0" applyNumberFormat="1" applyFont="1" applyFill="1" applyBorder="1" applyAlignment="1">
      <alignment horizontal="left" vertical="top" wrapText="1"/>
    </xf>
    <xf numFmtId="0" fontId="32" fillId="0" borderId="5" xfId="0" applyFont="1" applyBorder="1">
      <alignment vertical="top"/>
    </xf>
    <xf numFmtId="43" fontId="0" fillId="0" borderId="0" xfId="0" applyNumberFormat="1" applyFont="1" applyFill="1" applyBorder="1" applyAlignment="1"/>
    <xf numFmtId="181" fontId="0" fillId="0" borderId="0" xfId="0" applyNumberFormat="1" applyFont="1" applyFill="1" applyBorder="1" applyAlignment="1"/>
    <xf numFmtId="2" fontId="0" fillId="0" borderId="0" xfId="0" applyNumberFormat="1" applyFill="1" applyBorder="1" applyAlignment="1">
      <alignment vertical="top"/>
    </xf>
    <xf numFmtId="181" fontId="8" fillId="26" borderId="0" xfId="0" applyNumberFormat="1" applyFont="1" applyFill="1" applyBorder="1" applyAlignment="1">
      <alignment vertical="top"/>
    </xf>
    <xf numFmtId="181" fontId="0" fillId="30" borderId="0" xfId="0" applyNumberFormat="1" applyFont="1" applyFill="1" applyBorder="1" applyAlignment="1"/>
    <xf numFmtId="189" fontId="0" fillId="30" borderId="0" xfId="0" applyNumberFormat="1" applyFont="1" applyFill="1" applyBorder="1" applyAlignment="1"/>
    <xf numFmtId="189" fontId="8" fillId="30" borderId="0" xfId="0" applyNumberFormat="1" applyFont="1" applyFill="1" applyBorder="1" applyAlignment="1"/>
    <xf numFmtId="2" fontId="0" fillId="0" borderId="0" xfId="0" applyNumberFormat="1" applyFont="1" applyFill="1" applyAlignment="1">
      <alignment vertical="top"/>
    </xf>
    <xf numFmtId="164" fontId="0" fillId="23" borderId="0" xfId="0" applyNumberFormat="1" applyFont="1" applyFill="1" applyBorder="1" applyAlignment="1">
      <alignment horizontal="right" vertical="top"/>
    </xf>
    <xf numFmtId="4" fontId="8" fillId="23" borderId="0" xfId="1" applyNumberFormat="1" applyFont="1" applyFill="1" applyBorder="1" applyAlignment="1">
      <alignment horizontal="right"/>
    </xf>
    <xf numFmtId="4" fontId="0" fillId="23" borderId="0" xfId="0" applyNumberFormat="1" applyFont="1" applyFill="1" applyBorder="1" applyAlignment="1">
      <alignment horizontal="right" vertical="top"/>
    </xf>
    <xf numFmtId="181" fontId="8" fillId="26" borderId="0" xfId="1" applyNumberFormat="1" applyFont="1" applyFill="1" applyBorder="1" applyAlignment="1">
      <alignment horizontal="right"/>
    </xf>
    <xf numFmtId="49" fontId="20" fillId="24" borderId="0" xfId="0" applyNumberFormat="1" applyFont="1" applyFill="1" applyBorder="1" applyAlignment="1">
      <alignment vertical="top" wrapText="1"/>
    </xf>
    <xf numFmtId="49" fontId="8" fillId="24" borderId="0" xfId="0" applyNumberFormat="1" applyFont="1" applyFill="1" applyBorder="1" applyAlignment="1">
      <alignment vertical="top"/>
    </xf>
    <xf numFmtId="0" fontId="0" fillId="24" borderId="4" xfId="0" applyFill="1" applyBorder="1" applyAlignment="1">
      <alignment horizontal="left" vertical="top"/>
    </xf>
    <xf numFmtId="0" fontId="0" fillId="24" borderId="0" xfId="0" applyFill="1" applyAlignment="1">
      <alignment horizontal="left" vertical="top"/>
    </xf>
    <xf numFmtId="0" fontId="0" fillId="24" borderId="0" xfId="0" applyFill="1">
      <alignment vertical="top"/>
    </xf>
    <xf numFmtId="3" fontId="8" fillId="24" borderId="5" xfId="0" applyNumberFormat="1" applyFont="1" applyFill="1" applyBorder="1" applyAlignment="1">
      <alignment horizontal="right" vertical="top"/>
    </xf>
    <xf numFmtId="49" fontId="20" fillId="24" borderId="0" xfId="0" applyNumberFormat="1" applyFont="1" applyFill="1" applyBorder="1" applyAlignment="1">
      <alignment vertical="top"/>
    </xf>
    <xf numFmtId="3" fontId="0" fillId="24" borderId="0" xfId="0" applyNumberFormat="1" applyFont="1" applyFill="1" applyBorder="1" applyAlignment="1">
      <alignment vertical="top"/>
    </xf>
    <xf numFmtId="3" fontId="0" fillId="0" borderId="0" xfId="0" applyNumberFormat="1">
      <alignment vertical="top"/>
    </xf>
    <xf numFmtId="49" fontId="8" fillId="16" borderId="2" xfId="0" applyNumberFormat="1" applyFont="1" applyFill="1" applyBorder="1" applyAlignment="1">
      <alignment horizontal="left" vertical="top" wrapText="1" indent="3"/>
    </xf>
    <xf numFmtId="1" fontId="0" fillId="0" borderId="0" xfId="0" applyNumberFormat="1">
      <alignment vertical="top"/>
    </xf>
    <xf numFmtId="181" fontId="8" fillId="24" borderId="0" xfId="1" applyNumberFormat="1" applyFont="1" applyFill="1" applyBorder="1" applyAlignment="1"/>
    <xf numFmtId="0" fontId="8" fillId="0" borderId="0" xfId="0" applyFont="1" applyBorder="1" applyAlignment="1">
      <alignment horizontal="center"/>
    </xf>
    <xf numFmtId="0" fontId="8" fillId="0" borderId="2" xfId="0" applyFont="1" applyBorder="1" applyAlignment="1">
      <alignment horizontal="center"/>
    </xf>
    <xf numFmtId="49" fontId="8" fillId="0" borderId="0" xfId="0" applyNumberFormat="1" applyFont="1" applyBorder="1" applyAlignment="1">
      <alignment horizontal="center"/>
    </xf>
    <xf numFmtId="0" fontId="0" fillId="0" borderId="0" xfId="0" applyNumberFormat="1" applyFont="1" applyFill="1" applyBorder="1" applyAlignment="1">
      <alignment horizontal="left" vertical="top"/>
    </xf>
    <xf numFmtId="0" fontId="7" fillId="0" borderId="2" xfId="0" applyFont="1" applyBorder="1" applyAlignment="1"/>
    <xf numFmtId="0" fontId="8" fillId="0" borderId="2" xfId="0" applyFont="1" applyFill="1" applyBorder="1" applyAlignment="1">
      <alignment horizontal="right" vertical="top"/>
    </xf>
    <xf numFmtId="0" fontId="0" fillId="47" borderId="2" xfId="0" applyNumberFormat="1" applyFont="1" applyFill="1" applyBorder="1" applyAlignment="1">
      <alignment horizontal="left" vertical="top" indent="2"/>
    </xf>
    <xf numFmtId="49" fontId="8" fillId="0" borderId="2" xfId="0" applyNumberFormat="1" applyFont="1" applyBorder="1" applyAlignment="1">
      <alignment wrapText="1"/>
    </xf>
    <xf numFmtId="0" fontId="8" fillId="3" borderId="2" xfId="0" applyNumberFormat="1" applyFont="1" applyFill="1" applyBorder="1" applyAlignment="1">
      <alignment horizontal="left" wrapText="1"/>
    </xf>
    <xf numFmtId="49" fontId="8" fillId="20" borderId="2" xfId="0" applyNumberFormat="1" applyFont="1" applyFill="1" applyBorder="1" applyAlignment="1">
      <alignment horizontal="left" wrapText="1"/>
    </xf>
    <xf numFmtId="0" fontId="8" fillId="0" borderId="2" xfId="0" applyFont="1" applyBorder="1" applyAlignment="1">
      <alignment horizontal="right" vertical="top" wrapText="1"/>
    </xf>
    <xf numFmtId="0" fontId="0" fillId="0" borderId="4" xfId="0" applyBorder="1" applyAlignment="1">
      <alignment horizontal="left" vertical="top" wrapText="1"/>
    </xf>
    <xf numFmtId="0" fontId="0" fillId="0" borderId="4" xfId="0" applyFill="1" applyBorder="1" applyAlignment="1">
      <alignment horizontal="left" vertical="top" wrapText="1"/>
    </xf>
    <xf numFmtId="49" fontId="8" fillId="25" borderId="2" xfId="0" applyNumberFormat="1" applyFont="1" applyFill="1" applyBorder="1" applyAlignment="1">
      <alignment horizontal="left" wrapText="1"/>
    </xf>
    <xf numFmtId="49" fontId="8" fillId="0" borderId="2" xfId="0" applyNumberFormat="1" applyFont="1" applyFill="1" applyBorder="1" applyAlignment="1">
      <alignment horizontal="left" wrapText="1"/>
    </xf>
    <xf numFmtId="0" fontId="8" fillId="0" borderId="2" xfId="0" applyNumberFormat="1" applyFont="1" applyFill="1" applyBorder="1" applyAlignment="1">
      <alignment horizontal="left" wrapText="1"/>
    </xf>
    <xf numFmtId="0" fontId="0" fillId="0" borderId="4" xfId="0" applyNumberFormat="1"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2" xfId="0" applyNumberFormat="1" applyFont="1" applyFill="1" applyBorder="1" applyAlignment="1">
      <alignment horizontal="left" wrapText="1"/>
    </xf>
    <xf numFmtId="0" fontId="8" fillId="0" borderId="2" xfId="0" applyNumberFormat="1" applyFont="1" applyFill="1" applyBorder="1" applyAlignment="1">
      <alignment horizontal="left" vertical="top" wrapText="1"/>
    </xf>
    <xf numFmtId="0" fontId="8" fillId="3" borderId="2" xfId="0" applyNumberFormat="1" applyFont="1" applyFill="1" applyBorder="1" applyAlignment="1">
      <alignment horizontal="left" vertical="top" wrapText="1"/>
    </xf>
    <xf numFmtId="49" fontId="8" fillId="4" borderId="2" xfId="0" applyNumberFormat="1" applyFont="1" applyFill="1" applyBorder="1" applyAlignment="1">
      <alignment horizontal="left" wrapText="1"/>
    </xf>
    <xf numFmtId="0" fontId="0" fillId="0" borderId="2" xfId="0" applyNumberFormat="1" applyFont="1" applyFill="1" applyBorder="1" applyAlignment="1">
      <alignment horizontal="left" vertical="top" wrapText="1"/>
    </xf>
    <xf numFmtId="0" fontId="7" fillId="0" borderId="2" xfId="0" applyNumberFormat="1" applyFont="1" applyFill="1" applyBorder="1" applyAlignment="1">
      <alignment horizontal="left" vertical="top" wrapText="1"/>
    </xf>
    <xf numFmtId="49" fontId="7" fillId="0" borderId="2" xfId="0" applyNumberFormat="1" applyFont="1" applyFill="1" applyBorder="1" applyAlignment="1">
      <alignment horizontal="left" wrapText="1"/>
    </xf>
    <xf numFmtId="49" fontId="0" fillId="0" borderId="2" xfId="0" applyNumberFormat="1" applyFont="1" applyFill="1" applyBorder="1" applyAlignment="1">
      <alignment horizontal="left" wrapText="1"/>
    </xf>
    <xf numFmtId="0" fontId="0" fillId="0" borderId="2" xfId="0" applyFont="1" applyFill="1" applyBorder="1" applyAlignment="1">
      <alignment wrapText="1"/>
    </xf>
    <xf numFmtId="49" fontId="0" fillId="0" borderId="2" xfId="0" applyNumberFormat="1" applyBorder="1" applyAlignment="1">
      <alignment vertical="top" wrapText="1"/>
    </xf>
    <xf numFmtId="49" fontId="8" fillId="0" borderId="2"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0" fillId="26" borderId="2" xfId="0" applyNumberFormat="1" applyFont="1" applyFill="1" applyBorder="1" applyAlignment="1">
      <alignment horizontal="left" vertical="top" wrapText="1"/>
    </xf>
    <xf numFmtId="43" fontId="7" fillId="0" borderId="0" xfId="1" applyNumberFormat="1" applyFont="1" applyFill="1" applyBorder="1" applyAlignment="1">
      <alignment horizontal="right" vertical="top"/>
    </xf>
    <xf numFmtId="3" fontId="8" fillId="24" borderId="0" xfId="0" applyNumberFormat="1" applyFont="1" applyFill="1" applyBorder="1" applyAlignment="1">
      <alignment vertical="top" wrapText="1"/>
    </xf>
    <xf numFmtId="3" fontId="8" fillId="24" borderId="0" xfId="0" applyNumberFormat="1" applyFont="1" applyFill="1" applyBorder="1" applyAlignment="1">
      <alignment horizontal="right" vertical="top" wrapText="1"/>
    </xf>
    <xf numFmtId="3" fontId="0" fillId="23" borderId="0" xfId="0" applyNumberFormat="1" applyFont="1" applyFill="1" applyBorder="1" applyAlignment="1">
      <alignment horizontal="right" vertical="top" wrapText="1"/>
    </xf>
    <xf numFmtId="43" fontId="7" fillId="23" borderId="0" xfId="1" applyNumberFormat="1" applyFont="1" applyFill="1" applyBorder="1" applyAlignment="1">
      <alignment horizontal="right" vertical="top"/>
    </xf>
    <xf numFmtId="1" fontId="0" fillId="0" borderId="0" xfId="0" applyNumberFormat="1" applyFont="1" applyFill="1" applyBorder="1" applyAlignment="1">
      <alignment vertical="top"/>
    </xf>
    <xf numFmtId="10" fontId="0" fillId="0" borderId="0" xfId="0" applyNumberFormat="1" applyFont="1" applyFill="1" applyAlignment="1">
      <alignment vertical="top"/>
    </xf>
    <xf numFmtId="1" fontId="0" fillId="0" borderId="0" xfId="4" applyNumberFormat="1" applyFont="1" applyFill="1" applyAlignment="1">
      <alignment vertical="top"/>
    </xf>
    <xf numFmtId="181" fontId="8" fillId="3" borderId="0" xfId="1" applyNumberFormat="1" applyFont="1" applyFill="1" applyBorder="1" applyAlignment="1">
      <alignment horizontal="left"/>
    </xf>
    <xf numFmtId="181" fontId="68" fillId="0" borderId="0" xfId="1" applyNumberFormat="1" applyFont="1" applyFill="1" applyBorder="1" applyAlignment="1">
      <alignment horizontal="left" wrapText="1"/>
    </xf>
    <xf numFmtId="181" fontId="68" fillId="0" borderId="0" xfId="1" applyNumberFormat="1" applyFont="1" applyFill="1" applyBorder="1" applyAlignment="1">
      <alignment horizontal="left"/>
    </xf>
    <xf numFmtId="181" fontId="0" fillId="23" borderId="0" xfId="1" applyNumberFormat="1" applyFont="1" applyFill="1" applyAlignment="1"/>
    <xf numFmtId="181" fontId="8" fillId="23" borderId="0" xfId="1" applyNumberFormat="1" applyFont="1" applyFill="1" applyBorder="1" applyAlignment="1">
      <alignment horizontal="right"/>
    </xf>
    <xf numFmtId="181" fontId="7" fillId="0" borderId="0" xfId="1" applyNumberFormat="1" applyFont="1" applyFill="1" applyBorder="1" applyAlignment="1">
      <alignment horizontal="left" indent="1"/>
    </xf>
    <xf numFmtId="181" fontId="0" fillId="0" borderId="0" xfId="1"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3" fontId="0" fillId="0" borderId="0" xfId="0" applyNumberFormat="1" applyFont="1" applyBorder="1" applyAlignment="1">
      <alignment horizontal="right" vertical="center"/>
    </xf>
    <xf numFmtId="0" fontId="0" fillId="0" borderId="0" xfId="0" applyFont="1" applyBorder="1" applyAlignment="1">
      <alignment horizontal="left" vertical="center"/>
    </xf>
    <xf numFmtId="49" fontId="0" fillId="0" borderId="0" xfId="0" applyNumberFormat="1" applyFont="1" applyBorder="1" applyAlignment="1">
      <alignment horizontal="left" vertical="center"/>
    </xf>
    <xf numFmtId="0" fontId="0" fillId="0" borderId="2" xfId="0" applyFont="1" applyBorder="1" applyAlignment="1">
      <alignment horizontal="left" vertical="center"/>
    </xf>
    <xf numFmtId="181" fontId="7" fillId="0" borderId="0" xfId="1" applyNumberFormat="1" applyFont="1" applyFill="1" applyBorder="1" applyAlignment="1">
      <alignment horizontal="left" vertical="center"/>
    </xf>
    <xf numFmtId="3" fontId="7" fillId="0" borderId="0"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0" fontId="0" fillId="0" borderId="0" xfId="0" applyFont="1" applyFill="1" applyAlignment="1">
      <alignment vertical="center"/>
    </xf>
    <xf numFmtId="0" fontId="8" fillId="0" borderId="0" xfId="0" applyFont="1" applyFill="1" applyAlignment="1">
      <alignment vertical="center"/>
    </xf>
    <xf numFmtId="3" fontId="7" fillId="0" borderId="0" xfId="0" applyNumberFormat="1" applyFont="1" applyFill="1" applyBorder="1" applyAlignment="1">
      <alignment vertical="center"/>
    </xf>
    <xf numFmtId="49" fontId="0" fillId="0" borderId="0" xfId="0" applyNumberFormat="1" applyBorder="1" applyAlignment="1">
      <alignment horizontal="left" vertical="center"/>
    </xf>
    <xf numFmtId="49" fontId="0" fillId="0" borderId="2" xfId="0" applyNumberFormat="1" applyFont="1" applyBorder="1" applyAlignment="1">
      <alignment horizontal="left" vertical="center"/>
    </xf>
    <xf numFmtId="0" fontId="0" fillId="0" borderId="2" xfId="0" applyFont="1" applyFill="1" applyBorder="1" applyAlignment="1">
      <alignment vertical="center"/>
    </xf>
    <xf numFmtId="0" fontId="7" fillId="0" borderId="0" xfId="0" applyFont="1" applyBorder="1" applyAlignment="1">
      <alignment horizontal="left" vertical="center"/>
    </xf>
    <xf numFmtId="181" fontId="0" fillId="0" borderId="0" xfId="1" applyNumberFormat="1" applyFont="1" applyFill="1" applyAlignment="1">
      <alignment vertical="center"/>
    </xf>
    <xf numFmtId="0" fontId="0" fillId="0" borderId="0" xfId="0" applyFont="1" applyFill="1" applyBorder="1" applyAlignment="1">
      <alignment horizontal="left" vertical="center"/>
    </xf>
    <xf numFmtId="1" fontId="0" fillId="0" borderId="0" xfId="0" applyNumberFormat="1" applyFont="1" applyFill="1" applyAlignment="1">
      <alignment vertical="center"/>
    </xf>
    <xf numFmtId="3" fontId="0" fillId="0" borderId="5" xfId="0" applyNumberFormat="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0" fillId="0" borderId="0" xfId="0" applyFont="1" applyFill="1" applyBorder="1" applyAlignment="1">
      <alignment vertical="center"/>
    </xf>
    <xf numFmtId="0" fontId="7" fillId="0" borderId="2" xfId="0" applyNumberFormat="1" applyFont="1" applyFill="1" applyBorder="1" applyAlignment="1">
      <alignment horizontal="left" vertical="center"/>
    </xf>
    <xf numFmtId="3" fontId="0" fillId="0" borderId="0" xfId="0" applyNumberFormat="1" applyFont="1" applyFill="1" applyBorder="1" applyAlignment="1">
      <alignment horizontal="right" vertical="center"/>
    </xf>
    <xf numFmtId="49" fontId="0" fillId="0" borderId="0" xfId="0" applyNumberFormat="1" applyFont="1" applyFill="1" applyBorder="1" applyAlignment="1">
      <alignment horizontal="left" vertical="center"/>
    </xf>
    <xf numFmtId="0" fontId="0" fillId="0" borderId="2" xfId="0" applyFont="1" applyFill="1" applyBorder="1" applyAlignment="1">
      <alignment horizontal="left" vertical="center"/>
    </xf>
    <xf numFmtId="0" fontId="0" fillId="0" borderId="2" xfId="0" applyNumberFormat="1" applyFont="1" applyFill="1" applyBorder="1" applyAlignment="1">
      <alignment vertical="center"/>
    </xf>
    <xf numFmtId="0" fontId="7" fillId="0" borderId="0" xfId="0" applyFont="1" applyFill="1" applyBorder="1" applyAlignment="1">
      <alignment horizontal="left" vertical="center"/>
    </xf>
    <xf numFmtId="0" fontId="7" fillId="0" borderId="2" xfId="0" applyFont="1" applyFill="1" applyBorder="1" applyAlignment="1">
      <alignment horizontal="left" vertical="center"/>
    </xf>
    <xf numFmtId="2" fontId="0" fillId="0" borderId="2" xfId="0" applyNumberFormat="1" applyFont="1" applyBorder="1" applyAlignment="1">
      <alignment horizontal="left" vertical="center"/>
    </xf>
    <xf numFmtId="0" fontId="7" fillId="0" borderId="2" xfId="10" applyFont="1" applyFill="1" applyBorder="1" applyAlignment="1">
      <alignment horizontal="left" vertical="center"/>
    </xf>
    <xf numFmtId="0" fontId="67" fillId="0" borderId="2" xfId="10" applyFont="1" applyFill="1" applyBorder="1" applyAlignment="1">
      <alignment vertical="center"/>
    </xf>
    <xf numFmtId="49" fontId="8" fillId="0" borderId="2" xfId="0" applyNumberFormat="1" applyFont="1" applyFill="1" applyBorder="1" applyAlignment="1">
      <alignment horizontal="left" vertical="center"/>
    </xf>
    <xf numFmtId="49" fontId="0" fillId="0" borderId="2" xfId="0" applyNumberFormat="1" applyFont="1" applyFill="1" applyBorder="1" applyAlignment="1">
      <alignment horizontal="left" vertical="center"/>
    </xf>
    <xf numFmtId="3" fontId="0" fillId="0" borderId="0" xfId="1" applyNumberFormat="1" applyFont="1" applyFill="1" applyBorder="1" applyAlignment="1">
      <alignment horizontal="right" vertical="center"/>
    </xf>
    <xf numFmtId="3" fontId="71" fillId="0" borderId="0" xfId="0" applyNumberFormat="1" applyFont="1" applyFill="1" applyBorder="1" applyAlignment="1">
      <alignment horizontal="right" vertical="center"/>
    </xf>
    <xf numFmtId="49" fontId="71" fillId="0" borderId="0" xfId="0" applyNumberFormat="1" applyFont="1" applyFill="1" applyBorder="1" applyAlignment="1">
      <alignment horizontal="left" vertical="center"/>
    </xf>
    <xf numFmtId="49" fontId="7" fillId="0" borderId="0" xfId="0" applyNumberFormat="1" applyFont="1" applyBorder="1" applyAlignment="1">
      <alignment horizontal="left" vertical="center"/>
    </xf>
    <xf numFmtId="49" fontId="7" fillId="0" borderId="2" xfId="0" applyNumberFormat="1" applyFont="1" applyBorder="1" applyAlignment="1">
      <alignment horizontal="left" vertical="center"/>
    </xf>
    <xf numFmtId="3" fontId="69" fillId="0" borderId="0" xfId="1" applyNumberFormat="1" applyFont="1" applyFill="1" applyBorder="1" applyAlignment="1">
      <alignment horizontal="right" vertical="center"/>
    </xf>
    <xf numFmtId="0" fontId="69" fillId="0" borderId="0" xfId="0" applyFont="1" applyFill="1" applyBorder="1" applyAlignment="1">
      <alignment horizontal="left" vertical="center"/>
    </xf>
    <xf numFmtId="0" fontId="8" fillId="0" borderId="0" xfId="0" applyFont="1" applyFill="1" applyAlignment="1">
      <alignment horizontal="left" vertical="center"/>
    </xf>
    <xf numFmtId="0" fontId="8" fillId="0" borderId="2" xfId="0" applyFont="1" applyFill="1" applyBorder="1" applyAlignment="1">
      <alignment vertical="center"/>
    </xf>
    <xf numFmtId="181" fontId="8" fillId="0" borderId="0" xfId="1"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3" fontId="8" fillId="0" borderId="0" xfId="1" applyNumberFormat="1" applyFont="1" applyFill="1" applyBorder="1" applyAlignment="1">
      <alignment horizontal="right" vertical="center"/>
    </xf>
    <xf numFmtId="0" fontId="8" fillId="0" borderId="0" xfId="0" applyFont="1" applyBorder="1" applyAlignment="1">
      <alignment horizontal="left" vertical="center"/>
    </xf>
    <xf numFmtId="3" fontId="7" fillId="0" borderId="0" xfId="0" applyNumberFormat="1" applyFont="1" applyBorder="1" applyAlignment="1">
      <alignment vertical="center"/>
    </xf>
    <xf numFmtId="181" fontId="0" fillId="0" borderId="0" xfId="1" applyNumberFormat="1" applyFont="1" applyFill="1" applyBorder="1" applyAlignment="1">
      <alignment vertical="center"/>
    </xf>
    <xf numFmtId="0" fontId="7" fillId="0" borderId="0" xfId="0" applyNumberFormat="1" applyFont="1" applyFill="1" applyBorder="1" applyAlignment="1">
      <alignment horizontal="left" vertical="center"/>
    </xf>
    <xf numFmtId="181" fontId="7" fillId="0" borderId="0" xfId="1" applyNumberFormat="1" applyFont="1" applyFill="1" applyBorder="1" applyAlignment="1">
      <alignment vertical="center"/>
    </xf>
    <xf numFmtId="0" fontId="7" fillId="0" borderId="0" xfId="0" applyFont="1" applyFill="1" applyBorder="1" applyAlignment="1">
      <alignment vertical="center"/>
    </xf>
    <xf numFmtId="2" fontId="0" fillId="0" borderId="0" xfId="0" applyNumberFormat="1" applyFont="1" applyBorder="1" applyAlignment="1">
      <alignment horizontal="left" vertical="center"/>
    </xf>
    <xf numFmtId="3" fontId="8" fillId="0" borderId="0" xfId="0" applyNumberFormat="1" applyFont="1" applyFill="1" applyAlignment="1">
      <alignment vertical="center"/>
    </xf>
    <xf numFmtId="0" fontId="7" fillId="0" borderId="0" xfId="0" applyFont="1" applyBorder="1" applyAlignment="1">
      <alignment vertical="center"/>
    </xf>
    <xf numFmtId="49" fontId="7" fillId="0" borderId="0" xfId="0" applyNumberFormat="1" applyFont="1" applyFill="1" applyBorder="1" applyAlignment="1">
      <alignment horizontal="left" vertical="center"/>
    </xf>
    <xf numFmtId="3" fontId="8" fillId="0" borderId="0" xfId="0" applyNumberFormat="1" applyFont="1" applyFill="1" applyBorder="1" applyAlignment="1">
      <alignment vertical="center"/>
    </xf>
    <xf numFmtId="39" fontId="8" fillId="0" borderId="0" xfId="1" applyNumberFormat="1" applyFont="1" applyFill="1" applyBorder="1" applyAlignment="1">
      <alignment vertical="center"/>
    </xf>
    <xf numFmtId="4" fontId="8" fillId="0" borderId="0" xfId="0" applyNumberFormat="1" applyFont="1" applyFill="1" applyBorder="1" applyAlignment="1">
      <alignment vertical="center"/>
    </xf>
    <xf numFmtId="181" fontId="8" fillId="0" borderId="0" xfId="1" applyNumberFormat="1" applyFont="1" applyFill="1" applyBorder="1" applyAlignment="1">
      <alignment vertical="center"/>
    </xf>
    <xf numFmtId="49" fontId="8" fillId="0" borderId="2" xfId="0" applyNumberFormat="1" applyFont="1" applyBorder="1" applyAlignment="1">
      <alignment horizontal="left" vertical="center"/>
    </xf>
    <xf numFmtId="0" fontId="8" fillId="0" borderId="0"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0" xfId="0" applyFont="1" applyAlignment="1">
      <alignment horizontal="left" vertical="center"/>
    </xf>
    <xf numFmtId="0" fontId="0" fillId="0" borderId="0" xfId="0" applyFont="1" applyFill="1" applyAlignment="1">
      <alignment horizontal="left" vertical="center"/>
    </xf>
    <xf numFmtId="0" fontId="8" fillId="0" borderId="0" xfId="0" applyFont="1" applyFill="1" applyBorder="1" applyAlignment="1">
      <alignment vertical="center"/>
    </xf>
    <xf numFmtId="1" fontId="8" fillId="23" borderId="0" xfId="0" applyNumberFormat="1" applyFont="1" applyFill="1" applyAlignment="1">
      <alignment vertical="center"/>
    </xf>
    <xf numFmtId="0" fontId="7" fillId="0" borderId="0" xfId="0" applyFont="1" applyFill="1" applyAlignment="1">
      <alignment vertical="center"/>
    </xf>
    <xf numFmtId="0" fontId="7" fillId="0" borderId="2" xfId="0" applyFont="1" applyFill="1" applyBorder="1" applyAlignment="1">
      <alignment vertical="center"/>
    </xf>
    <xf numFmtId="0" fontId="0" fillId="0" borderId="0" xfId="0" applyFill="1" applyAlignment="1">
      <alignment vertical="center"/>
    </xf>
    <xf numFmtId="0" fontId="0" fillId="0" borderId="2" xfId="0" applyFill="1" applyBorder="1" applyAlignment="1">
      <alignment vertical="center"/>
    </xf>
    <xf numFmtId="3" fontId="7" fillId="0" borderId="0" xfId="0" applyNumberFormat="1" applyFont="1" applyFill="1" applyBorder="1" applyAlignment="1">
      <alignment horizontal="right" vertical="center"/>
    </xf>
    <xf numFmtId="1" fontId="0" fillId="23" borderId="0" xfId="0" applyNumberFormat="1" applyFont="1" applyFill="1" applyAlignment="1">
      <alignment vertical="center"/>
    </xf>
    <xf numFmtId="3" fontId="8" fillId="0" borderId="0" xfId="0" applyNumberFormat="1" applyFont="1" applyFill="1" applyBorder="1" applyAlignment="1">
      <alignment horizontal="right" vertical="center"/>
    </xf>
    <xf numFmtId="1" fontId="8" fillId="23" borderId="0" xfId="0" applyNumberFormat="1" applyFont="1" applyFill="1" applyBorder="1" applyAlignment="1">
      <alignment horizontal="right" vertical="center"/>
    </xf>
    <xf numFmtId="181" fontId="0" fillId="0" borderId="0"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181" fontId="114" fillId="0" borderId="0" xfId="0" applyNumberFormat="1" applyFont="1" applyFill="1" applyAlignment="1">
      <alignment horizontal="right" vertical="center"/>
    </xf>
    <xf numFmtId="0" fontId="114" fillId="0" borderId="0" xfId="0" applyFont="1" applyFill="1" applyBorder="1" applyAlignment="1">
      <alignment horizontal="left" vertical="center"/>
    </xf>
    <xf numFmtId="181" fontId="7" fillId="0" borderId="0" xfId="1" applyNumberFormat="1" applyFont="1" applyFill="1" applyBorder="1" applyAlignment="1">
      <alignment horizontal="right" vertical="center"/>
    </xf>
    <xf numFmtId="181" fontId="8" fillId="26" borderId="0" xfId="1" applyNumberFormat="1" applyFont="1" applyFill="1" applyAlignment="1">
      <alignment vertical="center"/>
    </xf>
    <xf numFmtId="0" fontId="8" fillId="26" borderId="0" xfId="0" applyFont="1" applyFill="1" applyAlignment="1">
      <alignment vertical="center"/>
    </xf>
    <xf numFmtId="49" fontId="0" fillId="26" borderId="2" xfId="0" applyNumberFormat="1" applyFont="1" applyFill="1" applyBorder="1" applyAlignment="1">
      <alignment horizontal="left" vertical="center"/>
    </xf>
    <xf numFmtId="1" fontId="8" fillId="26" borderId="0" xfId="0" applyNumberFormat="1" applyFont="1" applyFill="1" applyAlignment="1">
      <alignment vertical="center"/>
    </xf>
    <xf numFmtId="0" fontId="7" fillId="26" borderId="0" xfId="0" applyFont="1" applyFill="1" applyBorder="1" applyAlignment="1">
      <alignment horizontal="left" vertical="center"/>
    </xf>
    <xf numFmtId="0" fontId="7" fillId="26" borderId="2" xfId="0" applyFont="1" applyFill="1" applyBorder="1" applyAlignment="1">
      <alignment horizontal="left" vertical="center"/>
    </xf>
    <xf numFmtId="49" fontId="7" fillId="26" borderId="2" xfId="0" applyNumberFormat="1" applyFont="1" applyFill="1" applyBorder="1" applyAlignment="1">
      <alignment horizontal="left" vertical="center"/>
    </xf>
    <xf numFmtId="0" fontId="8" fillId="26" borderId="2" xfId="0" applyFont="1" applyFill="1" applyBorder="1" applyAlignment="1">
      <alignment vertical="center"/>
    </xf>
    <xf numFmtId="2" fontId="0" fillId="0" borderId="0" xfId="0" applyNumberFormat="1" applyFill="1" applyBorder="1" applyAlignment="1">
      <alignment horizontal="center" vertical="top"/>
    </xf>
    <xf numFmtId="2" fontId="0" fillId="0" borderId="0" xfId="0" applyNumberFormat="1" applyFill="1" applyBorder="1">
      <alignment vertical="top"/>
    </xf>
    <xf numFmtId="2" fontId="8" fillId="0" borderId="0" xfId="0" applyNumberFormat="1" applyFont="1" applyFill="1" applyBorder="1" applyAlignment="1">
      <alignment horizontal="left"/>
    </xf>
    <xf numFmtId="170" fontId="0" fillId="0" borderId="0" xfId="0" applyNumberFormat="1" applyFill="1">
      <alignment vertical="top"/>
    </xf>
    <xf numFmtId="2" fontId="8" fillId="24" borderId="2" xfId="0" applyNumberFormat="1" applyFont="1" applyFill="1" applyBorder="1" applyAlignment="1">
      <alignment horizontal="left" vertical="top"/>
    </xf>
    <xf numFmtId="0" fontId="74" fillId="28" borderId="5" xfId="0" applyFont="1" applyFill="1" applyBorder="1" applyAlignment="1">
      <alignment horizontal="left"/>
    </xf>
    <xf numFmtId="0" fontId="8" fillId="0" borderId="5" xfId="0" applyFont="1" applyFill="1" applyBorder="1" applyAlignment="1">
      <alignment horizontal="left"/>
    </xf>
    <xf numFmtId="0" fontId="8" fillId="0" borderId="5" xfId="0" applyFont="1" applyFill="1" applyBorder="1" applyAlignment="1">
      <alignment horizontal="left" vertical="top"/>
    </xf>
    <xf numFmtId="49" fontId="8" fillId="0" borderId="5" xfId="0" applyNumberFormat="1" applyFont="1" applyFill="1" applyBorder="1" applyAlignment="1">
      <alignment horizontal="left"/>
    </xf>
    <xf numFmtId="0" fontId="74" fillId="28" borderId="2" xfId="0" applyFont="1" applyFill="1" applyBorder="1" applyAlignment="1">
      <alignment horizontal="left"/>
    </xf>
    <xf numFmtId="0" fontId="8" fillId="26" borderId="2" xfId="0" applyFont="1" applyFill="1" applyBorder="1" applyAlignment="1">
      <alignment horizontal="left"/>
    </xf>
    <xf numFmtId="0" fontId="118" fillId="0" borderId="2" xfId="0" applyFont="1" applyFill="1" applyBorder="1" applyAlignment="1">
      <alignment horizontal="left"/>
    </xf>
    <xf numFmtId="1" fontId="118" fillId="0" borderId="2" xfId="0" applyNumberFormat="1" applyFont="1" applyFill="1" applyBorder="1" applyAlignment="1">
      <alignment horizontal="left"/>
    </xf>
    <xf numFmtId="174" fontId="7" fillId="0" borderId="0" xfId="0" applyNumberFormat="1" applyFont="1" applyFill="1" applyAlignment="1"/>
    <xf numFmtId="49" fontId="0" fillId="0" borderId="2" xfId="0" applyNumberFormat="1" applyFill="1" applyBorder="1" applyAlignment="1">
      <alignment horizontal="left" indent="2"/>
    </xf>
    <xf numFmtId="175" fontId="7" fillId="0" borderId="0" xfId="0" applyNumberFormat="1" applyFont="1" applyFill="1" applyAlignment="1"/>
    <xf numFmtId="0" fontId="8" fillId="24" borderId="0" xfId="0" applyFont="1" applyFill="1" applyAlignment="1">
      <alignment horizontal="left"/>
    </xf>
    <xf numFmtId="37" fontId="114" fillId="24" borderId="0" xfId="1" applyNumberFormat="1" applyFont="1" applyFill="1" applyBorder="1" applyAlignment="1">
      <alignment horizontal="right" vertical="top"/>
    </xf>
    <xf numFmtId="0" fontId="7" fillId="0" borderId="2" xfId="3" applyFont="1" applyBorder="1"/>
    <xf numFmtId="49" fontId="0" fillId="0" borderId="5" xfId="0" applyNumberFormat="1" applyFill="1" applyBorder="1" applyAlignment="1">
      <alignment vertical="top"/>
    </xf>
    <xf numFmtId="49" fontId="32" fillId="0" borderId="4" xfId="0" applyNumberFormat="1" applyFont="1" applyFill="1" applyBorder="1" applyAlignment="1">
      <alignment horizontal="left" vertical="top"/>
    </xf>
    <xf numFmtId="49" fontId="8" fillId="24" borderId="2" xfId="0" applyNumberFormat="1" applyFont="1" applyFill="1" applyBorder="1" applyAlignment="1">
      <alignment vertical="top" wrapText="1"/>
    </xf>
    <xf numFmtId="49" fontId="8" fillId="24" borderId="2" xfId="0" applyNumberFormat="1" applyFont="1" applyFill="1" applyBorder="1" applyAlignment="1">
      <alignment vertical="top"/>
    </xf>
    <xf numFmtId="49" fontId="8" fillId="24" borderId="4" xfId="0" applyNumberFormat="1" applyFont="1" applyFill="1" applyBorder="1" applyAlignment="1">
      <alignment horizontal="left" vertical="top"/>
    </xf>
    <xf numFmtId="0" fontId="8" fillId="0" borderId="0" xfId="0" applyFont="1" applyBorder="1" applyAlignment="1">
      <alignment horizontal="center"/>
    </xf>
    <xf numFmtId="49" fontId="8" fillId="0" borderId="0" xfId="0" applyNumberFormat="1" applyFont="1" applyBorder="1" applyAlignment="1">
      <alignment horizontal="center"/>
    </xf>
    <xf numFmtId="181" fontId="8" fillId="0" borderId="5" xfId="1" applyNumberFormat="1" applyFont="1" applyBorder="1" applyAlignment="1">
      <alignment horizontal="center"/>
    </xf>
    <xf numFmtId="2" fontId="0" fillId="0" borderId="5" xfId="4" applyNumberFormat="1" applyFont="1" applyFill="1" applyBorder="1" applyAlignment="1">
      <alignment horizontal="right" vertical="top"/>
    </xf>
    <xf numFmtId="43" fontId="8" fillId="23" borderId="0" xfId="1" applyNumberFormat="1" applyFont="1" applyFill="1" applyBorder="1" applyAlignment="1">
      <alignment horizontal="right" vertical="top"/>
    </xf>
    <xf numFmtId="181" fontId="8" fillId="24" borderId="5" xfId="1" applyNumberFormat="1" applyFont="1" applyFill="1" applyBorder="1" applyAlignment="1">
      <alignment horizontal="right" vertical="top"/>
    </xf>
    <xf numFmtId="181" fontId="8" fillId="23" borderId="0" xfId="1" applyNumberFormat="1" applyFont="1" applyFill="1" applyAlignment="1"/>
    <xf numFmtId="1" fontId="0" fillId="0" borderId="0" xfId="0" applyNumberFormat="1" applyAlignment="1"/>
    <xf numFmtId="181" fontId="32" fillId="0" borderId="0" xfId="1" applyNumberFormat="1" applyFont="1" applyBorder="1" applyAlignment="1">
      <alignment horizontal="left" vertical="top"/>
    </xf>
    <xf numFmtId="181" fontId="0" fillId="0" borderId="0" xfId="1" applyNumberFormat="1" applyFont="1" applyAlignment="1"/>
    <xf numFmtId="181" fontId="32" fillId="0" borderId="0" xfId="1" applyNumberFormat="1" applyFont="1" applyBorder="1" applyAlignment="1">
      <alignment horizontal="right" vertical="top"/>
    </xf>
    <xf numFmtId="181" fontId="8" fillId="24" borderId="0" xfId="1" applyNumberFormat="1" applyFont="1" applyFill="1" applyAlignment="1"/>
    <xf numFmtId="181" fontId="32" fillId="0" borderId="0" xfId="1" applyNumberFormat="1" applyFont="1" applyFill="1" applyBorder="1" applyAlignment="1">
      <alignment horizontal="right" vertical="top"/>
    </xf>
    <xf numFmtId="0" fontId="8" fillId="11" borderId="2" xfId="0" applyNumberFormat="1" applyFont="1" applyFill="1" applyBorder="1" applyAlignment="1">
      <alignment horizontal="left" wrapText="1"/>
    </xf>
    <xf numFmtId="181" fontId="0" fillId="0" borderId="0" xfId="1" applyNumberFormat="1" applyFont="1" applyFill="1" applyAlignment="1">
      <alignment vertical="top"/>
    </xf>
    <xf numFmtId="181" fontId="8" fillId="0" borderId="0" xfId="1" applyNumberFormat="1" applyFont="1" applyFill="1" applyAlignment="1">
      <alignment vertical="top"/>
    </xf>
    <xf numFmtId="3" fontId="8" fillId="0" borderId="0" xfId="0" applyNumberFormat="1" applyFont="1" applyFill="1">
      <alignment vertical="top"/>
    </xf>
    <xf numFmtId="0" fontId="74" fillId="28" borderId="0" xfId="0" applyFont="1" applyFill="1" applyBorder="1" applyAlignment="1">
      <alignment horizontal="left"/>
    </xf>
    <xf numFmtId="0" fontId="118" fillId="0" borderId="0" xfId="0" applyFont="1" applyFill="1" applyBorder="1" applyAlignment="1">
      <alignment horizontal="left"/>
    </xf>
    <xf numFmtId="1" fontId="118" fillId="0" borderId="0" xfId="0" applyNumberFormat="1" applyFont="1" applyFill="1" applyBorder="1" applyAlignment="1">
      <alignment horizontal="left"/>
    </xf>
    <xf numFmtId="0" fontId="8" fillId="26" borderId="0" xfId="0" applyFont="1" applyFill="1" applyBorder="1" applyAlignment="1">
      <alignment horizontal="left"/>
    </xf>
    <xf numFmtId="1" fontId="118" fillId="0" borderId="2" xfId="0" applyNumberFormat="1" applyFont="1" applyFill="1" applyBorder="1">
      <alignment vertical="top"/>
    </xf>
    <xf numFmtId="0" fontId="0" fillId="0" borderId="5" xfId="0" applyFont="1" applyFill="1" applyBorder="1" applyAlignment="1">
      <alignment horizontal="left" vertical="top"/>
    </xf>
    <xf numFmtId="0" fontId="0" fillId="0" borderId="5" xfId="0" applyFont="1" applyBorder="1" applyAlignment="1">
      <alignment horizontal="left" vertical="top"/>
    </xf>
    <xf numFmtId="181" fontId="120" fillId="0" borderId="0" xfId="1" applyNumberFormat="1" applyFont="1" applyFill="1" applyBorder="1" applyAlignment="1">
      <alignment horizontal="right" wrapText="1"/>
    </xf>
    <xf numFmtId="181" fontId="120" fillId="0" borderId="0" xfId="1" applyNumberFormat="1" applyFont="1" applyFill="1" applyBorder="1" applyAlignment="1">
      <alignment horizontal="right"/>
    </xf>
    <xf numFmtId="181" fontId="119" fillId="0" borderId="0" xfId="1" applyNumberFormat="1" applyFont="1" applyBorder="1" applyAlignment="1">
      <alignment horizontal="right" vertical="top"/>
    </xf>
    <xf numFmtId="181" fontId="114" fillId="0" borderId="0" xfId="1" applyNumberFormat="1" applyFont="1" applyBorder="1" applyAlignment="1">
      <alignment horizontal="right" vertical="top"/>
    </xf>
    <xf numFmtId="181" fontId="119" fillId="0" borderId="0" xfId="1" applyNumberFormat="1" applyFont="1" applyFill="1" applyBorder="1" applyAlignment="1">
      <alignment horizontal="right" vertical="top"/>
    </xf>
    <xf numFmtId="181" fontId="119" fillId="0" borderId="0" xfId="1" applyNumberFormat="1" applyFont="1" applyFill="1" applyAlignment="1">
      <alignment vertical="top"/>
    </xf>
    <xf numFmtId="181" fontId="119" fillId="0" borderId="0" xfId="1" applyNumberFormat="1" applyFont="1" applyBorder="1" applyAlignment="1">
      <alignment horizontal="right" vertical="top" indent="2"/>
    </xf>
    <xf numFmtId="181" fontId="114" fillId="26" borderId="0" xfId="1" applyNumberFormat="1" applyFont="1" applyFill="1" applyBorder="1" applyAlignment="1">
      <alignment horizontal="right"/>
    </xf>
    <xf numFmtId="181" fontId="119" fillId="0" borderId="0" xfId="1" applyNumberFormat="1" applyFont="1" applyFill="1" applyBorder="1" applyAlignment="1">
      <alignment horizontal="right"/>
    </xf>
    <xf numFmtId="181" fontId="114" fillId="0" borderId="5" xfId="1" applyNumberFormat="1" applyFont="1" applyFill="1" applyBorder="1" applyAlignment="1">
      <alignment horizontal="left"/>
    </xf>
    <xf numFmtId="181" fontId="119" fillId="0" borderId="5" xfId="1" applyNumberFormat="1" applyFont="1" applyFill="1" applyBorder="1" applyAlignment="1">
      <alignment horizontal="left"/>
    </xf>
    <xf numFmtId="181" fontId="119" fillId="0" borderId="5" xfId="1" applyNumberFormat="1" applyFont="1" applyFill="1" applyBorder="1" applyAlignment="1">
      <alignment horizontal="left" vertical="top"/>
    </xf>
    <xf numFmtId="183" fontId="8" fillId="0" borderId="0" xfId="1" applyNumberFormat="1" applyFont="1" applyBorder="1" applyAlignment="1">
      <alignment horizontal="left" vertical="top"/>
    </xf>
    <xf numFmtId="43" fontId="8" fillId="0" borderId="0" xfId="1" applyNumberFormat="1" applyFont="1" applyBorder="1" applyAlignment="1">
      <alignment horizontal="left" vertical="top"/>
    </xf>
    <xf numFmtId="175" fontId="0" fillId="23" borderId="0" xfId="0" applyNumberFormat="1" applyFont="1" applyFill="1" applyBorder="1" applyAlignment="1">
      <alignment horizontal="right" vertical="top"/>
    </xf>
    <xf numFmtId="14" fontId="0" fillId="0" borderId="0" xfId="0" applyNumberFormat="1">
      <alignment vertical="top"/>
    </xf>
    <xf numFmtId="49" fontId="121" fillId="0" borderId="2" xfId="0" applyNumberFormat="1" applyFont="1" applyFill="1" applyBorder="1" applyAlignment="1">
      <alignment vertical="top"/>
    </xf>
    <xf numFmtId="2" fontId="0" fillId="0" borderId="0" xfId="1" applyNumberFormat="1" applyFont="1" applyFill="1" applyBorder="1" applyAlignment="1">
      <alignment horizontal="left" vertical="top"/>
    </xf>
    <xf numFmtId="0" fontId="8" fillId="0" borderId="5" xfId="0" applyFont="1" applyBorder="1" applyAlignment="1">
      <alignment horizontal="center"/>
    </xf>
    <xf numFmtId="0" fontId="8" fillId="0" borderId="0" xfId="0" applyFont="1" applyBorder="1" applyAlignment="1">
      <alignment horizontal="center"/>
    </xf>
    <xf numFmtId="49" fontId="8" fillId="0" borderId="0" xfId="0" applyNumberFormat="1" applyFont="1" applyBorder="1" applyAlignment="1">
      <alignment horizontal="center"/>
    </xf>
    <xf numFmtId="181" fontId="8" fillId="0" borderId="5" xfId="1" applyNumberFormat="1" applyFont="1" applyBorder="1" applyAlignment="1">
      <alignment horizontal="center"/>
    </xf>
    <xf numFmtId="0" fontId="20" fillId="0" borderId="2" xfId="0" applyFont="1" applyBorder="1" applyAlignment="1">
      <alignment horizontal="center"/>
    </xf>
    <xf numFmtId="49" fontId="8" fillId="0" borderId="5" xfId="1" applyNumberFormat="1" applyFont="1" applyFill="1" applyBorder="1" applyAlignment="1">
      <alignment horizontal="center"/>
    </xf>
    <xf numFmtId="49" fontId="8" fillId="0" borderId="0" xfId="1" applyNumberFormat="1" applyFont="1" applyFill="1" applyBorder="1" applyAlignment="1">
      <alignment horizontal="center"/>
    </xf>
    <xf numFmtId="49" fontId="20" fillId="0" borderId="2" xfId="1" applyNumberFormat="1" applyFont="1" applyFill="1" applyBorder="1" applyAlignment="1">
      <alignment horizontal="center"/>
    </xf>
    <xf numFmtId="0" fontId="20" fillId="0" borderId="0" xfId="0" applyFont="1" applyBorder="1" applyAlignment="1">
      <alignment horizontal="center"/>
    </xf>
    <xf numFmtId="0" fontId="0" fillId="0" borderId="0" xfId="0" applyAlignment="1">
      <alignment horizontal="center" vertical="top"/>
    </xf>
    <xf numFmtId="0" fontId="0" fillId="0" borderId="0" xfId="0" applyBorder="1" applyAlignment="1">
      <alignment horizontal="center" vertical="top"/>
    </xf>
    <xf numFmtId="183" fontId="8" fillId="23" borderId="0" xfId="1" applyNumberFormat="1" applyFont="1" applyFill="1" applyBorder="1" applyAlignment="1">
      <alignment horizontal="left"/>
    </xf>
    <xf numFmtId="0" fontId="8" fillId="0" borderId="2" xfId="0" applyFont="1" applyBorder="1" applyAlignment="1">
      <alignment horizontal="center"/>
    </xf>
    <xf numFmtId="3" fontId="0" fillId="26" borderId="0" xfId="0" applyNumberFormat="1" applyFill="1" applyBorder="1">
      <alignment vertical="top"/>
    </xf>
    <xf numFmtId="43" fontId="8" fillId="0" borderId="5" xfId="0" applyNumberFormat="1" applyFont="1" applyFill="1" applyBorder="1">
      <alignment vertical="top"/>
    </xf>
    <xf numFmtId="182" fontId="0" fillId="0" borderId="5" xfId="0" applyNumberFormat="1" applyFill="1" applyBorder="1">
      <alignment vertical="top"/>
    </xf>
    <xf numFmtId="43" fontId="8" fillId="26" borderId="5" xfId="0" applyNumberFormat="1" applyFont="1" applyFill="1" applyBorder="1">
      <alignment vertical="top"/>
    </xf>
    <xf numFmtId="4" fontId="8" fillId="23" borderId="0" xfId="0" applyNumberFormat="1" applyFont="1" applyFill="1" applyBorder="1" applyAlignment="1">
      <alignment vertical="top"/>
    </xf>
    <xf numFmtId="181" fontId="20" fillId="0" borderId="0" xfId="1" applyNumberFormat="1" applyFont="1" applyBorder="1" applyAlignment="1">
      <alignment horizontal="left" vertical="top"/>
    </xf>
    <xf numFmtId="0" fontId="20" fillId="0" borderId="2" xfId="0" applyFont="1" applyBorder="1" applyAlignment="1">
      <alignment horizontal="left" vertical="top"/>
    </xf>
    <xf numFmtId="181" fontId="8" fillId="0" borderId="0" xfId="1" applyNumberFormat="1" applyFont="1" applyBorder="1" applyAlignment="1">
      <alignment vertical="top"/>
    </xf>
    <xf numFmtId="181" fontId="8" fillId="0" borderId="0" xfId="0" applyNumberFormat="1" applyFont="1" applyBorder="1" applyAlignment="1">
      <alignment horizontal="left" vertical="top"/>
    </xf>
    <xf numFmtId="183" fontId="0" fillId="0" borderId="0" xfId="0" applyNumberFormat="1" applyBorder="1" applyAlignment="1">
      <alignment horizontal="right" vertical="top"/>
    </xf>
    <xf numFmtId="3" fontId="122" fillId="0" borderId="0" xfId="0" applyNumberFormat="1" applyFont="1" applyFill="1" applyBorder="1" applyAlignment="1">
      <alignment vertical="top" wrapText="1"/>
    </xf>
    <xf numFmtId="49" fontId="122" fillId="0" borderId="0" xfId="0" applyNumberFormat="1" applyFont="1" applyFill="1" applyBorder="1" applyAlignment="1">
      <alignment vertical="top"/>
    </xf>
    <xf numFmtId="0" fontId="0" fillId="0" borderId="2" xfId="0" applyNumberFormat="1" applyFont="1" applyFill="1" applyBorder="1" applyAlignment="1">
      <alignment vertical="top"/>
    </xf>
    <xf numFmtId="0" fontId="122" fillId="0" borderId="2" xfId="0" applyFont="1" applyFill="1" applyBorder="1" applyAlignment="1"/>
    <xf numFmtId="166" fontId="8" fillId="0" borderId="0" xfId="1" applyNumberFormat="1" applyFont="1" applyFill="1" applyBorder="1" applyAlignment="1">
      <alignment horizontal="right" vertical="top"/>
    </xf>
    <xf numFmtId="43" fontId="0" fillId="0" borderId="0" xfId="1" applyNumberFormat="1" applyFont="1" applyFill="1" applyBorder="1" applyAlignment="1">
      <alignment horizontal="left" vertical="top"/>
    </xf>
    <xf numFmtId="0" fontId="0" fillId="7" borderId="0" xfId="0" applyFill="1">
      <alignment vertical="top"/>
    </xf>
    <xf numFmtId="3" fontId="0" fillId="0" borderId="2" xfId="0" applyNumberFormat="1" applyBorder="1" applyAlignment="1">
      <alignment vertical="top"/>
    </xf>
    <xf numFmtId="0" fontId="8" fillId="24" borderId="0" xfId="0" applyFont="1" applyFill="1">
      <alignment vertical="top"/>
    </xf>
    <xf numFmtId="0" fontId="8" fillId="24" borderId="0" xfId="0" applyFont="1" applyFill="1" applyAlignment="1">
      <alignment vertical="top"/>
    </xf>
    <xf numFmtId="181" fontId="114" fillId="0" borderId="0" xfId="1" applyNumberFormat="1" applyFont="1" applyFill="1" applyBorder="1" applyAlignment="1">
      <alignment horizontal="right" vertical="top"/>
    </xf>
    <xf numFmtId="0" fontId="0" fillId="23" borderId="0" xfId="0" applyFont="1" applyFill="1" applyBorder="1" applyAlignment="1">
      <alignment horizontal="right" vertical="top"/>
    </xf>
    <xf numFmtId="1" fontId="0" fillId="23" borderId="0" xfId="0" applyNumberFormat="1" applyFont="1" applyFill="1" applyBorder="1" applyAlignment="1">
      <alignment horizontal="right" vertical="top"/>
    </xf>
    <xf numFmtId="3" fontId="0" fillId="7" borderId="0" xfId="0" applyNumberFormat="1" applyFill="1" applyBorder="1">
      <alignment vertical="top"/>
    </xf>
    <xf numFmtId="0" fontId="0" fillId="7" borderId="0" xfId="0" applyFill="1" applyBorder="1">
      <alignment vertical="top"/>
    </xf>
    <xf numFmtId="0" fontId="0" fillId="0" borderId="2" xfId="0" quotePrefix="1" applyNumberFormat="1" applyFont="1" applyBorder="1" applyAlignment="1">
      <alignment horizontal="left" vertical="top"/>
    </xf>
    <xf numFmtId="49" fontId="0" fillId="0" borderId="0" xfId="0" quotePrefix="1" applyNumberFormat="1" applyFont="1" applyBorder="1" applyAlignment="1">
      <alignment horizontal="left" vertical="top"/>
    </xf>
    <xf numFmtId="181" fontId="0" fillId="0" borderId="0" xfId="0" applyNumberFormat="1" applyFont="1" applyFill="1" applyBorder="1" applyAlignment="1">
      <alignment horizontal="right" vertical="top"/>
    </xf>
    <xf numFmtId="0" fontId="0" fillId="0" borderId="0" xfId="0" applyNumberFormat="1" applyFont="1" applyFill="1" applyBorder="1" applyAlignment="1">
      <alignment horizontal="right" vertical="top" wrapText="1"/>
    </xf>
    <xf numFmtId="49" fontId="0" fillId="0" borderId="0" xfId="0" applyNumberFormat="1" applyBorder="1" applyAlignment="1"/>
    <xf numFmtId="0" fontId="0" fillId="0" borderId="0" xfId="0" applyNumberFormat="1" applyBorder="1" applyAlignment="1">
      <alignment horizontal="left" vertical="top"/>
    </xf>
    <xf numFmtId="183" fontId="0" fillId="0" borderId="0" xfId="1" applyNumberFormat="1" applyFont="1" applyBorder="1" applyAlignment="1">
      <alignment horizontal="left" vertical="top"/>
    </xf>
    <xf numFmtId="181" fontId="2" fillId="0" borderId="0" xfId="1" applyNumberFormat="1" applyFont="1" applyAlignment="1">
      <alignment horizontal="right" vertical="center"/>
    </xf>
    <xf numFmtId="0" fontId="0" fillId="0" borderId="0" xfId="0" applyNumberFormat="1" applyFont="1" applyBorder="1" applyAlignment="1">
      <alignment vertical="top"/>
    </xf>
    <xf numFmtId="183" fontId="8" fillId="23" borderId="0" xfId="0" applyNumberFormat="1" applyFont="1" applyFill="1" applyBorder="1" applyAlignment="1">
      <alignment horizontal="left"/>
    </xf>
    <xf numFmtId="43" fontId="0" fillId="0" borderId="0" xfId="1" applyNumberFormat="1" applyFont="1" applyBorder="1" applyAlignment="1">
      <alignment horizontal="left" vertical="top"/>
    </xf>
    <xf numFmtId="182" fontId="0" fillId="23" borderId="0" xfId="1" applyNumberFormat="1" applyFont="1" applyFill="1" applyBorder="1" applyAlignment="1">
      <alignment horizontal="right" vertical="top"/>
    </xf>
    <xf numFmtId="182" fontId="0" fillId="23" borderId="0" xfId="1" applyNumberFormat="1" applyFont="1" applyFill="1" applyAlignment="1">
      <alignment vertical="top"/>
    </xf>
    <xf numFmtId="182" fontId="7" fillId="23" borderId="0" xfId="1" applyNumberFormat="1" applyFont="1" applyFill="1" applyBorder="1" applyAlignment="1">
      <alignment horizontal="right" vertical="top"/>
    </xf>
    <xf numFmtId="182" fontId="0" fillId="23" borderId="0" xfId="1" applyNumberFormat="1" applyFont="1" applyFill="1" applyAlignment="1"/>
    <xf numFmtId="181" fontId="0" fillId="23" borderId="0" xfId="0" applyNumberFormat="1" applyFont="1" applyFill="1" applyAlignment="1"/>
    <xf numFmtId="181" fontId="0" fillId="23" borderId="0" xfId="0" applyNumberFormat="1" applyFill="1" applyAlignment="1">
      <alignment vertical="top"/>
    </xf>
    <xf numFmtId="0" fontId="8" fillId="0" borderId="5"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49" fontId="8" fillId="0" borderId="0" xfId="0" applyNumberFormat="1" applyFont="1" applyBorder="1" applyAlignment="1">
      <alignment horizontal="center"/>
    </xf>
    <xf numFmtId="181" fontId="7" fillId="0" borderId="0" xfId="0" applyNumberFormat="1" applyFont="1" applyFill="1" applyBorder="1" applyAlignment="1">
      <alignment horizontal="right" vertical="top"/>
    </xf>
    <xf numFmtId="181" fontId="54" fillId="23" borderId="0" xfId="1" applyNumberFormat="1" applyFont="1" applyFill="1" applyBorder="1" applyAlignment="1">
      <alignment horizontal="right" vertical="top"/>
    </xf>
    <xf numFmtId="37" fontId="54" fillId="23" borderId="0" xfId="1" applyNumberFormat="1" applyFont="1" applyFill="1" applyBorder="1" applyAlignment="1">
      <alignment horizontal="right" vertical="top"/>
    </xf>
    <xf numFmtId="184" fontId="54" fillId="23" borderId="0" xfId="1" applyNumberFormat="1" applyFont="1" applyFill="1" applyBorder="1" applyAlignment="1">
      <alignment horizontal="right" vertical="top"/>
    </xf>
    <xf numFmtId="3" fontId="54" fillId="23" borderId="0" xfId="1" applyNumberFormat="1" applyFont="1" applyFill="1" applyBorder="1" applyAlignment="1">
      <alignment horizontal="right" vertical="top"/>
    </xf>
    <xf numFmtId="165" fontId="54" fillId="23" borderId="0" xfId="1" applyNumberFormat="1" applyFont="1" applyFill="1" applyBorder="1" applyAlignment="1">
      <alignment horizontal="right" vertical="top"/>
    </xf>
    <xf numFmtId="4" fontId="54" fillId="0" borderId="0" xfId="0" applyNumberFormat="1" applyFont="1" applyFill="1" applyAlignment="1">
      <alignment horizontal="right" vertical="top"/>
    </xf>
    <xf numFmtId="165" fontId="54" fillId="0" borderId="0" xfId="0" applyNumberFormat="1" applyFont="1" applyFill="1" applyAlignment="1">
      <alignment horizontal="right" vertical="top"/>
    </xf>
    <xf numFmtId="3" fontId="54" fillId="16" borderId="0" xfId="0" applyNumberFormat="1" applyFont="1" applyFill="1" applyBorder="1" applyAlignment="1">
      <alignment horizontal="right" vertical="top"/>
    </xf>
    <xf numFmtId="0" fontId="54" fillId="16" borderId="0" xfId="0" applyNumberFormat="1" applyFont="1" applyFill="1" applyBorder="1" applyAlignment="1">
      <alignment horizontal="left" vertical="top"/>
    </xf>
    <xf numFmtId="0" fontId="54" fillId="16" borderId="2" xfId="0" applyNumberFormat="1" applyFont="1" applyFill="1" applyBorder="1" applyAlignment="1">
      <alignment horizontal="left" vertical="top"/>
    </xf>
    <xf numFmtId="3" fontId="85" fillId="16" borderId="0" xfId="0" applyNumberFormat="1" applyFont="1" applyFill="1" applyBorder="1" applyAlignment="1">
      <alignment horizontal="right" vertical="top"/>
    </xf>
    <xf numFmtId="49" fontId="54" fillId="16" borderId="2" xfId="0" applyNumberFormat="1" applyFont="1" applyFill="1" applyBorder="1" applyAlignment="1">
      <alignment horizontal="left" vertical="top"/>
    </xf>
    <xf numFmtId="0" fontId="85" fillId="16" borderId="5" xfId="0" applyFont="1" applyFill="1" applyBorder="1" applyAlignment="1">
      <alignment horizontal="left" vertical="top"/>
    </xf>
    <xf numFmtId="0" fontId="85" fillId="16" borderId="0" xfId="0" applyFont="1" applyFill="1" applyAlignment="1"/>
    <xf numFmtId="3" fontId="54" fillId="11" borderId="0" xfId="0" applyNumberFormat="1" applyFont="1" applyFill="1" applyBorder="1" applyAlignment="1">
      <alignment horizontal="right" vertical="top"/>
    </xf>
    <xf numFmtId="49" fontId="54" fillId="11" borderId="2" xfId="0" applyNumberFormat="1" applyFont="1" applyFill="1" applyBorder="1" applyAlignment="1">
      <alignment horizontal="left" vertical="top"/>
    </xf>
    <xf numFmtId="0" fontId="54" fillId="16" borderId="0" xfId="0" applyFont="1" applyFill="1" applyBorder="1" applyAlignment="1">
      <alignment horizontal="left" vertical="top"/>
    </xf>
    <xf numFmtId="0" fontId="54" fillId="16" borderId="2" xfId="0" applyFont="1" applyFill="1" applyBorder="1" applyAlignment="1">
      <alignment horizontal="left" vertical="top"/>
    </xf>
    <xf numFmtId="49" fontId="54" fillId="16" borderId="0" xfId="0" applyNumberFormat="1" applyFont="1" applyFill="1" applyBorder="1" applyAlignment="1">
      <alignment horizontal="left" vertical="top"/>
    </xf>
    <xf numFmtId="0" fontId="54" fillId="16" borderId="5" xfId="0" applyFont="1" applyFill="1" applyBorder="1" applyAlignment="1">
      <alignment horizontal="left" vertical="top"/>
    </xf>
    <xf numFmtId="181" fontId="54" fillId="16" borderId="0" xfId="1" applyNumberFormat="1" applyFont="1" applyFill="1" applyBorder="1" applyAlignment="1">
      <alignment horizontal="right" vertical="top"/>
    </xf>
    <xf numFmtId="0" fontId="54" fillId="16" borderId="0" xfId="0" quotePrefix="1" applyFont="1" applyFill="1" applyBorder="1" applyAlignment="1">
      <alignment horizontal="left" vertical="top"/>
    </xf>
    <xf numFmtId="0" fontId="54" fillId="11" borderId="0" xfId="0" applyFont="1" applyFill="1" applyAlignment="1"/>
    <xf numFmtId="0" fontId="54" fillId="11" borderId="0" xfId="0" applyFont="1" applyFill="1" applyBorder="1" applyAlignment="1">
      <alignment horizontal="left" vertical="top"/>
    </xf>
    <xf numFmtId="0" fontId="54" fillId="11" borderId="2" xfId="0" applyFont="1" applyFill="1" applyBorder="1" applyAlignment="1">
      <alignment horizontal="left" vertical="top"/>
    </xf>
    <xf numFmtId="49" fontId="54" fillId="11" borderId="0" xfId="0" applyNumberFormat="1" applyFont="1" applyFill="1" applyBorder="1" applyAlignment="1">
      <alignment horizontal="left" vertical="top"/>
    </xf>
    <xf numFmtId="0" fontId="54" fillId="11" borderId="5" xfId="0" applyFont="1" applyFill="1" applyBorder="1" applyAlignment="1">
      <alignment horizontal="left" vertical="top"/>
    </xf>
    <xf numFmtId="0" fontId="54" fillId="11" borderId="0" xfId="0" applyFont="1" applyFill="1" applyAlignment="1">
      <alignment horizontal="right" vertical="top"/>
    </xf>
    <xf numFmtId="0" fontId="54" fillId="11" borderId="0" xfId="0" applyFont="1" applyFill="1" applyAlignment="1">
      <alignment horizontal="left" vertical="top"/>
    </xf>
    <xf numFmtId="0" fontId="54" fillId="11" borderId="0" xfId="0" applyFont="1" applyFill="1">
      <alignment vertical="top"/>
    </xf>
    <xf numFmtId="0" fontId="54" fillId="16" borderId="0" xfId="0" applyFont="1" applyFill="1" applyAlignment="1">
      <alignment horizontal="right" vertical="top"/>
    </xf>
    <xf numFmtId="0" fontId="54" fillId="16" borderId="0" xfId="0" applyFont="1" applyFill="1" applyAlignment="1">
      <alignment horizontal="left" vertical="top"/>
    </xf>
    <xf numFmtId="0" fontId="54" fillId="16" borderId="0" xfId="0" applyFont="1" applyFill="1">
      <alignment vertical="top"/>
    </xf>
    <xf numFmtId="170" fontId="0" fillId="0" borderId="0" xfId="0" applyNumberFormat="1" applyFont="1" applyFill="1" applyBorder="1" applyAlignment="1">
      <alignment vertical="top"/>
    </xf>
    <xf numFmtId="3" fontId="0" fillId="0" borderId="0" xfId="0" applyNumberFormat="1" applyFill="1" applyBorder="1" applyAlignment="1">
      <alignment horizontal="right" vertical="top" indent="1"/>
    </xf>
    <xf numFmtId="3" fontId="0" fillId="0" borderId="0" xfId="0" applyNumberFormat="1" applyFont="1" applyFill="1" applyBorder="1" applyAlignment="1">
      <alignment horizontal="right" vertical="top" indent="1"/>
    </xf>
    <xf numFmtId="3" fontId="7" fillId="0" borderId="0" xfId="0" applyNumberFormat="1" applyFont="1" applyFill="1" applyBorder="1" applyAlignment="1">
      <alignment horizontal="right" vertical="top" indent="1"/>
    </xf>
    <xf numFmtId="3" fontId="7" fillId="0" borderId="0" xfId="0" applyNumberFormat="1" applyFont="1" applyBorder="1" applyAlignment="1">
      <alignment horizontal="right" vertical="top" indent="1"/>
    </xf>
    <xf numFmtId="3" fontId="8" fillId="28" borderId="0" xfId="0" applyNumberFormat="1" applyFont="1" applyFill="1" applyBorder="1" applyAlignment="1">
      <alignment horizontal="right"/>
    </xf>
    <xf numFmtId="3" fontId="8" fillId="0" borderId="0" xfId="0" applyNumberFormat="1" applyFont="1" applyFill="1" applyBorder="1" applyAlignment="1"/>
    <xf numFmtId="0" fontId="0" fillId="0" borderId="5" xfId="0" applyBorder="1" applyAlignment="1"/>
    <xf numFmtId="0" fontId="67" fillId="0" borderId="5" xfId="10" applyFill="1" applyBorder="1" applyAlignment="1"/>
    <xf numFmtId="0" fontId="0" fillId="0" borderId="0" xfId="0" applyAlignment="1">
      <alignment horizontal="center" vertical="top"/>
    </xf>
    <xf numFmtId="49" fontId="0" fillId="0" borderId="2" xfId="0" applyNumberFormat="1" applyFont="1" applyFill="1" applyBorder="1" applyAlignment="1">
      <alignment horizontal="left" indent="2"/>
    </xf>
    <xf numFmtId="3" fontId="0" fillId="0" borderId="0" xfId="0" applyNumberFormat="1" applyBorder="1" applyAlignment="1">
      <alignment horizontal="left" vertical="top"/>
    </xf>
    <xf numFmtId="3" fontId="66" fillId="0" borderId="0" xfId="0" applyNumberFormat="1" applyFont="1" applyBorder="1" applyAlignment="1">
      <alignment horizontal="left" vertical="top"/>
    </xf>
    <xf numFmtId="3" fontId="0" fillId="22" borderId="0" xfId="0" applyNumberFormat="1" applyFill="1" applyAlignment="1">
      <alignment horizontal="right" vertical="top"/>
    </xf>
    <xf numFmtId="3" fontId="0" fillId="0" borderId="0" xfId="0" applyNumberFormat="1" applyFont="1" applyFill="1" applyAlignment="1">
      <alignment horizontal="left" vertical="top"/>
    </xf>
    <xf numFmtId="165" fontId="0" fillId="0" borderId="0" xfId="0" applyNumberFormat="1" applyFont="1" applyFill="1" applyBorder="1" applyAlignment="1">
      <alignment horizontal="left" vertical="top"/>
    </xf>
    <xf numFmtId="181" fontId="0" fillId="0" borderId="0" xfId="0" applyNumberFormat="1" applyFont="1" applyFill="1" applyBorder="1" applyAlignment="1">
      <alignment horizontal="left"/>
    </xf>
    <xf numFmtId="181" fontId="0" fillId="0" borderId="0" xfId="0" applyNumberFormat="1" applyFont="1" applyFill="1" applyBorder="1" applyAlignment="1">
      <alignment horizontal="right"/>
    </xf>
    <xf numFmtId="181" fontId="0" fillId="0" borderId="0" xfId="0" applyNumberFormat="1" applyFont="1" applyFill="1">
      <alignment vertical="top"/>
    </xf>
    <xf numFmtId="181" fontId="8" fillId="30" borderId="0" xfId="0" applyNumberFormat="1" applyFont="1" applyFill="1" applyBorder="1" applyAlignment="1"/>
    <xf numFmtId="181" fontId="0" fillId="30" borderId="0" xfId="0" applyNumberFormat="1" applyFont="1" applyFill="1" applyAlignment="1">
      <alignment vertical="top"/>
    </xf>
    <xf numFmtId="3" fontId="0" fillId="30" borderId="0" xfId="0" applyNumberFormat="1" applyFont="1" applyFill="1" applyAlignment="1">
      <alignment vertical="top"/>
    </xf>
    <xf numFmtId="49" fontId="0" fillId="0" borderId="2" xfId="0" applyNumberFormat="1" applyFont="1" applyFill="1" applyBorder="1" applyAlignment="1">
      <alignment horizontal="left" indent="3"/>
    </xf>
    <xf numFmtId="3" fontId="66" fillId="22" borderId="0" xfId="0" applyNumberFormat="1" applyFont="1" applyFill="1" applyBorder="1" applyAlignment="1">
      <alignment horizontal="right"/>
    </xf>
    <xf numFmtId="181" fontId="54" fillId="0" borderId="0" xfId="1" quotePrefix="1" applyNumberFormat="1" applyFont="1" applyFill="1" applyAlignment="1">
      <alignment vertical="top"/>
    </xf>
    <xf numFmtId="1" fontId="54" fillId="23" borderId="0" xfId="1" applyNumberFormat="1" applyFont="1" applyFill="1" applyBorder="1" applyAlignment="1">
      <alignment horizontal="right" vertical="top"/>
    </xf>
    <xf numFmtId="0" fontId="8" fillId="24" borderId="0" xfId="0" applyFont="1" applyFill="1" applyAlignment="1"/>
    <xf numFmtId="0" fontId="8" fillId="0" borderId="0" xfId="0" applyFont="1" applyFill="1" applyAlignment="1">
      <alignment horizontal="center" vertical="top"/>
    </xf>
    <xf numFmtId="181" fontId="0" fillId="0" borderId="0" xfId="0" applyNumberFormat="1" applyFont="1" applyFill="1" applyBorder="1" applyAlignment="1">
      <alignment horizontal="left" vertical="top"/>
    </xf>
    <xf numFmtId="181" fontId="74" fillId="29" borderId="0" xfId="0" applyNumberFormat="1" applyFont="1" applyFill="1" applyBorder="1" applyAlignment="1"/>
    <xf numFmtId="3" fontId="74" fillId="29" borderId="0" xfId="0" applyNumberFormat="1" applyFont="1" applyFill="1" applyBorder="1" applyAlignment="1">
      <alignment horizontal="left"/>
    </xf>
    <xf numFmtId="49" fontId="74" fillId="29" borderId="0" xfId="0" applyNumberFormat="1" applyFont="1" applyFill="1" applyBorder="1" applyAlignment="1">
      <alignment horizontal="left"/>
    </xf>
    <xf numFmtId="43" fontId="0" fillId="0" borderId="0" xfId="0" applyNumberFormat="1" applyFill="1" applyBorder="1">
      <alignment vertical="top"/>
    </xf>
    <xf numFmtId="164" fontId="7" fillId="0" borderId="0" xfId="0" applyNumberFormat="1" applyFont="1" applyFill="1" applyBorder="1" applyAlignment="1">
      <alignment horizontal="right"/>
    </xf>
    <xf numFmtId="170" fontId="0" fillId="0" borderId="0" xfId="0" applyNumberFormat="1" applyFill="1" applyBorder="1">
      <alignment vertical="top"/>
    </xf>
    <xf numFmtId="49" fontId="8" fillId="0" borderId="2" xfId="0" applyNumberFormat="1" applyFont="1" applyBorder="1">
      <alignment vertical="top"/>
    </xf>
    <xf numFmtId="49" fontId="8" fillId="0" borderId="0" xfId="0" applyNumberFormat="1" applyFont="1" applyBorder="1">
      <alignment vertical="top"/>
    </xf>
    <xf numFmtId="49" fontId="8" fillId="0" borderId="0" xfId="0" applyNumberFormat="1" applyFont="1" applyBorder="1" applyAlignment="1">
      <alignment vertical="top"/>
    </xf>
    <xf numFmtId="0" fontId="8" fillId="0" borderId="5" xfId="0" applyFont="1" applyBorder="1">
      <alignment vertical="top"/>
    </xf>
    <xf numFmtId="1" fontId="8" fillId="0" borderId="5" xfId="0" applyNumberFormat="1" applyFont="1" applyFill="1" applyBorder="1">
      <alignment vertical="top"/>
    </xf>
    <xf numFmtId="0" fontId="8" fillId="0" borderId="5" xfId="0" applyFont="1" applyFill="1" applyBorder="1">
      <alignment vertical="top"/>
    </xf>
    <xf numFmtId="49" fontId="8" fillId="24" borderId="2" xfId="0" applyNumberFormat="1" applyFont="1" applyFill="1" applyBorder="1">
      <alignment vertical="top"/>
    </xf>
    <xf numFmtId="49" fontId="8" fillId="24" borderId="0" xfId="0" applyNumberFormat="1" applyFont="1" applyFill="1" applyBorder="1">
      <alignment vertical="top"/>
    </xf>
    <xf numFmtId="0" fontId="8" fillId="24" borderId="5" xfId="0" applyFont="1" applyFill="1" applyBorder="1">
      <alignment vertical="top"/>
    </xf>
    <xf numFmtId="0" fontId="8" fillId="24" borderId="0" xfId="0" applyFont="1" applyFill="1" applyBorder="1">
      <alignment vertical="top"/>
    </xf>
    <xf numFmtId="0" fontId="8" fillId="24" borderId="2" xfId="0" applyFont="1" applyFill="1" applyBorder="1">
      <alignment vertical="top"/>
    </xf>
    <xf numFmtId="183" fontId="0" fillId="0" borderId="0" xfId="0" applyNumberFormat="1" applyBorder="1">
      <alignment vertical="top"/>
    </xf>
    <xf numFmtId="181" fontId="8" fillId="0" borderId="0" xfId="0" applyNumberFormat="1" applyFont="1" applyBorder="1">
      <alignment vertical="top"/>
    </xf>
    <xf numFmtId="181" fontId="8" fillId="24" borderId="0" xfId="0" applyNumberFormat="1" applyFont="1" applyFill="1" applyBorder="1">
      <alignment vertical="top"/>
    </xf>
    <xf numFmtId="183" fontId="0" fillId="0" borderId="0" xfId="0" applyNumberFormat="1" applyFill="1" applyBorder="1">
      <alignment vertical="top"/>
    </xf>
    <xf numFmtId="4" fontId="8" fillId="0" borderId="0" xfId="0" applyNumberFormat="1" applyFont="1" applyFill="1" applyBorder="1" applyAlignment="1">
      <alignment horizontal="right"/>
    </xf>
    <xf numFmtId="181" fontId="0" fillId="0" borderId="5" xfId="0" applyNumberFormat="1" applyFont="1" applyFill="1" applyBorder="1" applyAlignment="1"/>
    <xf numFmtId="0" fontId="0" fillId="0" borderId="2" xfId="0" applyNumberFormat="1" applyFont="1" applyFill="1" applyBorder="1" applyAlignment="1">
      <alignment horizontal="left" indent="1"/>
    </xf>
    <xf numFmtId="2" fontId="54" fillId="0" borderId="0" xfId="0" applyNumberFormat="1" applyFont="1" applyFill="1" applyBorder="1" applyAlignment="1"/>
    <xf numFmtId="43" fontId="0" fillId="0" borderId="0" xfId="0" applyNumberFormat="1">
      <alignment vertical="top"/>
    </xf>
    <xf numFmtId="181" fontId="0" fillId="0" borderId="0" xfId="0" applyNumberFormat="1">
      <alignment vertical="top"/>
    </xf>
    <xf numFmtId="0" fontId="0" fillId="0" borderId="2" xfId="0" applyFill="1" applyBorder="1" applyAlignment="1">
      <alignment horizontal="left" vertical="top" indent="1"/>
    </xf>
    <xf numFmtId="2" fontId="54" fillId="0" borderId="0" xfId="0" applyNumberFormat="1" applyFont="1" applyFill="1" applyBorder="1" applyAlignment="1">
      <alignment horizontal="left" vertical="top"/>
    </xf>
    <xf numFmtId="0" fontId="90" fillId="0" borderId="0" xfId="0" applyFont="1" applyFill="1" applyAlignment="1">
      <alignment horizontal="left" vertical="top"/>
    </xf>
    <xf numFmtId="165" fontId="85" fillId="0" borderId="0" xfId="0" applyNumberFormat="1" applyFont="1" applyFill="1" applyBorder="1" applyAlignment="1">
      <alignment horizontal="right" vertical="top"/>
    </xf>
    <xf numFmtId="0" fontId="54" fillId="11" borderId="0" xfId="0" applyNumberFormat="1" applyFont="1" applyFill="1" applyBorder="1" applyAlignment="1">
      <alignment horizontal="right" vertical="top"/>
    </xf>
    <xf numFmtId="0" fontId="129" fillId="11" borderId="0" xfId="0" applyFont="1" applyFill="1" applyAlignment="1">
      <alignment horizontal="left" vertical="top"/>
    </xf>
    <xf numFmtId="3" fontId="54" fillId="0" borderId="0" xfId="0" applyNumberFormat="1" applyFont="1" applyBorder="1" applyAlignment="1">
      <alignment horizontal="right" vertical="top"/>
    </xf>
    <xf numFmtId="0" fontId="54" fillId="0" borderId="0" xfId="0" applyNumberFormat="1" applyFont="1" applyFill="1" applyBorder="1" applyAlignment="1">
      <alignment horizontal="left" vertical="top"/>
    </xf>
    <xf numFmtId="3" fontId="85" fillId="0" borderId="0" xfId="0" applyNumberFormat="1" applyFont="1" applyBorder="1" applyAlignment="1">
      <alignment horizontal="right" vertical="top"/>
    </xf>
    <xf numFmtId="165" fontId="85" fillId="0" borderId="0" xfId="0" applyNumberFormat="1" applyFont="1" applyBorder="1" applyAlignment="1">
      <alignment horizontal="right" vertical="top"/>
    </xf>
    <xf numFmtId="0" fontId="85" fillId="0" borderId="0" xfId="0" applyNumberFormat="1" applyFont="1" applyFill="1" applyBorder="1" applyAlignment="1">
      <alignment horizontal="left" vertical="top"/>
    </xf>
    <xf numFmtId="0" fontId="90" fillId="0" borderId="0" xfId="0" applyNumberFormat="1" applyFont="1" applyFill="1" applyBorder="1" applyAlignment="1">
      <alignment horizontal="left" vertical="top"/>
    </xf>
    <xf numFmtId="170" fontId="54" fillId="0" borderId="0" xfId="1" applyNumberFormat="1" applyFont="1" applyFill="1" applyBorder="1" applyAlignment="1">
      <alignment vertical="top"/>
    </xf>
    <xf numFmtId="2" fontId="85" fillId="0" borderId="0" xfId="1" applyNumberFormat="1" applyFont="1" applyFill="1" applyBorder="1" applyAlignment="1">
      <alignment vertical="top"/>
    </xf>
    <xf numFmtId="2" fontId="85" fillId="0" borderId="0" xfId="0" applyNumberFormat="1" applyFont="1" applyFill="1" applyBorder="1" applyAlignment="1">
      <alignment vertical="top"/>
    </xf>
    <xf numFmtId="181" fontId="112" fillId="20" borderId="41" xfId="1" applyNumberFormat="1" applyFont="1" applyFill="1" applyBorder="1" applyAlignment="1"/>
    <xf numFmtId="181" fontId="108" fillId="20" borderId="41" xfId="1" applyNumberFormat="1" applyFont="1" applyFill="1" applyBorder="1" applyAlignment="1"/>
    <xf numFmtId="181" fontId="112" fillId="20" borderId="42" xfId="1" applyNumberFormat="1" applyFont="1" applyFill="1" applyBorder="1" applyAlignment="1"/>
    <xf numFmtId="182" fontId="108" fillId="20" borderId="41" xfId="1" applyNumberFormat="1" applyFont="1" applyFill="1" applyBorder="1" applyAlignment="1"/>
    <xf numFmtId="182" fontId="108" fillId="20" borderId="42" xfId="1" applyNumberFormat="1" applyFont="1" applyFill="1" applyBorder="1" applyAlignment="1"/>
    <xf numFmtId="181" fontId="54" fillId="0" borderId="0" xfId="1" applyNumberFormat="1" applyFont="1" applyFill="1" applyAlignment="1">
      <alignment vertical="top"/>
    </xf>
    <xf numFmtId="3" fontId="54" fillId="0" borderId="0" xfId="0" applyNumberFormat="1" applyFont="1" applyFill="1">
      <alignment vertical="top"/>
    </xf>
    <xf numFmtId="1" fontId="54" fillId="0" borderId="0" xfId="0" applyNumberFormat="1" applyFont="1" applyFill="1">
      <alignment vertical="top"/>
    </xf>
    <xf numFmtId="0" fontId="54" fillId="0" borderId="0" xfId="0" applyFont="1" applyFill="1">
      <alignment vertical="top"/>
    </xf>
    <xf numFmtId="181" fontId="0" fillId="0" borderId="0" xfId="0" applyNumberFormat="1" applyFill="1" applyAlignment="1"/>
    <xf numFmtId="0" fontId="85" fillId="0" borderId="0" xfId="0" applyFont="1" applyAlignment="1">
      <alignment horizontal="left" vertical="top"/>
    </xf>
    <xf numFmtId="9" fontId="7" fillId="0" borderId="0" xfId="1" applyNumberFormat="1" applyFont="1" applyFill="1" applyBorder="1" applyAlignment="1">
      <alignment horizontal="right"/>
    </xf>
    <xf numFmtId="9" fontId="7" fillId="23" borderId="0" xfId="1" applyNumberFormat="1" applyFont="1" applyFill="1" applyBorder="1" applyAlignment="1">
      <alignment horizontal="right" vertical="top"/>
    </xf>
    <xf numFmtId="43" fontId="7" fillId="0" borderId="0" xfId="1" applyFont="1" applyFill="1" applyAlignment="1"/>
    <xf numFmtId="43" fontId="8" fillId="0" borderId="0" xfId="1" applyFont="1" applyFill="1" applyBorder="1" applyAlignment="1">
      <alignment horizontal="left" vertical="top"/>
    </xf>
    <xf numFmtId="165" fontId="0" fillId="0" borderId="0" xfId="0" applyNumberFormat="1" applyFont="1" applyFill="1" applyBorder="1" applyAlignment="1">
      <alignment horizontal="center" vertical="top"/>
    </xf>
    <xf numFmtId="0" fontId="0" fillId="0" borderId="5" xfId="0" applyNumberFormat="1" applyFill="1" applyBorder="1" applyAlignment="1">
      <alignment vertical="top"/>
    </xf>
    <xf numFmtId="3" fontId="0" fillId="0" borderId="5" xfId="0" applyNumberFormat="1" applyBorder="1" applyAlignment="1">
      <alignment vertical="top"/>
    </xf>
    <xf numFmtId="0" fontId="0" fillId="0" borderId="0" xfId="0" applyFont="1" applyBorder="1" applyAlignment="1">
      <alignment horizontal="center" vertical="top"/>
    </xf>
    <xf numFmtId="181" fontId="8" fillId="0" borderId="0" xfId="0" applyNumberFormat="1" applyFont="1" applyFill="1">
      <alignment vertical="top"/>
    </xf>
    <xf numFmtId="43" fontId="2" fillId="0" borderId="0" xfId="1" applyNumberFormat="1" applyFont="1" applyAlignment="1">
      <alignment horizontal="right" vertical="center"/>
    </xf>
    <xf numFmtId="43" fontId="0" fillId="30" borderId="0" xfId="0" applyNumberFormat="1" applyFont="1" applyFill="1" applyBorder="1" applyAlignment="1"/>
    <xf numFmtId="175" fontId="8" fillId="0" borderId="0" xfId="0" applyNumberFormat="1" applyFont="1" applyFill="1" applyBorder="1" applyAlignment="1">
      <alignment horizontal="right"/>
    </xf>
    <xf numFmtId="183" fontId="54" fillId="0" borderId="0" xfId="1" applyNumberFormat="1" applyFont="1" applyAlignment="1">
      <alignment vertical="top"/>
    </xf>
    <xf numFmtId="9" fontId="0" fillId="0" borderId="0" xfId="0" applyNumberFormat="1" applyFont="1" applyBorder="1" applyAlignment="1">
      <alignment horizontal="left" vertical="top"/>
    </xf>
    <xf numFmtId="178" fontId="0" fillId="0" borderId="0" xfId="0" applyNumberFormat="1" applyFont="1" applyBorder="1" applyAlignment="1">
      <alignment horizontal="left" vertical="top"/>
    </xf>
    <xf numFmtId="4" fontId="0" fillId="0" borderId="0" xfId="0" applyNumberFormat="1" applyFont="1" applyBorder="1" applyAlignment="1">
      <alignment horizontal="left" vertical="top"/>
    </xf>
    <xf numFmtId="4" fontId="0" fillId="0" borderId="0" xfId="0" applyNumberFormat="1" applyFont="1" applyBorder="1" applyAlignment="1">
      <alignment vertical="top"/>
    </xf>
    <xf numFmtId="164" fontId="0" fillId="0" borderId="0" xfId="0" applyNumberFormat="1" applyFont="1" applyBorder="1" applyAlignment="1">
      <alignment vertical="top"/>
    </xf>
    <xf numFmtId="4" fontId="0" fillId="0" borderId="2" xfId="0" applyNumberFormat="1" applyFont="1" applyBorder="1" applyAlignment="1">
      <alignment vertical="top"/>
    </xf>
    <xf numFmtId="183" fontId="0" fillId="0" borderId="2" xfId="0" applyNumberFormat="1" applyFont="1" applyBorder="1" applyAlignment="1">
      <alignment vertical="top"/>
    </xf>
    <xf numFmtId="49" fontId="0" fillId="0" borderId="0" xfId="0" applyNumberFormat="1">
      <alignment vertical="top"/>
    </xf>
    <xf numFmtId="49" fontId="20" fillId="0" borderId="0" xfId="0" applyNumberFormat="1" applyFont="1" applyFill="1" applyBorder="1" applyAlignment="1">
      <alignment horizontal="center"/>
    </xf>
    <xf numFmtId="49" fontId="8" fillId="0" borderId="0" xfId="0" applyNumberFormat="1" applyFont="1" applyFill="1" applyAlignment="1">
      <alignment horizontal="left"/>
    </xf>
    <xf numFmtId="181" fontId="0" fillId="0" borderId="0" xfId="0" applyNumberFormat="1" applyFill="1">
      <alignment vertical="top"/>
    </xf>
    <xf numFmtId="181" fontId="39" fillId="0" borderId="0" xfId="0" applyNumberFormat="1" applyFont="1" applyFill="1">
      <alignment vertical="top"/>
    </xf>
    <xf numFmtId="181" fontId="0" fillId="0" borderId="0" xfId="0" applyNumberFormat="1" applyFill="1" applyBorder="1" applyAlignment="1">
      <alignment horizontal="center" vertical="top"/>
    </xf>
    <xf numFmtId="181" fontId="32" fillId="0" borderId="2" xfId="0" applyNumberFormat="1" applyFont="1" applyFill="1" applyBorder="1" applyAlignment="1">
      <alignment horizontal="left" vertical="top"/>
    </xf>
    <xf numFmtId="181" fontId="0" fillId="23" borderId="0" xfId="1" applyNumberFormat="1" applyFont="1" applyFill="1" applyBorder="1" applyAlignment="1">
      <alignment horizontal="right"/>
    </xf>
    <xf numFmtId="0" fontId="0" fillId="7" borderId="0" xfId="0" applyFont="1" applyFill="1" applyBorder="1">
      <alignment vertical="top"/>
    </xf>
    <xf numFmtId="181" fontId="54" fillId="0" borderId="0" xfId="0" applyNumberFormat="1" applyFont="1">
      <alignment vertical="top"/>
    </xf>
    <xf numFmtId="3" fontId="8" fillId="0" borderId="0" xfId="1" applyNumberFormat="1" applyFont="1" applyFill="1" applyBorder="1" applyAlignment="1">
      <alignment horizontal="right" vertical="top"/>
    </xf>
    <xf numFmtId="0" fontId="66" fillId="0" borderId="0" xfId="0" applyNumberFormat="1" applyFont="1" applyBorder="1" applyAlignment="1">
      <alignment vertical="top"/>
    </xf>
    <xf numFmtId="9" fontId="54" fillId="0" borderId="0" xfId="0" applyNumberFormat="1" applyFont="1">
      <alignment vertical="top"/>
    </xf>
    <xf numFmtId="0" fontId="45" fillId="9" borderId="25" xfId="0" applyFont="1" applyFill="1" applyBorder="1" applyAlignment="1">
      <alignment horizontal="left" wrapText="1"/>
    </xf>
    <xf numFmtId="0" fontId="45" fillId="9" borderId="17" xfId="0" applyFont="1" applyFill="1" applyBorder="1" applyAlignment="1">
      <alignment horizontal="left" wrapText="1"/>
    </xf>
    <xf numFmtId="0" fontId="8" fillId="6" borderId="7" xfId="0" applyNumberFormat="1" applyFont="1" applyFill="1" applyBorder="1" applyAlignment="1">
      <alignment horizontal="center"/>
    </xf>
    <xf numFmtId="49" fontId="8" fillId="6" borderId="7" xfId="0" applyNumberFormat="1" applyFont="1" applyFill="1" applyBorder="1" applyAlignment="1">
      <alignment horizontal="center" vertical="top"/>
    </xf>
    <xf numFmtId="181" fontId="8" fillId="0" borderId="7" xfId="1" applyNumberFormat="1" applyFont="1" applyBorder="1" applyAlignment="1">
      <alignment horizontal="center"/>
    </xf>
    <xf numFmtId="0" fontId="79" fillId="20" borderId="7" xfId="0" applyFont="1" applyFill="1" applyBorder="1" applyAlignment="1">
      <alignment vertical="center"/>
    </xf>
    <xf numFmtId="0" fontId="78" fillId="0" borderId="0" xfId="0" applyFont="1" applyFill="1" applyBorder="1" applyAlignment="1">
      <alignment vertical="center"/>
    </xf>
    <xf numFmtId="165" fontId="78" fillId="0" borderId="0" xfId="1" applyNumberFormat="1" applyFont="1" applyFill="1" applyBorder="1" applyAlignment="1">
      <alignment horizontal="center" vertical="center" wrapText="1"/>
    </xf>
    <xf numFmtId="182" fontId="78" fillId="0" borderId="0" xfId="1" applyNumberFormat="1" applyFont="1" applyFill="1" applyBorder="1" applyAlignment="1">
      <alignment horizontal="center" vertical="center" wrapText="1"/>
    </xf>
    <xf numFmtId="181" fontId="78" fillId="0" borderId="0" xfId="1" applyNumberFormat="1" applyFont="1" applyFill="1" applyBorder="1" applyAlignment="1">
      <alignment vertical="center"/>
    </xf>
    <xf numFmtId="43" fontId="78" fillId="0" borderId="0" xfId="1" applyNumberFormat="1" applyFont="1" applyFill="1" applyBorder="1" applyAlignment="1">
      <alignment vertical="center" wrapText="1"/>
    </xf>
    <xf numFmtId="181" fontId="78" fillId="0" borderId="0" xfId="1" applyNumberFormat="1" applyFont="1" applyFill="1" applyBorder="1" applyAlignment="1">
      <alignment horizontal="center" vertical="center" wrapText="1"/>
    </xf>
    <xf numFmtId="43" fontId="78" fillId="0" borderId="0" xfId="1" applyNumberFormat="1" applyFont="1" applyFill="1" applyBorder="1" applyAlignment="1">
      <alignment horizontal="center" vertical="center" wrapText="1"/>
    </xf>
    <xf numFmtId="0" fontId="102" fillId="0" borderId="0" xfId="0" applyFont="1" applyBorder="1" applyAlignment="1">
      <alignment horizontal="left" vertical="top" wrapText="1"/>
    </xf>
    <xf numFmtId="0" fontId="8" fillId="0" borderId="5" xfId="0" applyFont="1" applyBorder="1" applyAlignment="1">
      <alignment horizontal="center"/>
    </xf>
    <xf numFmtId="0" fontId="8" fillId="0" borderId="0" xfId="0" applyFont="1" applyBorder="1" applyAlignment="1">
      <alignment horizontal="center"/>
    </xf>
    <xf numFmtId="0" fontId="8"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0" xfId="0" applyFont="1" applyBorder="1" applyAlignment="1">
      <alignment horizontal="center"/>
    </xf>
    <xf numFmtId="0" fontId="0" fillId="0" borderId="2" xfId="0" applyFont="1" applyBorder="1" applyAlignment="1">
      <alignment horizontal="center"/>
    </xf>
    <xf numFmtId="0" fontId="8" fillId="0" borderId="5" xfId="0" applyFont="1" applyFill="1" applyBorder="1" applyAlignment="1">
      <alignment horizontal="center"/>
    </xf>
    <xf numFmtId="0" fontId="0" fillId="0" borderId="0" xfId="0" applyFill="1" applyAlignment="1">
      <alignment horizontal="center"/>
    </xf>
    <xf numFmtId="0" fontId="0" fillId="0" borderId="2" xfId="0" applyFill="1" applyBorder="1" applyAlignment="1">
      <alignment horizontal="center"/>
    </xf>
    <xf numFmtId="49" fontId="8" fillId="0" borderId="0" xfId="0" applyNumberFormat="1" applyFont="1" applyBorder="1" applyAlignment="1">
      <alignment horizontal="center"/>
    </xf>
    <xf numFmtId="181" fontId="8" fillId="0" borderId="5" xfId="1" applyNumberFormat="1"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2" fontId="8" fillId="0" borderId="5" xfId="0" applyNumberFormat="1" applyFont="1" applyBorder="1" applyAlignment="1">
      <alignment horizontal="center"/>
    </xf>
    <xf numFmtId="2" fontId="8" fillId="0" borderId="0" xfId="0" applyNumberFormat="1" applyFont="1" applyBorder="1" applyAlignment="1">
      <alignment horizontal="center"/>
    </xf>
    <xf numFmtId="2" fontId="8" fillId="0" borderId="2" xfId="0" applyNumberFormat="1" applyFont="1" applyBorder="1" applyAlignment="1">
      <alignment horizontal="center"/>
    </xf>
    <xf numFmtId="0" fontId="0" fillId="0" borderId="0" xfId="0" applyFont="1" applyAlignment="1">
      <alignment horizontal="center"/>
    </xf>
    <xf numFmtId="49" fontId="8" fillId="0" borderId="5" xfId="1" applyNumberFormat="1" applyFont="1" applyBorder="1" applyAlignment="1">
      <alignment horizontal="center"/>
    </xf>
    <xf numFmtId="49" fontId="8" fillId="0" borderId="0" xfId="1" applyNumberFormat="1" applyFont="1" applyBorder="1" applyAlignment="1">
      <alignment horizontal="center"/>
    </xf>
    <xf numFmtId="49" fontId="20" fillId="0" borderId="2" xfId="1" applyNumberFormat="1" applyFont="1" applyBorder="1" applyAlignment="1">
      <alignment horizontal="center"/>
    </xf>
    <xf numFmtId="0" fontId="20" fillId="0" borderId="2" xfId="0" applyFont="1" applyBorder="1" applyAlignment="1">
      <alignment horizontal="center"/>
    </xf>
    <xf numFmtId="49" fontId="8" fillId="0" borderId="2" xfId="1" applyNumberFormat="1" applyFont="1" applyBorder="1" applyAlignment="1">
      <alignment horizontal="center"/>
    </xf>
    <xf numFmtId="0" fontId="8" fillId="0" borderId="0" xfId="0" applyFont="1" applyAlignment="1">
      <alignment horizontal="center"/>
    </xf>
    <xf numFmtId="0" fontId="6" fillId="16" borderId="0" xfId="0" applyFont="1" applyFill="1" applyAlignment="1"/>
    <xf numFmtId="0" fontId="0" fillId="16" borderId="0" xfId="0" applyFill="1" applyAlignment="1"/>
    <xf numFmtId="0" fontId="0" fillId="16" borderId="0" xfId="0" applyFill="1" applyAlignment="1">
      <alignment vertical="top"/>
    </xf>
    <xf numFmtId="0" fontId="8" fillId="16" borderId="2" xfId="0" applyNumberFormat="1" applyFont="1" applyFill="1" applyBorder="1" applyAlignment="1">
      <alignment horizontal="left"/>
    </xf>
    <xf numFmtId="0" fontId="0" fillId="0" borderId="0" xfId="0" applyAlignment="1">
      <alignment horizontal="left"/>
    </xf>
    <xf numFmtId="0" fontId="8" fillId="16" borderId="0" xfId="0" applyNumberFormat="1" applyFont="1" applyFill="1" applyBorder="1" applyAlignment="1">
      <alignment horizontal="left"/>
    </xf>
    <xf numFmtId="0" fontId="0" fillId="16" borderId="2" xfId="0" applyFill="1" applyBorder="1" applyAlignment="1">
      <alignment vertical="top"/>
    </xf>
    <xf numFmtId="49" fontId="85" fillId="0" borderId="5" xfId="1" applyNumberFormat="1" applyFont="1" applyBorder="1" applyAlignment="1">
      <alignment horizontal="center" vertical="top"/>
    </xf>
    <xf numFmtId="49" fontId="85" fillId="0" borderId="0" xfId="0" applyNumberFormat="1" applyFont="1" applyBorder="1" applyAlignment="1">
      <alignment horizontal="center" vertical="top"/>
    </xf>
    <xf numFmtId="0" fontId="54" fillId="0" borderId="0" xfId="0" applyFont="1" applyBorder="1" applyAlignment="1">
      <alignment horizontal="center" vertical="top"/>
    </xf>
    <xf numFmtId="0" fontId="85" fillId="0" borderId="5" xfId="0" applyFont="1" applyBorder="1" applyAlignment="1">
      <alignment horizontal="center" vertical="top"/>
    </xf>
    <xf numFmtId="0" fontId="85" fillId="0" borderId="0" xfId="0" applyFont="1" applyBorder="1" applyAlignment="1">
      <alignment horizontal="center" vertical="top"/>
    </xf>
    <xf numFmtId="0" fontId="54" fillId="0" borderId="2" xfId="0" applyFont="1" applyBorder="1" applyAlignment="1">
      <alignment horizontal="center" vertical="top"/>
    </xf>
    <xf numFmtId="0" fontId="0" fillId="0" borderId="5" xfId="0"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0" fillId="0" borderId="2" xfId="0" applyBorder="1" applyAlignment="1">
      <alignment horizontal="center" vertical="top"/>
    </xf>
  </cellXfs>
  <cellStyles count="13">
    <cellStyle name="Comma" xfId="1" builtinId="3"/>
    <cellStyle name="Currency" xfId="12" builtinId="4"/>
    <cellStyle name="Heading" xfId="2"/>
    <cellStyle name="Hyperlink" xfId="10" builtinId="8"/>
    <cellStyle name="Normal" xfId="0" builtinId="0"/>
    <cellStyle name="Normal_Ref" xfId="3"/>
    <cellStyle name="Percent" xfId="4" builtinId="5"/>
    <cellStyle name="Source Text" xfId="5"/>
    <cellStyle name="tableData" xfId="6"/>
    <cellStyle name="tableData 2" xfId="11"/>
    <cellStyle name="text" xfId="7"/>
    <cellStyle name="Title" xfId="8" builtinId="15" customBuiltin="1"/>
    <cellStyle name="Title_Ref" xfId="9"/>
  </cellStyles>
  <dxfs count="5">
    <dxf>
      <fill>
        <patternFill>
          <bgColor theme="2" tint="0.79998168889431442"/>
        </patternFill>
      </fill>
    </dxf>
    <dxf>
      <fill>
        <patternFill>
          <bgColor theme="2" tint="0.79998168889431442"/>
        </patternFill>
      </fill>
    </dxf>
    <dxf>
      <fill>
        <patternFill>
          <bgColor theme="2"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9">
    <tableStyle name="MySqlDefault" pivot="0" table="0" count="2">
      <tableStyleElement type="wholeTable" dxfId="4"/>
      <tableStyleElement type="headerRow"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F3333"/>
      <color rgb="FFFDC703"/>
      <color rgb="FFCFABD5"/>
      <color rgb="FFFF00FF"/>
      <color rgb="FF00FFFF"/>
      <color rgb="FFF7994B"/>
      <color rgb="FFB87ED8"/>
      <color rgb="FFE5D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revisionHeaders" Target="revisions/revisionHeader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642850094866"/>
          <c:y val="5.3349143539798624E-2"/>
          <c:w val="0.45008426578256677"/>
          <c:h val="0.81890367764943095"/>
        </c:manualLayout>
      </c:layout>
      <c:barChart>
        <c:barDir val="col"/>
        <c:grouping val="stacked"/>
        <c:varyColors val="0"/>
        <c:ser>
          <c:idx val="10"/>
          <c:order val="0"/>
          <c:tx>
            <c:strRef>
              <c:f>'03-08_ReportTbl'!$B$57</c:f>
              <c:strCache>
                <c:ptCount val="1"/>
                <c:pt idx="0">
                  <c:v>LAND USE CHANGE</c:v>
                </c:pt>
              </c:strCache>
            </c:strRef>
          </c:tx>
          <c:spPr>
            <a:solidFill>
              <a:srgbClr val="00B050"/>
            </a:solidFill>
          </c:spPr>
          <c:invertIfNegative val="0"/>
          <c:cat>
            <c:numRef>
              <c:f>'03-08_ReportTbl'!$F$2:$G$2</c:f>
              <c:numCache>
                <c:formatCode>General</c:formatCode>
                <c:ptCount val="2"/>
                <c:pt idx="0">
                  <c:v>2003</c:v>
                </c:pt>
                <c:pt idx="1">
                  <c:v>2008</c:v>
                </c:pt>
              </c:numCache>
            </c:numRef>
          </c:cat>
          <c:val>
            <c:numRef>
              <c:f>'03-08_ReportTbl'!$F$57:$G$57</c:f>
              <c:numCache>
                <c:formatCode>#,##0</c:formatCode>
                <c:ptCount val="2"/>
                <c:pt idx="0">
                  <c:v>122780.83821320487</c:v>
                </c:pt>
                <c:pt idx="1">
                  <c:v>53277.493728684618</c:v>
                </c:pt>
              </c:numCache>
            </c:numRef>
          </c:val>
          <c:extLst>
            <c:ext xmlns:c16="http://schemas.microsoft.com/office/drawing/2014/chart" uri="{C3380CC4-5D6E-409C-BE32-E72D297353CC}">
              <c16:uniqueId val="{00000000-2236-467B-BAC3-3FEC0DC077FD}"/>
            </c:ext>
          </c:extLst>
        </c:ser>
        <c:ser>
          <c:idx val="9"/>
          <c:order val="1"/>
          <c:tx>
            <c:strRef>
              <c:f>'03-08_ReportTbl'!$B$52</c:f>
              <c:strCache>
                <c:ptCount val="1"/>
                <c:pt idx="0">
                  <c:v>AGRICULTURE</c:v>
                </c:pt>
              </c:strCache>
            </c:strRef>
          </c:tx>
          <c:spPr>
            <a:solidFill>
              <a:srgbClr val="92D050"/>
            </a:solidFill>
          </c:spPr>
          <c:invertIfNegative val="0"/>
          <c:cat>
            <c:numRef>
              <c:f>'03-08_ReportTbl'!$F$2:$G$2</c:f>
              <c:numCache>
                <c:formatCode>General</c:formatCode>
                <c:ptCount val="2"/>
                <c:pt idx="0">
                  <c:v>2003</c:v>
                </c:pt>
                <c:pt idx="1">
                  <c:v>2008</c:v>
                </c:pt>
              </c:numCache>
            </c:numRef>
          </c:cat>
          <c:val>
            <c:numRef>
              <c:f>'03-08_ReportTbl'!$F$52:$G$52</c:f>
              <c:numCache>
                <c:formatCode>#,##0</c:formatCode>
                <c:ptCount val="2"/>
                <c:pt idx="0">
                  <c:v>144507.11507820163</c:v>
                </c:pt>
                <c:pt idx="1">
                  <c:v>157511.06932401942</c:v>
                </c:pt>
              </c:numCache>
            </c:numRef>
          </c:val>
          <c:extLst>
            <c:ext xmlns:c16="http://schemas.microsoft.com/office/drawing/2014/chart" uri="{C3380CC4-5D6E-409C-BE32-E72D297353CC}">
              <c16:uniqueId val="{00000001-2236-467B-BAC3-3FEC0DC077FD}"/>
            </c:ext>
          </c:extLst>
        </c:ser>
        <c:ser>
          <c:idx val="8"/>
          <c:order val="2"/>
          <c:tx>
            <c:v>Wast</c:v>
          </c:tx>
          <c:spPr>
            <a:solidFill>
              <a:srgbClr val="A6A6A6"/>
            </a:solidFill>
          </c:spPr>
          <c:invertIfNegative val="0"/>
          <c:cat>
            <c:numRef>
              <c:f>'03-08_ReportTbl'!$F$2:$G$2</c:f>
              <c:numCache>
                <c:formatCode>General</c:formatCode>
                <c:ptCount val="2"/>
                <c:pt idx="0">
                  <c:v>2003</c:v>
                </c:pt>
                <c:pt idx="1">
                  <c:v>2008</c:v>
                </c:pt>
              </c:numCache>
            </c:numRef>
          </c:cat>
          <c:val>
            <c:numRef>
              <c:f>'03-08_ReportTbl'!$F$48:$G$48</c:f>
              <c:numCache>
                <c:formatCode>#,##0</c:formatCode>
                <c:ptCount val="2"/>
                <c:pt idx="0">
                  <c:v>217928.54525733899</c:v>
                </c:pt>
                <c:pt idx="1">
                  <c:v>216716.8016784559</c:v>
                </c:pt>
              </c:numCache>
            </c:numRef>
          </c:val>
          <c:extLst>
            <c:ext xmlns:c16="http://schemas.microsoft.com/office/drawing/2014/chart" uri="{C3380CC4-5D6E-409C-BE32-E72D297353CC}">
              <c16:uniqueId val="{00000002-2236-467B-BAC3-3FEC0DC077FD}"/>
            </c:ext>
          </c:extLst>
        </c:ser>
        <c:ser>
          <c:idx val="7"/>
          <c:order val="3"/>
          <c:tx>
            <c:strRef>
              <c:f>'03-08_ReportTbl'!$C$44</c:f>
              <c:strCache>
                <c:ptCount val="1"/>
                <c:pt idx="0">
                  <c:v>Fugitive Gases</c:v>
                </c:pt>
              </c:strCache>
            </c:strRef>
          </c:tx>
          <c:spPr>
            <a:solidFill>
              <a:srgbClr val="CDAAE8"/>
            </a:solidFill>
          </c:spPr>
          <c:invertIfNegative val="0"/>
          <c:cat>
            <c:numRef>
              <c:f>'03-08_ReportTbl'!$F$2:$G$2</c:f>
              <c:numCache>
                <c:formatCode>General</c:formatCode>
                <c:ptCount val="2"/>
                <c:pt idx="0">
                  <c:v>2003</c:v>
                </c:pt>
                <c:pt idx="1">
                  <c:v>2008</c:v>
                </c:pt>
              </c:numCache>
            </c:numRef>
          </c:cat>
          <c:val>
            <c:numRef>
              <c:f>'03-08_ReportTbl'!$F$44:$G$44</c:f>
              <c:numCache>
                <c:formatCode>#,##0</c:formatCode>
                <c:ptCount val="2"/>
                <c:pt idx="0">
                  <c:v>592617.11735346261</c:v>
                </c:pt>
                <c:pt idx="1">
                  <c:v>731758.25221599825</c:v>
                </c:pt>
              </c:numCache>
            </c:numRef>
          </c:val>
          <c:extLst>
            <c:ext xmlns:c16="http://schemas.microsoft.com/office/drawing/2014/chart" uri="{C3380CC4-5D6E-409C-BE32-E72D297353CC}">
              <c16:uniqueId val="{00000003-2236-467B-BAC3-3FEC0DC077FD}"/>
            </c:ext>
          </c:extLst>
        </c:ser>
        <c:ser>
          <c:idx val="6"/>
          <c:order val="4"/>
          <c:tx>
            <c:strRef>
              <c:f>'03-08_ReportTbl'!$C$40</c:f>
              <c:strCache>
                <c:ptCount val="1"/>
                <c:pt idx="0">
                  <c:v>Process</c:v>
                </c:pt>
              </c:strCache>
            </c:strRef>
          </c:tx>
          <c:spPr>
            <a:solidFill>
              <a:srgbClr val="A244AC"/>
            </a:solidFill>
          </c:spPr>
          <c:invertIfNegative val="0"/>
          <c:cat>
            <c:numRef>
              <c:f>'03-08_ReportTbl'!$F$2:$G$2</c:f>
              <c:numCache>
                <c:formatCode>General</c:formatCode>
                <c:ptCount val="2"/>
                <c:pt idx="0">
                  <c:v>2003</c:v>
                </c:pt>
                <c:pt idx="1">
                  <c:v>2008</c:v>
                </c:pt>
              </c:numCache>
            </c:numRef>
          </c:cat>
          <c:val>
            <c:numRef>
              <c:f>'03-08_ReportTbl'!$F$40:$G$40</c:f>
              <c:numCache>
                <c:formatCode>#,##0</c:formatCode>
                <c:ptCount val="2"/>
                <c:pt idx="0">
                  <c:v>451499.23418948852</c:v>
                </c:pt>
                <c:pt idx="1">
                  <c:v>435007.8194521399</c:v>
                </c:pt>
              </c:numCache>
            </c:numRef>
          </c:val>
          <c:extLst>
            <c:ext xmlns:c16="http://schemas.microsoft.com/office/drawing/2014/chart" uri="{C3380CC4-5D6E-409C-BE32-E72D297353CC}">
              <c16:uniqueId val="{00000004-2236-467B-BAC3-3FEC0DC077FD}"/>
            </c:ext>
          </c:extLst>
        </c:ser>
        <c:ser>
          <c:idx val="5"/>
          <c:order val="5"/>
          <c:tx>
            <c:strRef>
              <c:f>'03-08_ReportTbl'!$C$32</c:f>
              <c:strCache>
                <c:ptCount val="1"/>
                <c:pt idx="0">
                  <c:v>Energy Use</c:v>
                </c:pt>
              </c:strCache>
            </c:strRef>
          </c:tx>
          <c:spPr>
            <a:solidFill>
              <a:srgbClr val="742DC3"/>
            </a:solidFill>
          </c:spPr>
          <c:invertIfNegative val="0"/>
          <c:cat>
            <c:numRef>
              <c:f>'03-08_ReportTbl'!$F$2:$G$2</c:f>
              <c:numCache>
                <c:formatCode>General</c:formatCode>
                <c:ptCount val="2"/>
                <c:pt idx="0">
                  <c:v>2003</c:v>
                </c:pt>
                <c:pt idx="1">
                  <c:v>2008</c:v>
                </c:pt>
              </c:numCache>
            </c:numRef>
          </c:cat>
          <c:val>
            <c:numRef>
              <c:f>'03-08_ReportTbl'!$F$32:$G$32</c:f>
              <c:numCache>
                <c:formatCode>#,##0</c:formatCode>
                <c:ptCount val="2"/>
                <c:pt idx="0">
                  <c:v>2170588.037865777</c:v>
                </c:pt>
                <c:pt idx="1">
                  <c:v>3349250.4500484993</c:v>
                </c:pt>
              </c:numCache>
            </c:numRef>
          </c:val>
          <c:extLst>
            <c:ext xmlns:c16="http://schemas.microsoft.com/office/drawing/2014/chart" uri="{C3380CC4-5D6E-409C-BE32-E72D297353CC}">
              <c16:uniqueId val="{00000005-2236-467B-BAC3-3FEC0DC077FD}"/>
            </c:ext>
          </c:extLst>
        </c:ser>
        <c:ser>
          <c:idx val="4"/>
          <c:order val="6"/>
          <c:tx>
            <c:strRef>
              <c:f>'03-08_ReportTbl'!$C$23</c:f>
              <c:strCache>
                <c:ptCount val="1"/>
                <c:pt idx="0">
                  <c:v>Commercial</c:v>
                </c:pt>
              </c:strCache>
            </c:strRef>
          </c:tx>
          <c:spPr>
            <a:solidFill>
              <a:srgbClr val="ECAF04"/>
            </a:solidFill>
          </c:spPr>
          <c:invertIfNegative val="0"/>
          <c:cat>
            <c:numRef>
              <c:f>'03-08_ReportTbl'!$F$2:$G$2</c:f>
              <c:numCache>
                <c:formatCode>General</c:formatCode>
                <c:ptCount val="2"/>
                <c:pt idx="0">
                  <c:v>2003</c:v>
                </c:pt>
                <c:pt idx="1">
                  <c:v>2008</c:v>
                </c:pt>
              </c:numCache>
            </c:numRef>
          </c:cat>
          <c:val>
            <c:numRef>
              <c:f>'03-08_ReportTbl'!$F$23:$G$23</c:f>
              <c:numCache>
                <c:formatCode>#,##0</c:formatCode>
                <c:ptCount val="2"/>
                <c:pt idx="0">
                  <c:v>3579791.8019358711</c:v>
                </c:pt>
                <c:pt idx="1">
                  <c:v>4044408.9108456257</c:v>
                </c:pt>
              </c:numCache>
            </c:numRef>
          </c:val>
          <c:extLst>
            <c:ext xmlns:c16="http://schemas.microsoft.com/office/drawing/2014/chart" uri="{C3380CC4-5D6E-409C-BE32-E72D297353CC}">
              <c16:uniqueId val="{00000006-2236-467B-BAC3-3FEC0DC077FD}"/>
            </c:ext>
          </c:extLst>
        </c:ser>
        <c:ser>
          <c:idx val="3"/>
          <c:order val="7"/>
          <c:tx>
            <c:strRef>
              <c:f>'03-08_ReportTbl'!$C$18</c:f>
              <c:strCache>
                <c:ptCount val="1"/>
                <c:pt idx="0">
                  <c:v>Residential</c:v>
                </c:pt>
              </c:strCache>
            </c:strRef>
          </c:tx>
          <c:spPr>
            <a:solidFill>
              <a:srgbClr val="DA6116"/>
            </a:solidFill>
          </c:spPr>
          <c:invertIfNegative val="0"/>
          <c:cat>
            <c:numRef>
              <c:f>'03-08_ReportTbl'!$F$2:$G$2</c:f>
              <c:numCache>
                <c:formatCode>General</c:formatCode>
                <c:ptCount val="2"/>
                <c:pt idx="0">
                  <c:v>2003</c:v>
                </c:pt>
                <c:pt idx="1">
                  <c:v>2008</c:v>
                </c:pt>
              </c:numCache>
            </c:numRef>
          </c:cat>
          <c:val>
            <c:numRef>
              <c:f>'03-08_ReportTbl'!$F$18:$G$18</c:f>
              <c:numCache>
                <c:formatCode>#,##0</c:formatCode>
                <c:ptCount val="2"/>
                <c:pt idx="0">
                  <c:v>3762582.2038882524</c:v>
                </c:pt>
                <c:pt idx="1">
                  <c:v>4136066.4948832104</c:v>
                </c:pt>
              </c:numCache>
            </c:numRef>
          </c:val>
          <c:extLst>
            <c:ext xmlns:c16="http://schemas.microsoft.com/office/drawing/2014/chart" uri="{C3380CC4-5D6E-409C-BE32-E72D297353CC}">
              <c16:uniqueId val="{00000007-2236-467B-BAC3-3FEC0DC077FD}"/>
            </c:ext>
          </c:extLst>
        </c:ser>
        <c:ser>
          <c:idx val="2"/>
          <c:order val="8"/>
          <c:tx>
            <c:strRef>
              <c:f>'03-08_ReportTbl'!$C$13</c:f>
              <c:strCache>
                <c:ptCount val="1"/>
                <c:pt idx="0">
                  <c:v>Air</c:v>
                </c:pt>
              </c:strCache>
            </c:strRef>
          </c:tx>
          <c:spPr>
            <a:solidFill>
              <a:srgbClr val="11BDDF"/>
            </a:solidFill>
          </c:spPr>
          <c:invertIfNegative val="0"/>
          <c:cat>
            <c:numRef>
              <c:f>'03-08_ReportTbl'!$F$2:$G$2</c:f>
              <c:numCache>
                <c:formatCode>General</c:formatCode>
                <c:ptCount val="2"/>
                <c:pt idx="0">
                  <c:v>2003</c:v>
                </c:pt>
                <c:pt idx="1">
                  <c:v>2008</c:v>
                </c:pt>
              </c:numCache>
            </c:numRef>
          </c:cat>
          <c:val>
            <c:numRef>
              <c:f>'03-08_ReportTbl'!$F$13:$G$13</c:f>
              <c:numCache>
                <c:formatCode>#,##0</c:formatCode>
                <c:ptCount val="2"/>
                <c:pt idx="0">
                  <c:v>1895030.034232178</c:v>
                </c:pt>
                <c:pt idx="1">
                  <c:v>2177035.102117118</c:v>
                </c:pt>
              </c:numCache>
            </c:numRef>
          </c:val>
          <c:extLst>
            <c:ext xmlns:c16="http://schemas.microsoft.com/office/drawing/2014/chart" uri="{C3380CC4-5D6E-409C-BE32-E72D297353CC}">
              <c16:uniqueId val="{00000008-2236-467B-BAC3-3FEC0DC077FD}"/>
            </c:ext>
          </c:extLst>
        </c:ser>
        <c:ser>
          <c:idx val="1"/>
          <c:order val="9"/>
          <c:tx>
            <c:strRef>
              <c:f>'03-08_ReportTbl'!$C$9</c:f>
              <c:strCache>
                <c:ptCount val="1"/>
                <c:pt idx="0">
                  <c:v>Marine &amp; Rail </c:v>
                </c:pt>
              </c:strCache>
            </c:strRef>
          </c:tx>
          <c:spPr>
            <a:solidFill>
              <a:srgbClr val="1A8AD6"/>
            </a:solidFill>
          </c:spPr>
          <c:invertIfNegative val="0"/>
          <c:cat>
            <c:numRef>
              <c:f>'03-08_ReportTbl'!$F$2:$G$2</c:f>
              <c:numCache>
                <c:formatCode>General</c:formatCode>
                <c:ptCount val="2"/>
                <c:pt idx="0">
                  <c:v>2003</c:v>
                </c:pt>
                <c:pt idx="1">
                  <c:v>2008</c:v>
                </c:pt>
              </c:numCache>
            </c:numRef>
          </c:cat>
          <c:val>
            <c:numRef>
              <c:f>'03-08_ReportTbl'!$F$9:$G$9</c:f>
              <c:numCache>
                <c:formatCode>#,##0</c:formatCode>
                <c:ptCount val="2"/>
                <c:pt idx="0">
                  <c:v>266120.67308702657</c:v>
                </c:pt>
                <c:pt idx="1">
                  <c:v>308876.38855566649</c:v>
                </c:pt>
              </c:numCache>
            </c:numRef>
          </c:val>
          <c:extLst>
            <c:ext xmlns:c16="http://schemas.microsoft.com/office/drawing/2014/chart" uri="{C3380CC4-5D6E-409C-BE32-E72D297353CC}">
              <c16:uniqueId val="{00000009-2236-467B-BAC3-3FEC0DC077FD}"/>
            </c:ext>
          </c:extLst>
        </c:ser>
        <c:ser>
          <c:idx val="0"/>
          <c:order val="10"/>
          <c:tx>
            <c:strRef>
              <c:f>'03-08_ReportTbl'!$C$5</c:f>
              <c:strCache>
                <c:ptCount val="1"/>
                <c:pt idx="0">
                  <c:v>Road </c:v>
                </c:pt>
              </c:strCache>
            </c:strRef>
          </c:tx>
          <c:spPr>
            <a:solidFill>
              <a:srgbClr val="350BE5"/>
            </a:solidFill>
          </c:spPr>
          <c:invertIfNegative val="0"/>
          <c:cat>
            <c:numRef>
              <c:f>'03-08_ReportTbl'!$F$2:$G$2</c:f>
              <c:numCache>
                <c:formatCode>General</c:formatCode>
                <c:ptCount val="2"/>
                <c:pt idx="0">
                  <c:v>2003</c:v>
                </c:pt>
                <c:pt idx="1">
                  <c:v>2008</c:v>
                </c:pt>
              </c:numCache>
            </c:numRef>
          </c:cat>
          <c:val>
            <c:numRef>
              <c:f>'03-08_ReportTbl'!$F$5:$G$5</c:f>
              <c:numCache>
                <c:formatCode>#,##0</c:formatCode>
                <c:ptCount val="2"/>
                <c:pt idx="0">
                  <c:v>9168576.8379433844</c:v>
                </c:pt>
                <c:pt idx="1">
                  <c:v>8867824.3366023097</c:v>
                </c:pt>
              </c:numCache>
            </c:numRef>
          </c:val>
          <c:extLst>
            <c:ext xmlns:c16="http://schemas.microsoft.com/office/drawing/2014/chart" uri="{C3380CC4-5D6E-409C-BE32-E72D297353CC}">
              <c16:uniqueId val="{0000000A-2236-467B-BAC3-3FEC0DC077FD}"/>
            </c:ext>
          </c:extLst>
        </c:ser>
        <c:dLbls>
          <c:showLegendKey val="0"/>
          <c:showVal val="0"/>
          <c:showCatName val="0"/>
          <c:showSerName val="0"/>
          <c:showPercent val="0"/>
          <c:showBubbleSize val="0"/>
        </c:dLbls>
        <c:gapWidth val="150"/>
        <c:overlap val="100"/>
        <c:axId val="241565088"/>
        <c:axId val="241568352"/>
      </c:barChart>
      <c:catAx>
        <c:axId val="241565088"/>
        <c:scaling>
          <c:orientation val="minMax"/>
        </c:scaling>
        <c:delete val="0"/>
        <c:axPos val="b"/>
        <c:title>
          <c:tx>
            <c:rich>
              <a:bodyPr/>
              <a:lstStyle/>
              <a:p>
                <a:pPr>
                  <a:defRPr/>
                </a:pPr>
                <a:r>
                  <a:rPr lang="en-US" sz="1200"/>
                  <a:t>Year</a:t>
                </a:r>
              </a:p>
            </c:rich>
          </c:tx>
          <c:overlay val="0"/>
        </c:title>
        <c:numFmt formatCode="General" sourceLinked="1"/>
        <c:majorTickMark val="out"/>
        <c:minorTickMark val="none"/>
        <c:tickLblPos val="nextTo"/>
        <c:txPr>
          <a:bodyPr/>
          <a:lstStyle/>
          <a:p>
            <a:pPr>
              <a:defRPr sz="1400"/>
            </a:pPr>
            <a:endParaRPr lang="en-US"/>
          </a:p>
        </c:txPr>
        <c:crossAx val="241568352"/>
        <c:crosses val="autoZero"/>
        <c:auto val="1"/>
        <c:lblAlgn val="ctr"/>
        <c:lblOffset val="100"/>
        <c:noMultiLvlLbl val="0"/>
      </c:catAx>
      <c:valAx>
        <c:axId val="241568352"/>
        <c:scaling>
          <c:orientation val="minMax"/>
        </c:scaling>
        <c:delete val="0"/>
        <c:axPos val="l"/>
        <c:majorGridlines/>
        <c:title>
          <c:tx>
            <c:rich>
              <a:bodyPr rot="-5400000" vert="horz"/>
              <a:lstStyle/>
              <a:p>
                <a:pPr>
                  <a:defRPr/>
                </a:pPr>
                <a:r>
                  <a:rPr lang="en-US" sz="1200"/>
                  <a:t>Metric</a:t>
                </a:r>
                <a:r>
                  <a:rPr lang="en-US" sz="1200" baseline="0"/>
                  <a:t> Tons </a:t>
                </a:r>
                <a:r>
                  <a:rPr lang="en-US" sz="1200"/>
                  <a:t>CO</a:t>
                </a:r>
                <a:r>
                  <a:rPr lang="en-US" sz="1200" baseline="-25000"/>
                  <a:t>2</a:t>
                </a:r>
                <a:r>
                  <a:rPr lang="en-US" sz="1200"/>
                  <a:t>e</a:t>
                </a:r>
              </a:p>
            </c:rich>
          </c:tx>
          <c:layout>
            <c:manualLayout>
              <c:xMode val="edge"/>
              <c:yMode val="edge"/>
              <c:x val="1.3950399057260702E-2"/>
              <c:y val="0.4142691582566263"/>
            </c:manualLayout>
          </c:layout>
          <c:overlay val="0"/>
        </c:title>
        <c:numFmt formatCode="#,##0" sourceLinked="1"/>
        <c:majorTickMark val="out"/>
        <c:minorTickMark val="none"/>
        <c:tickLblPos val="nextTo"/>
        <c:txPr>
          <a:bodyPr/>
          <a:lstStyle/>
          <a:p>
            <a:pPr>
              <a:defRPr sz="1200"/>
            </a:pPr>
            <a:endParaRPr lang="en-US"/>
          </a:p>
        </c:txPr>
        <c:crossAx val="241565088"/>
        <c:crosses val="autoZero"/>
        <c:crossBetween val="between"/>
      </c:valAx>
    </c:plotArea>
    <c:plotVisOnly val="1"/>
    <c:dispBlanksAs val="gap"/>
    <c:showDLblsOverMax val="0"/>
  </c:chart>
  <c:spPr>
    <a:ln>
      <a:noFill/>
    </a:ln>
  </c:spPr>
  <c:txPr>
    <a:bodyPr/>
    <a:lstStyle/>
    <a:p>
      <a:pPr>
        <a:defRPr sz="1800"/>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'03-08_SectorTbl'!$F$202</c:f>
              <c:strCache>
                <c:ptCount val="1"/>
                <c:pt idx="0">
                  <c:v>Cedar Hills landfill</c:v>
                </c:pt>
              </c:strCache>
            </c:strRef>
          </c:tx>
          <c:invertIfNegative val="0"/>
          <c:cat>
            <c:strRef>
              <c:f>'03-08_SectorTbl'!$G$201:$H$201</c:f>
              <c:strCache>
                <c:ptCount val="2"/>
                <c:pt idx="0">
                  <c:v>2003</c:v>
                </c:pt>
                <c:pt idx="1">
                  <c:v>2008</c:v>
                </c:pt>
              </c:strCache>
            </c:strRef>
          </c:cat>
          <c:val>
            <c:numRef>
              <c:f>'03-08_SectorTbl'!$G$202:$H$202</c:f>
              <c:numCache>
                <c:formatCode>#,##0</c:formatCode>
                <c:ptCount val="2"/>
                <c:pt idx="0">
                  <c:v>108363.43299638538</c:v>
                </c:pt>
                <c:pt idx="1">
                  <c:v>110690.6216177976</c:v>
                </c:pt>
              </c:numCache>
            </c:numRef>
          </c:val>
          <c:extLst>
            <c:ext xmlns:c16="http://schemas.microsoft.com/office/drawing/2014/chart" uri="{C3380CC4-5D6E-409C-BE32-E72D297353CC}">
              <c16:uniqueId val="{00000000-8392-47E2-ADFE-39AF6689A62F}"/>
            </c:ext>
          </c:extLst>
        </c:ser>
        <c:ser>
          <c:idx val="1"/>
          <c:order val="1"/>
          <c:tx>
            <c:strRef>
              <c:f>'03-08_SectorTbl'!$F$204</c:f>
              <c:strCache>
                <c:ptCount val="1"/>
                <c:pt idx="0">
                  <c:v>Wastewater Treatment </c:v>
                </c:pt>
              </c:strCache>
            </c:strRef>
          </c:tx>
          <c:invertIfNegative val="0"/>
          <c:cat>
            <c:strRef>
              <c:f>'03-08_SectorTbl'!$G$201:$H$201</c:f>
              <c:strCache>
                <c:ptCount val="2"/>
                <c:pt idx="0">
                  <c:v>2003</c:v>
                </c:pt>
                <c:pt idx="1">
                  <c:v>2008</c:v>
                </c:pt>
              </c:strCache>
            </c:strRef>
          </c:cat>
          <c:val>
            <c:numRef>
              <c:f>'03-08_SectorTbl'!$G$204:$H$204</c:f>
              <c:numCache>
                <c:formatCode>#,##0</c:formatCode>
                <c:ptCount val="2"/>
                <c:pt idx="0">
                  <c:v>3693.0787502028761</c:v>
                </c:pt>
                <c:pt idx="1">
                  <c:v>3931.9916906143217</c:v>
                </c:pt>
              </c:numCache>
            </c:numRef>
          </c:val>
          <c:extLst>
            <c:ext xmlns:c16="http://schemas.microsoft.com/office/drawing/2014/chart" uri="{C3380CC4-5D6E-409C-BE32-E72D297353CC}">
              <c16:uniqueId val="{00000001-8392-47E2-ADFE-39AF6689A62F}"/>
            </c:ext>
          </c:extLst>
        </c:ser>
        <c:dLbls>
          <c:showLegendKey val="0"/>
          <c:showVal val="0"/>
          <c:showCatName val="0"/>
          <c:showSerName val="0"/>
          <c:showPercent val="0"/>
          <c:showBubbleSize val="0"/>
        </c:dLbls>
        <c:gapWidth val="150"/>
        <c:overlap val="100"/>
        <c:axId val="362893216"/>
        <c:axId val="362889408"/>
      </c:barChart>
      <c:catAx>
        <c:axId val="362893216"/>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362889408"/>
        <c:crosses val="autoZero"/>
        <c:auto val="1"/>
        <c:lblAlgn val="ctr"/>
        <c:lblOffset val="100"/>
        <c:noMultiLvlLbl val="0"/>
      </c:catAx>
      <c:valAx>
        <c:axId val="362889408"/>
        <c:scaling>
          <c:orientation val="minMax"/>
        </c:scaling>
        <c:delete val="0"/>
        <c:axPos val="l"/>
        <c:majorGridlines/>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 sourceLinked="1"/>
        <c:majorTickMark val="out"/>
        <c:minorTickMark val="none"/>
        <c:tickLblPos val="nextTo"/>
        <c:crossAx val="362893216"/>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'03-08_SectorTbl'!$F$213</c:f>
              <c:strCache>
                <c:ptCount val="1"/>
                <c:pt idx="0">
                  <c:v>Enteric Emissions from Livestock</c:v>
                </c:pt>
              </c:strCache>
            </c:strRef>
          </c:tx>
          <c:invertIfNegative val="0"/>
          <c:cat>
            <c:strRef>
              <c:f>'03-08_SectorTbl'!$G$212:$H$212</c:f>
              <c:strCache>
                <c:ptCount val="2"/>
                <c:pt idx="0">
                  <c:v>2003</c:v>
                </c:pt>
                <c:pt idx="1">
                  <c:v>2008</c:v>
                </c:pt>
              </c:strCache>
            </c:strRef>
          </c:cat>
          <c:val>
            <c:numRef>
              <c:f>'03-08_SectorTbl'!$G$213:$H$213</c:f>
              <c:numCache>
                <c:formatCode>#,##0</c:formatCode>
                <c:ptCount val="2"/>
                <c:pt idx="0">
                  <c:v>52395.657299999999</c:v>
                </c:pt>
                <c:pt idx="1">
                  <c:v>56590.1578128275</c:v>
                </c:pt>
              </c:numCache>
            </c:numRef>
          </c:val>
          <c:extLst>
            <c:ext xmlns:c16="http://schemas.microsoft.com/office/drawing/2014/chart" uri="{C3380CC4-5D6E-409C-BE32-E72D297353CC}">
              <c16:uniqueId val="{00000000-1AB8-4E04-B5E3-764E50CF4551}"/>
            </c:ext>
          </c:extLst>
        </c:ser>
        <c:ser>
          <c:idx val="1"/>
          <c:order val="1"/>
          <c:tx>
            <c:strRef>
              <c:f>'03-08_SectorTbl'!$F$214</c:f>
              <c:strCache>
                <c:ptCount val="1"/>
                <c:pt idx="0">
                  <c:v>Manure Management</c:v>
                </c:pt>
              </c:strCache>
            </c:strRef>
          </c:tx>
          <c:invertIfNegative val="0"/>
          <c:cat>
            <c:strRef>
              <c:f>'03-08_SectorTbl'!$G$212:$H$212</c:f>
              <c:strCache>
                <c:ptCount val="2"/>
                <c:pt idx="0">
                  <c:v>2003</c:v>
                </c:pt>
                <c:pt idx="1">
                  <c:v>2008</c:v>
                </c:pt>
              </c:strCache>
            </c:strRef>
          </c:cat>
          <c:val>
            <c:numRef>
              <c:f>'03-08_SectorTbl'!$G$214:$H$214</c:f>
              <c:numCache>
                <c:formatCode>#,##0</c:formatCode>
                <c:ptCount val="2"/>
                <c:pt idx="0">
                  <c:v>84659.819800961515</c:v>
                </c:pt>
                <c:pt idx="1">
                  <c:v>94432.705838738912</c:v>
                </c:pt>
              </c:numCache>
            </c:numRef>
          </c:val>
          <c:extLst>
            <c:ext xmlns:c16="http://schemas.microsoft.com/office/drawing/2014/chart" uri="{C3380CC4-5D6E-409C-BE32-E72D297353CC}">
              <c16:uniqueId val="{00000001-1AB8-4E04-B5E3-764E50CF4551}"/>
            </c:ext>
          </c:extLst>
        </c:ser>
        <c:ser>
          <c:idx val="2"/>
          <c:order val="2"/>
          <c:tx>
            <c:strRef>
              <c:f>'03-08_SectorTbl'!$F$215</c:f>
              <c:strCache>
                <c:ptCount val="1"/>
                <c:pt idx="0">
                  <c:v>Soil Management</c:v>
                </c:pt>
              </c:strCache>
            </c:strRef>
          </c:tx>
          <c:invertIfNegative val="0"/>
          <c:cat>
            <c:strRef>
              <c:f>'03-08_SectorTbl'!$G$212:$H$212</c:f>
              <c:strCache>
                <c:ptCount val="2"/>
                <c:pt idx="0">
                  <c:v>2003</c:v>
                </c:pt>
                <c:pt idx="1">
                  <c:v>2008</c:v>
                </c:pt>
              </c:strCache>
            </c:strRef>
          </c:cat>
          <c:val>
            <c:numRef>
              <c:f>'03-08_SectorTbl'!$G$215:$H$215</c:f>
              <c:numCache>
                <c:formatCode>#,##0</c:formatCode>
                <c:ptCount val="2"/>
                <c:pt idx="0">
                  <c:v>7451.6379772401069</c:v>
                </c:pt>
                <c:pt idx="1">
                  <c:v>6488.2056724530139</c:v>
                </c:pt>
              </c:numCache>
            </c:numRef>
          </c:val>
          <c:extLst>
            <c:ext xmlns:c16="http://schemas.microsoft.com/office/drawing/2014/chart" uri="{C3380CC4-5D6E-409C-BE32-E72D297353CC}">
              <c16:uniqueId val="{00000002-1AB8-4E04-B5E3-764E50CF4551}"/>
            </c:ext>
          </c:extLst>
        </c:ser>
        <c:dLbls>
          <c:showLegendKey val="0"/>
          <c:showVal val="0"/>
          <c:showCatName val="0"/>
          <c:showSerName val="0"/>
          <c:showPercent val="0"/>
          <c:showBubbleSize val="0"/>
        </c:dLbls>
        <c:gapWidth val="150"/>
        <c:overlap val="100"/>
        <c:axId val="362895936"/>
        <c:axId val="362888864"/>
      </c:barChart>
      <c:catAx>
        <c:axId val="362895936"/>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362888864"/>
        <c:crosses val="autoZero"/>
        <c:auto val="1"/>
        <c:lblAlgn val="ctr"/>
        <c:lblOffset val="100"/>
        <c:noMultiLvlLbl val="0"/>
      </c:catAx>
      <c:valAx>
        <c:axId val="362888864"/>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 sourceLinked="1"/>
        <c:majorTickMark val="out"/>
        <c:minorTickMark val="none"/>
        <c:tickLblPos val="nextTo"/>
        <c:crossAx val="362895936"/>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Road</c:v>
          </c:tx>
          <c:invertIfNegative val="0"/>
          <c:cat>
            <c:numRef>
              <c:f>'03-08_SectorTbl'!$G$88:$H$88</c:f>
              <c:numCache>
                <c:formatCode>General</c:formatCode>
                <c:ptCount val="2"/>
                <c:pt idx="0">
                  <c:v>2003</c:v>
                </c:pt>
                <c:pt idx="1">
                  <c:v>2008</c:v>
                </c:pt>
              </c:numCache>
            </c:numRef>
          </c:cat>
          <c:val>
            <c:numRef>
              <c:f>'03-08_SectorTbl'!$G$93:$H$93</c:f>
              <c:numCache>
                <c:formatCode>#,##0_);\(#,##0\)</c:formatCode>
                <c:ptCount val="2"/>
                <c:pt idx="0">
                  <c:v>9168576.8379433844</c:v>
                </c:pt>
                <c:pt idx="1">
                  <c:v>8867824.3366023097</c:v>
                </c:pt>
              </c:numCache>
            </c:numRef>
          </c:val>
          <c:extLst>
            <c:ext xmlns:c16="http://schemas.microsoft.com/office/drawing/2014/chart" uri="{C3380CC4-5D6E-409C-BE32-E72D297353CC}">
              <c16:uniqueId val="{00000000-5E05-4E3B-8745-D02BEB60F4BD}"/>
            </c:ext>
          </c:extLst>
        </c:ser>
        <c:ser>
          <c:idx val="1"/>
          <c:order val="1"/>
          <c:tx>
            <c:v>Marine</c:v>
          </c:tx>
          <c:invertIfNegative val="0"/>
          <c:cat>
            <c:numRef>
              <c:f>'03-08_SectorTbl'!$G$88:$H$88</c:f>
              <c:numCache>
                <c:formatCode>General</c:formatCode>
                <c:ptCount val="2"/>
                <c:pt idx="0">
                  <c:v>2003</c:v>
                </c:pt>
                <c:pt idx="1">
                  <c:v>2008</c:v>
                </c:pt>
              </c:numCache>
            </c:numRef>
          </c:cat>
          <c:val>
            <c:numRef>
              <c:f>'03-08_SectorTbl'!$G$105:$H$105</c:f>
              <c:numCache>
                <c:formatCode>#,##0_);\(#,##0\)</c:formatCode>
                <c:ptCount val="2"/>
                <c:pt idx="0">
                  <c:v>217281.00896025251</c:v>
                </c:pt>
                <c:pt idx="1">
                  <c:v>239051.7408284336</c:v>
                </c:pt>
              </c:numCache>
            </c:numRef>
          </c:val>
          <c:extLst>
            <c:ext xmlns:c16="http://schemas.microsoft.com/office/drawing/2014/chart" uri="{C3380CC4-5D6E-409C-BE32-E72D297353CC}">
              <c16:uniqueId val="{00000001-5E05-4E3B-8745-D02BEB60F4BD}"/>
            </c:ext>
          </c:extLst>
        </c:ser>
        <c:ser>
          <c:idx val="2"/>
          <c:order val="2"/>
          <c:tx>
            <c:v>Rail</c:v>
          </c:tx>
          <c:invertIfNegative val="0"/>
          <c:cat>
            <c:numRef>
              <c:f>'03-08_SectorTbl'!$G$88:$H$88</c:f>
              <c:numCache>
                <c:formatCode>General</c:formatCode>
                <c:ptCount val="2"/>
                <c:pt idx="0">
                  <c:v>2003</c:v>
                </c:pt>
                <c:pt idx="1">
                  <c:v>2008</c:v>
                </c:pt>
              </c:numCache>
            </c:numRef>
          </c:cat>
          <c:val>
            <c:numRef>
              <c:f>'03-08_SectorTbl'!$G$114:$H$114</c:f>
              <c:numCache>
                <c:formatCode>#,##0_);\(#,##0\)</c:formatCode>
                <c:ptCount val="2"/>
                <c:pt idx="0">
                  <c:v>48839.664126774034</c:v>
                </c:pt>
                <c:pt idx="1">
                  <c:v>69824.647727232878</c:v>
                </c:pt>
              </c:numCache>
            </c:numRef>
          </c:val>
          <c:extLst>
            <c:ext xmlns:c16="http://schemas.microsoft.com/office/drawing/2014/chart" uri="{C3380CC4-5D6E-409C-BE32-E72D297353CC}">
              <c16:uniqueId val="{00000002-5E05-4E3B-8745-D02BEB60F4BD}"/>
            </c:ext>
          </c:extLst>
        </c:ser>
        <c:ser>
          <c:idx val="3"/>
          <c:order val="3"/>
          <c:tx>
            <c:v>Air</c:v>
          </c:tx>
          <c:invertIfNegative val="0"/>
          <c:cat>
            <c:numRef>
              <c:f>'03-08_SectorTbl'!$G$88:$H$88</c:f>
              <c:numCache>
                <c:formatCode>General</c:formatCode>
                <c:ptCount val="2"/>
                <c:pt idx="0">
                  <c:v>2003</c:v>
                </c:pt>
                <c:pt idx="1">
                  <c:v>2008</c:v>
                </c:pt>
              </c:numCache>
            </c:numRef>
          </c:cat>
          <c:val>
            <c:numRef>
              <c:f>'03-08_SectorTbl'!$G$123:$H$123</c:f>
              <c:numCache>
                <c:formatCode>#,##0_);\(#,##0\)</c:formatCode>
                <c:ptCount val="2"/>
                <c:pt idx="0">
                  <c:v>1895030.034232178</c:v>
                </c:pt>
                <c:pt idx="1">
                  <c:v>2177035.102117118</c:v>
                </c:pt>
              </c:numCache>
            </c:numRef>
          </c:val>
          <c:extLst>
            <c:ext xmlns:c16="http://schemas.microsoft.com/office/drawing/2014/chart" uri="{C3380CC4-5D6E-409C-BE32-E72D297353CC}">
              <c16:uniqueId val="{00000003-5E05-4E3B-8745-D02BEB60F4BD}"/>
            </c:ext>
          </c:extLst>
        </c:ser>
        <c:dLbls>
          <c:showLegendKey val="0"/>
          <c:showVal val="0"/>
          <c:showCatName val="0"/>
          <c:showSerName val="0"/>
          <c:showPercent val="0"/>
          <c:showBubbleSize val="0"/>
        </c:dLbls>
        <c:gapWidth val="150"/>
        <c:overlap val="100"/>
        <c:axId val="362982304"/>
        <c:axId val="362979040"/>
      </c:barChart>
      <c:catAx>
        <c:axId val="362982304"/>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362979040"/>
        <c:crosses val="autoZero"/>
        <c:auto val="1"/>
        <c:lblAlgn val="ctr"/>
        <c:lblOffset val="100"/>
        <c:noMultiLvlLbl val="0"/>
      </c:catAx>
      <c:valAx>
        <c:axId val="362979040"/>
        <c:scaling>
          <c:orientation val="minMax"/>
        </c:scaling>
        <c:delete val="0"/>
        <c:axPos val="l"/>
        <c:majorGridlines/>
        <c:title>
          <c:tx>
            <c:rich>
              <a:bodyPr rot="-5400000" vert="horz"/>
              <a:lstStyle/>
              <a:p>
                <a:pPr>
                  <a:defRPr/>
                </a:pPr>
                <a:r>
                  <a:rPr lang="en-US"/>
                  <a:t>MgCO</a:t>
                </a:r>
                <a:r>
                  <a:rPr lang="en-US" baseline="-25000"/>
                  <a:t>2</a:t>
                </a:r>
                <a:r>
                  <a:rPr lang="en-US"/>
                  <a:t>e</a:t>
                </a:r>
              </a:p>
            </c:rich>
          </c:tx>
          <c:overlay val="0"/>
        </c:title>
        <c:numFmt formatCode="#,##0_);\(#,##0\)" sourceLinked="1"/>
        <c:majorTickMark val="out"/>
        <c:minorTickMark val="none"/>
        <c:tickLblPos val="nextTo"/>
        <c:crossAx val="362982304"/>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Residential</c:v>
          </c:tx>
          <c:invertIfNegative val="0"/>
          <c:cat>
            <c:strRef>
              <c:f>'03-08_SectorTbl'!$G$132:$H$132</c:f>
              <c:strCache>
                <c:ptCount val="2"/>
                <c:pt idx="0">
                  <c:v>2003</c:v>
                </c:pt>
                <c:pt idx="1">
                  <c:v>2008</c:v>
                </c:pt>
              </c:strCache>
            </c:strRef>
          </c:cat>
          <c:val>
            <c:numRef>
              <c:f>'03-08_SectorTbl'!$G$141:$H$141</c:f>
              <c:numCache>
                <c:formatCode>#,##0_);\(#,##0\)</c:formatCode>
                <c:ptCount val="2"/>
                <c:pt idx="0">
                  <c:v>3762582.2038882519</c:v>
                </c:pt>
                <c:pt idx="1">
                  <c:v>4136066.4948832104</c:v>
                </c:pt>
              </c:numCache>
            </c:numRef>
          </c:val>
          <c:extLst>
            <c:ext xmlns:c16="http://schemas.microsoft.com/office/drawing/2014/chart" uri="{C3380CC4-5D6E-409C-BE32-E72D297353CC}">
              <c16:uniqueId val="{00000000-F49B-46D5-9871-4B9A94099747}"/>
            </c:ext>
          </c:extLst>
        </c:ser>
        <c:ser>
          <c:idx val="1"/>
          <c:order val="1"/>
          <c:tx>
            <c:v>Commercial</c:v>
          </c:tx>
          <c:invertIfNegative val="0"/>
          <c:cat>
            <c:strRef>
              <c:f>'03-08_SectorTbl'!$G$132:$H$132</c:f>
              <c:strCache>
                <c:ptCount val="2"/>
                <c:pt idx="0">
                  <c:v>2003</c:v>
                </c:pt>
                <c:pt idx="1">
                  <c:v>2008</c:v>
                </c:pt>
              </c:strCache>
            </c:strRef>
          </c:cat>
          <c:val>
            <c:numRef>
              <c:f>'03-08_SectorTbl'!$G$159:$H$159</c:f>
              <c:numCache>
                <c:formatCode>#,##0_);\(#,##0\)</c:formatCode>
                <c:ptCount val="2"/>
                <c:pt idx="0">
                  <c:v>3579791.8019358711</c:v>
                </c:pt>
                <c:pt idx="1">
                  <c:v>4044408.9108456257</c:v>
                </c:pt>
              </c:numCache>
            </c:numRef>
          </c:val>
          <c:extLst>
            <c:ext xmlns:c16="http://schemas.microsoft.com/office/drawing/2014/chart" uri="{C3380CC4-5D6E-409C-BE32-E72D297353CC}">
              <c16:uniqueId val="{00000001-F49B-46D5-9871-4B9A94099747}"/>
            </c:ext>
          </c:extLst>
        </c:ser>
        <c:ser>
          <c:idx val="2"/>
          <c:order val="2"/>
          <c:tx>
            <c:v>Industrial</c:v>
          </c:tx>
          <c:invertIfNegative val="0"/>
          <c:cat>
            <c:strRef>
              <c:f>'03-08_SectorTbl'!$G$132:$H$132</c:f>
              <c:strCache>
                <c:ptCount val="2"/>
                <c:pt idx="0">
                  <c:v>2003</c:v>
                </c:pt>
                <c:pt idx="1">
                  <c:v>2008</c:v>
                </c:pt>
              </c:strCache>
            </c:strRef>
          </c:cat>
          <c:val>
            <c:numRef>
              <c:f>'03-08_SectorTbl'!$G$174:$H$174</c:f>
              <c:numCache>
                <c:formatCode>#,##0_);\(#,##0\)</c:formatCode>
                <c:ptCount val="2"/>
                <c:pt idx="0">
                  <c:v>1867387.9189035355</c:v>
                </c:pt>
                <c:pt idx="1">
                  <c:v>2994180.9740417195</c:v>
                </c:pt>
              </c:numCache>
            </c:numRef>
          </c:val>
          <c:extLst>
            <c:ext xmlns:c16="http://schemas.microsoft.com/office/drawing/2014/chart" uri="{C3380CC4-5D6E-409C-BE32-E72D297353CC}">
              <c16:uniqueId val="{00000002-F49B-46D5-9871-4B9A94099747}"/>
            </c:ext>
          </c:extLst>
        </c:ser>
        <c:dLbls>
          <c:showLegendKey val="0"/>
          <c:showVal val="0"/>
          <c:showCatName val="0"/>
          <c:showSerName val="0"/>
          <c:showPercent val="0"/>
          <c:showBubbleSize val="0"/>
        </c:dLbls>
        <c:gapWidth val="150"/>
        <c:overlap val="100"/>
        <c:axId val="362981760"/>
        <c:axId val="362971424"/>
      </c:barChart>
      <c:catAx>
        <c:axId val="362981760"/>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362971424"/>
        <c:crosses val="autoZero"/>
        <c:auto val="1"/>
        <c:lblAlgn val="ctr"/>
        <c:lblOffset val="100"/>
        <c:noMultiLvlLbl val="0"/>
      </c:catAx>
      <c:valAx>
        <c:axId val="362971424"/>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362981760"/>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a:solidFill>
                <a:schemeClr val="accent1">
                  <a:lumMod val="60000"/>
                  <a:lumOff val="40000"/>
                </a:schemeClr>
              </a:solidFill>
            </a:ln>
          </c:spPr>
          <c:marker>
            <c:symbol val="circle"/>
            <c:size val="5"/>
            <c:spPr>
              <a:solidFill>
                <a:schemeClr val="accent1">
                  <a:lumMod val="60000"/>
                  <a:lumOff val="40000"/>
                </a:schemeClr>
              </a:solidFill>
              <a:ln>
                <a:noFill/>
              </a:ln>
            </c:spPr>
          </c:marker>
          <c:dPt>
            <c:idx val="3"/>
            <c:marker>
              <c:symbol val="circle"/>
              <c:size val="7"/>
              <c:spPr>
                <a:solidFill>
                  <a:schemeClr val="accent1"/>
                </a:solidFill>
                <a:ln>
                  <a:noFill/>
                </a:ln>
              </c:spPr>
            </c:marker>
            <c:bubble3D val="0"/>
            <c:extLst>
              <c:ext xmlns:c16="http://schemas.microsoft.com/office/drawing/2014/chart" uri="{C3380CC4-5D6E-409C-BE32-E72D297353CC}">
                <c16:uniqueId val="{00000000-99E2-4D36-8758-82050C417C3D}"/>
              </c:ext>
            </c:extLst>
          </c:dPt>
          <c:dPt>
            <c:idx val="8"/>
            <c:marker>
              <c:symbol val="circle"/>
              <c:size val="7"/>
              <c:spPr>
                <a:solidFill>
                  <a:schemeClr val="accent1"/>
                </a:solidFill>
                <a:ln>
                  <a:noFill/>
                </a:ln>
              </c:spPr>
            </c:marker>
            <c:bubble3D val="0"/>
            <c:extLst>
              <c:ext xmlns:c16="http://schemas.microsoft.com/office/drawing/2014/chart" uri="{C3380CC4-5D6E-409C-BE32-E72D297353CC}">
                <c16:uniqueId val="{00000001-99E2-4D36-8758-82050C417C3D}"/>
              </c:ext>
            </c:extLst>
          </c:dPt>
          <c:dPt>
            <c:idx val="10"/>
            <c:marker>
              <c:symbol val="circle"/>
              <c:size val="7"/>
              <c:spPr>
                <a:solidFill>
                  <a:schemeClr val="accent1"/>
                </a:solidFill>
                <a:ln>
                  <a:noFill/>
                </a:ln>
              </c:spPr>
            </c:marker>
            <c:bubble3D val="0"/>
            <c:extLst>
              <c:ext xmlns:c16="http://schemas.microsoft.com/office/drawing/2014/chart" uri="{C3380CC4-5D6E-409C-BE32-E72D297353CC}">
                <c16:uniqueId val="{00000002-99E2-4D36-8758-82050C417C3D}"/>
              </c:ext>
            </c:extLst>
          </c:dPt>
          <c:val>
            <c:numRef>
              <c:f>Tracking_Framework!#REF!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Tracking_Framework!#REF!</c15:sqref>
                        </c15:formulaRef>
                      </c:ext>
                    </c:extLst>
                  </c:multiLvlStrRef>
                </c15:cat>
              </c15:filteredCategoryTitle>
            </c:ext>
            <c:ext xmlns:c16="http://schemas.microsoft.com/office/drawing/2014/chart" uri="{C3380CC4-5D6E-409C-BE32-E72D297353CC}">
              <c16:uniqueId val="{00000003-99E2-4D36-8758-82050C417C3D}"/>
            </c:ext>
          </c:extLst>
        </c:ser>
        <c:dLbls>
          <c:showLegendKey val="0"/>
          <c:showVal val="0"/>
          <c:showCatName val="0"/>
          <c:showSerName val="0"/>
          <c:showPercent val="0"/>
          <c:showBubbleSize val="0"/>
        </c:dLbls>
        <c:marker val="1"/>
        <c:smooth val="0"/>
        <c:axId val="362972512"/>
        <c:axId val="362974688"/>
      </c:lineChart>
      <c:catAx>
        <c:axId val="362972512"/>
        <c:scaling>
          <c:orientation val="minMax"/>
        </c:scaling>
        <c:delete val="0"/>
        <c:axPos val="b"/>
        <c:numFmt formatCode="General" sourceLinked="1"/>
        <c:majorTickMark val="out"/>
        <c:minorTickMark val="none"/>
        <c:tickLblPos val="nextTo"/>
        <c:crossAx val="362974688"/>
        <c:crosses val="autoZero"/>
        <c:auto val="1"/>
        <c:lblAlgn val="ctr"/>
        <c:lblOffset val="100"/>
        <c:noMultiLvlLbl val="0"/>
      </c:catAx>
      <c:valAx>
        <c:axId val="362974688"/>
        <c:scaling>
          <c:orientation val="minMax"/>
          <c:min val="0"/>
        </c:scaling>
        <c:delete val="0"/>
        <c:axPos val="l"/>
        <c:majorGridlines/>
        <c:title>
          <c:tx>
            <c:rich>
              <a:bodyPr rot="0" vert="horz"/>
              <a:lstStyle/>
              <a:p>
                <a:pPr>
                  <a:defRPr/>
                </a:pPr>
                <a:r>
                  <a:rPr lang="en-US"/>
                  <a:t>Passenger Vehicle Miles Travelled per Person</a:t>
                </a:r>
              </a:p>
            </c:rich>
          </c:tx>
          <c:overlay val="0"/>
        </c:title>
        <c:numFmt formatCode="General" sourceLinked="1"/>
        <c:majorTickMark val="out"/>
        <c:minorTickMark val="none"/>
        <c:tickLblPos val="nextTo"/>
        <c:crossAx val="36297251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a:solidFill>
                <a:schemeClr val="accent2">
                  <a:lumMod val="60000"/>
                  <a:lumOff val="40000"/>
                </a:schemeClr>
              </a:solidFill>
            </a:ln>
          </c:spPr>
          <c:marker>
            <c:symbol val="circle"/>
            <c:size val="5"/>
            <c:spPr>
              <a:solidFill>
                <a:schemeClr val="accent2">
                  <a:lumMod val="60000"/>
                  <a:lumOff val="40000"/>
                </a:schemeClr>
              </a:solidFill>
              <a:ln>
                <a:solidFill>
                  <a:schemeClr val="accent2">
                    <a:lumMod val="60000"/>
                    <a:lumOff val="40000"/>
                  </a:schemeClr>
                </a:solidFill>
              </a:ln>
            </c:spPr>
          </c:marker>
          <c:dPt>
            <c:idx val="3"/>
            <c:marker>
              <c:symbol val="circle"/>
              <c:size val="7"/>
              <c:spPr>
                <a:solidFill>
                  <a:schemeClr val="accent2">
                    <a:lumMod val="75000"/>
                  </a:schemeClr>
                </a:solidFill>
                <a:ln>
                  <a:solidFill>
                    <a:schemeClr val="accent2">
                      <a:lumMod val="75000"/>
                    </a:schemeClr>
                  </a:solidFill>
                </a:ln>
              </c:spPr>
            </c:marker>
            <c:bubble3D val="0"/>
            <c:extLst>
              <c:ext xmlns:c16="http://schemas.microsoft.com/office/drawing/2014/chart" uri="{C3380CC4-5D6E-409C-BE32-E72D297353CC}">
                <c16:uniqueId val="{00000000-1864-413A-A791-21ACAA8D1A04}"/>
              </c:ext>
            </c:extLst>
          </c:dPt>
          <c:dPt>
            <c:idx val="8"/>
            <c:marker>
              <c:symbol val="circle"/>
              <c:size val="7"/>
              <c:spPr>
                <a:solidFill>
                  <a:schemeClr val="accent2">
                    <a:lumMod val="75000"/>
                  </a:schemeClr>
                </a:solidFill>
                <a:ln>
                  <a:solidFill>
                    <a:schemeClr val="accent2">
                      <a:lumMod val="75000"/>
                    </a:schemeClr>
                  </a:solidFill>
                </a:ln>
              </c:spPr>
            </c:marker>
            <c:bubble3D val="0"/>
            <c:extLst>
              <c:ext xmlns:c16="http://schemas.microsoft.com/office/drawing/2014/chart" uri="{C3380CC4-5D6E-409C-BE32-E72D297353CC}">
                <c16:uniqueId val="{00000001-1864-413A-A791-21ACAA8D1A04}"/>
              </c:ext>
            </c:extLst>
          </c:dPt>
          <c:cat>
            <c:numRef>
              <c:f>'10_Trk_FW'!$V$22:$AF$22</c:f>
              <c:numCache>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Cache>
            </c:numRef>
          </c:cat>
          <c:val>
            <c:numRef>
              <c:f>'10_Trk_FW'!$V$32:$AD$32</c:f>
              <c:numCache>
                <c:formatCode>_(* #,##0.00_);_(* \(#,##0.00\);_(* "-"??_);_(@_)</c:formatCode>
                <c:ptCount val="9"/>
                <c:pt idx="0">
                  <c:v>0.44234892166515621</c:v>
                </c:pt>
                <c:pt idx="1">
                  <c:v>0.4379938968661225</c:v>
                </c:pt>
                <c:pt idx="2">
                  <c:v>0.44226066639592909</c:v>
                </c:pt>
                <c:pt idx="3">
                  <c:v>0.45497980950791456</c:v>
                </c:pt>
                <c:pt idx="4">
                  <c:v>0.45210011287414992</c:v>
                </c:pt>
                <c:pt idx="5">
                  <c:v>0.43978056245365271</c:v>
                </c:pt>
                <c:pt idx="6">
                  <c:v>0.43616688196662612</c:v>
                </c:pt>
                <c:pt idx="7">
                  <c:v>0.4384599497517182</c:v>
                </c:pt>
                <c:pt idx="8">
                  <c:v>0.43435751138546758</c:v>
                </c:pt>
              </c:numCache>
            </c:numRef>
          </c:val>
          <c:smooth val="0"/>
          <c:extLst>
            <c:ext xmlns:c16="http://schemas.microsoft.com/office/drawing/2014/chart" uri="{C3380CC4-5D6E-409C-BE32-E72D297353CC}">
              <c16:uniqueId val="{00000002-1864-413A-A791-21ACAA8D1A04}"/>
            </c:ext>
          </c:extLst>
        </c:ser>
        <c:ser>
          <c:idx val="0"/>
          <c:order val="1"/>
          <c:spPr>
            <a:ln>
              <a:solidFill>
                <a:schemeClr val="bg1">
                  <a:lumMod val="75000"/>
                </a:schemeClr>
              </a:solidFill>
              <a:prstDash val="sysDot"/>
            </a:ln>
          </c:spPr>
          <c:marker>
            <c:symbol val="circle"/>
            <c:size val="5"/>
            <c:spPr>
              <a:solidFill>
                <a:schemeClr val="bg1">
                  <a:lumMod val="75000"/>
                </a:schemeClr>
              </a:solidFill>
              <a:ln>
                <a:noFill/>
              </a:ln>
            </c:spPr>
          </c:marker>
          <c:dPt>
            <c:idx val="8"/>
            <c:marker>
              <c:symbol val="none"/>
            </c:marker>
            <c:bubble3D val="0"/>
            <c:extLst>
              <c:ext xmlns:c16="http://schemas.microsoft.com/office/drawing/2014/chart" uri="{C3380CC4-5D6E-409C-BE32-E72D297353CC}">
                <c16:uniqueId val="{00000003-1864-413A-A791-21ACAA8D1A04}"/>
              </c:ext>
            </c:extLst>
          </c:dPt>
          <c:cat>
            <c:numRef>
              <c:f>'10_Trk_FW'!$V$22:$AF$22</c:f>
              <c:numCache>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Cache>
            </c:numRef>
          </c:cat>
          <c:val>
            <c:numRef>
              <c:f>'10_Trk_FW'!$V$33:$AF$33</c:f>
              <c:numCache>
                <c:formatCode>General</c:formatCode>
                <c:ptCount val="11"/>
                <c:pt idx="8" formatCode="_(* #,##0.00_);_(* \(#,##0.00\);_(* &quot;-&quot;??_);_(@_)">
                  <c:v>0.43435751138546758</c:v>
                </c:pt>
              </c:numCache>
            </c:numRef>
          </c:val>
          <c:smooth val="0"/>
          <c:extLst>
            <c:ext xmlns:c16="http://schemas.microsoft.com/office/drawing/2014/chart" uri="{C3380CC4-5D6E-409C-BE32-E72D297353CC}">
              <c16:uniqueId val="{00000004-1864-413A-A791-21ACAA8D1A04}"/>
            </c:ext>
          </c:extLst>
        </c:ser>
        <c:dLbls>
          <c:showLegendKey val="0"/>
          <c:showVal val="0"/>
          <c:showCatName val="0"/>
          <c:showSerName val="0"/>
          <c:showPercent val="0"/>
          <c:showBubbleSize val="0"/>
        </c:dLbls>
        <c:marker val="1"/>
        <c:smooth val="0"/>
        <c:axId val="362976864"/>
        <c:axId val="362983936"/>
      </c:lineChart>
      <c:catAx>
        <c:axId val="362976864"/>
        <c:scaling>
          <c:orientation val="minMax"/>
        </c:scaling>
        <c:delete val="0"/>
        <c:axPos val="b"/>
        <c:numFmt formatCode="General" sourceLinked="1"/>
        <c:majorTickMark val="out"/>
        <c:minorTickMark val="none"/>
        <c:tickLblPos val="nextTo"/>
        <c:crossAx val="362983936"/>
        <c:crosses val="autoZero"/>
        <c:auto val="1"/>
        <c:lblAlgn val="ctr"/>
        <c:lblOffset val="100"/>
        <c:noMultiLvlLbl val="0"/>
      </c:catAx>
      <c:valAx>
        <c:axId val="362983936"/>
        <c:scaling>
          <c:orientation val="minMax"/>
          <c:min val="0"/>
        </c:scaling>
        <c:delete val="0"/>
        <c:axPos val="l"/>
        <c:majorGridlines/>
        <c:title>
          <c:tx>
            <c:rich>
              <a:bodyPr rot="0" vert="horz"/>
              <a:lstStyle/>
              <a:p>
                <a:pPr>
                  <a:defRPr/>
                </a:pPr>
                <a:r>
                  <a:rPr lang="en-US"/>
                  <a:t>Passenger Vehicle GHG- Intensity </a:t>
                </a:r>
                <a:br>
                  <a:rPr lang="en-US"/>
                </a:br>
                <a:r>
                  <a:rPr lang="en-US"/>
                  <a:t>(kg CO</a:t>
                </a:r>
                <a:r>
                  <a:rPr lang="en-US" baseline="-25000"/>
                  <a:t>2</a:t>
                </a:r>
                <a:r>
                  <a:rPr lang="en-US"/>
                  <a:t>e / mile)</a:t>
                </a:r>
              </a:p>
            </c:rich>
          </c:tx>
          <c:overlay val="0"/>
        </c:title>
        <c:numFmt formatCode="_(* #,##0.00_);_(* \(#,##0.00\);_(* &quot;-&quot;??_);_(@_)" sourceLinked="1"/>
        <c:majorTickMark val="out"/>
        <c:minorTickMark val="none"/>
        <c:tickLblPos val="nextTo"/>
        <c:crossAx val="36297686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v>Residential</c:v>
          </c:tx>
          <c:spPr>
            <a:ln>
              <a:solidFill>
                <a:schemeClr val="accent2"/>
              </a:solidFill>
              <a:prstDash val="sysDash"/>
            </a:ln>
          </c:spPr>
          <c:marker>
            <c:symbol val="circle"/>
            <c:size val="7"/>
            <c:spPr>
              <a:solidFill>
                <a:schemeClr val="accent2"/>
              </a:solidFill>
              <a:ln>
                <a:solidFill>
                  <a:schemeClr val="accent2"/>
                </a:solidFill>
                <a:prstDash val="sysDash"/>
              </a:ln>
            </c:spPr>
          </c:marker>
          <c:xVal>
            <c:numRef>
              <c:f>'10_Trk_FW'!$V$42:$AE$42</c:f>
              <c:numCache>
                <c:formatCode>General</c:formatCode>
                <c:ptCount val="10"/>
                <c:pt idx="1">
                  <c:v>2003</c:v>
                </c:pt>
                <c:pt idx="2">
                  <c:v>2008</c:v>
                </c:pt>
                <c:pt idx="3">
                  <c:v>2010</c:v>
                </c:pt>
              </c:numCache>
            </c:numRef>
          </c:xVal>
          <c:yVal>
            <c:numRef>
              <c:f>'10_Trk_FW'!$V$43:$AE$43</c:f>
              <c:numCache>
                <c:formatCode>_(* #,##0.0_);_(* \(#,##0.0\);_(* "-"??_);_(@_)</c:formatCode>
                <c:ptCount val="10"/>
                <c:pt idx="1">
                  <c:v>62.598304716630274</c:v>
                </c:pt>
                <c:pt idx="2">
                  <c:v>62.305260637199368</c:v>
                </c:pt>
                <c:pt idx="3">
                  <c:v>66.262964067464139</c:v>
                </c:pt>
              </c:numCache>
            </c:numRef>
          </c:yVal>
          <c:smooth val="0"/>
          <c:extLst>
            <c:ext xmlns:c16="http://schemas.microsoft.com/office/drawing/2014/chart" uri="{C3380CC4-5D6E-409C-BE32-E72D297353CC}">
              <c16:uniqueId val="{00000000-B809-4325-B238-63F929F2607B}"/>
            </c:ext>
          </c:extLst>
        </c:ser>
        <c:ser>
          <c:idx val="2"/>
          <c:order val="1"/>
          <c:tx>
            <c:v>Commercial</c:v>
          </c:tx>
          <c:spPr>
            <a:ln>
              <a:solidFill>
                <a:schemeClr val="accent1"/>
              </a:solidFill>
              <a:prstDash val="sysDash"/>
            </a:ln>
          </c:spPr>
          <c:marker>
            <c:symbol val="circle"/>
            <c:size val="7"/>
            <c:spPr>
              <a:solidFill>
                <a:schemeClr val="accent1"/>
              </a:solidFill>
              <a:ln>
                <a:solidFill>
                  <a:schemeClr val="accent1"/>
                </a:solidFill>
              </a:ln>
            </c:spPr>
          </c:marker>
          <c:xVal>
            <c:numRef>
              <c:f>'10_Trk_FW'!$V$42:$AE$42</c:f>
              <c:numCache>
                <c:formatCode>General</c:formatCode>
                <c:ptCount val="10"/>
                <c:pt idx="1">
                  <c:v>2003</c:v>
                </c:pt>
                <c:pt idx="2">
                  <c:v>2008</c:v>
                </c:pt>
                <c:pt idx="3">
                  <c:v>2010</c:v>
                </c:pt>
              </c:numCache>
            </c:numRef>
          </c:xVal>
          <c:yVal>
            <c:numRef>
              <c:f>'10_Trk_FW'!$V$44:$AE$44</c:f>
              <c:numCache>
                <c:formatCode>_(* #,##0.0_);_(* \(#,##0.0\);_(* "-"??_);_(@_)</c:formatCode>
                <c:ptCount val="10"/>
                <c:pt idx="1">
                  <c:v>58.910046504459523</c:v>
                </c:pt>
                <c:pt idx="2">
                  <c:v>58.98777481502264</c:v>
                </c:pt>
                <c:pt idx="3">
                  <c:v>63.699992070124082</c:v>
                </c:pt>
              </c:numCache>
            </c:numRef>
          </c:yVal>
          <c:smooth val="0"/>
          <c:extLst>
            <c:ext xmlns:c16="http://schemas.microsoft.com/office/drawing/2014/chart" uri="{C3380CC4-5D6E-409C-BE32-E72D297353CC}">
              <c16:uniqueId val="{00000001-B809-4325-B238-63F929F2607B}"/>
            </c:ext>
          </c:extLst>
        </c:ser>
        <c:dLbls>
          <c:showLegendKey val="0"/>
          <c:showVal val="0"/>
          <c:showCatName val="0"/>
          <c:showSerName val="0"/>
          <c:showPercent val="0"/>
          <c:showBubbleSize val="0"/>
        </c:dLbls>
        <c:axId val="362974144"/>
        <c:axId val="362975776"/>
      </c:scatterChart>
      <c:valAx>
        <c:axId val="362974144"/>
        <c:scaling>
          <c:orientation val="minMax"/>
          <c:max val="2010"/>
          <c:min val="2000"/>
        </c:scaling>
        <c:delete val="0"/>
        <c:axPos val="b"/>
        <c:numFmt formatCode="General" sourceLinked="1"/>
        <c:majorTickMark val="out"/>
        <c:minorTickMark val="none"/>
        <c:tickLblPos val="nextTo"/>
        <c:crossAx val="362975776"/>
        <c:crosses val="autoZero"/>
        <c:crossBetween val="midCat"/>
        <c:majorUnit val="1"/>
      </c:valAx>
      <c:valAx>
        <c:axId val="362975776"/>
        <c:scaling>
          <c:orientation val="minMax"/>
          <c:min val="0"/>
        </c:scaling>
        <c:delete val="0"/>
        <c:axPos val="l"/>
        <c:majorGridlines/>
        <c:title>
          <c:tx>
            <c:rich>
              <a:bodyPr rot="0" vert="horz"/>
              <a:lstStyle/>
              <a:p>
                <a:pPr>
                  <a:defRPr/>
                </a:pPr>
                <a:r>
                  <a:rPr lang="en-US"/>
                  <a:t>kg CO</a:t>
                </a:r>
                <a:r>
                  <a:rPr lang="en-US" baseline="-25000"/>
                  <a:t>2</a:t>
                </a:r>
                <a:r>
                  <a:rPr lang="en-US"/>
                  <a:t>e </a:t>
                </a:r>
                <a:br>
                  <a:rPr lang="en-US"/>
                </a:br>
                <a:r>
                  <a:rPr lang="en-US"/>
                  <a:t>per million BTU</a:t>
                </a:r>
              </a:p>
            </c:rich>
          </c:tx>
          <c:overlay val="0"/>
        </c:title>
        <c:numFmt formatCode="General" sourceLinked="1"/>
        <c:majorTickMark val="out"/>
        <c:minorTickMark val="none"/>
        <c:tickLblPos val="nextTo"/>
        <c:crossAx val="362974144"/>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spPr>
            <a:ln>
              <a:solidFill>
                <a:schemeClr val="accent6">
                  <a:lumMod val="75000"/>
                </a:schemeClr>
              </a:solidFill>
              <a:prstDash val="sysDash"/>
            </a:ln>
          </c:spPr>
          <c:marker>
            <c:symbol val="circle"/>
            <c:size val="7"/>
            <c:spPr>
              <a:solidFill>
                <a:schemeClr val="accent6">
                  <a:lumMod val="75000"/>
                </a:schemeClr>
              </a:solidFill>
              <a:ln>
                <a:solidFill>
                  <a:schemeClr val="accent6">
                    <a:lumMod val="75000"/>
                  </a:schemeClr>
                </a:solidFill>
                <a:prstDash val="sysDash"/>
              </a:ln>
            </c:spPr>
          </c:marker>
          <c:xVal>
            <c:numRef>
              <c:f>'10_Trk_FW'!$W$68:$Y$68</c:f>
              <c:numCache>
                <c:formatCode>General</c:formatCode>
                <c:ptCount val="3"/>
                <c:pt idx="0">
                  <c:v>2003</c:v>
                </c:pt>
                <c:pt idx="1">
                  <c:v>2008</c:v>
                </c:pt>
                <c:pt idx="2">
                  <c:v>2010</c:v>
                </c:pt>
              </c:numCache>
            </c:numRef>
          </c:xVal>
          <c:yVal>
            <c:numRef>
              <c:f>'10_Trk_FW'!$W$69:$Y$69</c:f>
              <c:numCache>
                <c:formatCode>_(* #,##0_);_(* \(#,##0\);_(* "-"??_);_(@_)</c:formatCode>
                <c:ptCount val="3"/>
                <c:pt idx="0">
                  <c:v>8.9702857447111732</c:v>
                </c:pt>
                <c:pt idx="1">
                  <c:v>8.7093614494163827</c:v>
                </c:pt>
                <c:pt idx="2">
                  <c:v>8.5777697747389769</c:v>
                </c:pt>
              </c:numCache>
            </c:numRef>
          </c:yVal>
          <c:smooth val="0"/>
          <c:extLst>
            <c:ext xmlns:c16="http://schemas.microsoft.com/office/drawing/2014/chart" uri="{C3380CC4-5D6E-409C-BE32-E72D297353CC}">
              <c16:uniqueId val="{00000000-598D-45C0-A8A6-DD49B2D79432}"/>
            </c:ext>
          </c:extLst>
        </c:ser>
        <c:dLbls>
          <c:showLegendKey val="0"/>
          <c:showVal val="0"/>
          <c:showCatName val="0"/>
          <c:showSerName val="0"/>
          <c:showPercent val="0"/>
          <c:showBubbleSize val="0"/>
        </c:dLbls>
        <c:axId val="362975232"/>
        <c:axId val="362976320"/>
      </c:scatterChart>
      <c:valAx>
        <c:axId val="362975232"/>
        <c:scaling>
          <c:orientation val="minMax"/>
          <c:max val="2010"/>
          <c:min val="2000"/>
        </c:scaling>
        <c:delete val="0"/>
        <c:axPos val="b"/>
        <c:numFmt formatCode="General" sourceLinked="1"/>
        <c:majorTickMark val="out"/>
        <c:minorTickMark val="none"/>
        <c:tickLblPos val="nextTo"/>
        <c:crossAx val="362976320"/>
        <c:crosses val="autoZero"/>
        <c:crossBetween val="midCat"/>
        <c:majorUnit val="1"/>
      </c:valAx>
      <c:valAx>
        <c:axId val="362976320"/>
        <c:scaling>
          <c:orientation val="minMax"/>
          <c:min val="0"/>
        </c:scaling>
        <c:delete val="0"/>
        <c:axPos val="l"/>
        <c:majorGridlines/>
        <c:title>
          <c:tx>
            <c:rich>
              <a:bodyPr rot="0" vert="horz"/>
              <a:lstStyle/>
              <a:p>
                <a:pPr>
                  <a:defRPr/>
                </a:pPr>
                <a:r>
                  <a:rPr lang="en-US"/>
                  <a:t>MT CO</a:t>
                </a:r>
                <a:r>
                  <a:rPr lang="en-US" baseline="-25000"/>
                  <a:t>2</a:t>
                </a:r>
                <a:r>
                  <a:rPr lang="en-US"/>
                  <a:t>e </a:t>
                </a:r>
                <a:br>
                  <a:rPr lang="en-US"/>
                </a:br>
                <a:r>
                  <a:rPr lang="en-US"/>
                  <a:t>per resident</a:t>
                </a:r>
              </a:p>
            </c:rich>
          </c:tx>
          <c:overlay val="0"/>
        </c:title>
        <c:numFmt formatCode="_(* #,##0_);_(* \(#,##0\);_(* &quot;-&quot;??_);_(@_)" sourceLinked="1"/>
        <c:majorTickMark val="out"/>
        <c:minorTickMark val="none"/>
        <c:tickLblPos val="nextTo"/>
        <c:crossAx val="36297523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'03-08_SectorTbl'!$F$89</c:f>
              <c:strCache>
                <c:ptCount val="1"/>
                <c:pt idx="0">
                  <c:v>Commercial Trucks</c:v>
                </c:pt>
              </c:strCache>
            </c:strRef>
          </c:tx>
          <c:invertIfNegative val="0"/>
          <c:cat>
            <c:numRef>
              <c:f>'03-08_SectorTbl'!$G$88:$H$88</c:f>
              <c:numCache>
                <c:formatCode>General</c:formatCode>
                <c:ptCount val="2"/>
                <c:pt idx="0">
                  <c:v>2003</c:v>
                </c:pt>
                <c:pt idx="1">
                  <c:v>2008</c:v>
                </c:pt>
              </c:numCache>
            </c:numRef>
          </c:cat>
          <c:val>
            <c:numRef>
              <c:f>'03-08_SectorTbl'!$G$89:$H$89</c:f>
              <c:numCache>
                <c:formatCode>#,##0_);\(#,##0\)</c:formatCode>
                <c:ptCount val="2"/>
                <c:pt idx="0">
                  <c:v>3076682.7195889056</c:v>
                </c:pt>
                <c:pt idx="1">
                  <c:v>3115451.630561586</c:v>
                </c:pt>
              </c:numCache>
            </c:numRef>
          </c:val>
          <c:extLst>
            <c:ext xmlns:c16="http://schemas.microsoft.com/office/drawing/2014/chart" uri="{C3380CC4-5D6E-409C-BE32-E72D297353CC}">
              <c16:uniqueId val="{00000000-11A3-4B95-A387-8805569EF1D7}"/>
            </c:ext>
          </c:extLst>
        </c:ser>
        <c:ser>
          <c:idx val="1"/>
          <c:order val="1"/>
          <c:tx>
            <c:strRef>
              <c:f>'03-08_SectorTbl'!$F$90</c:f>
              <c:strCache>
                <c:ptCount val="1"/>
                <c:pt idx="0">
                  <c:v>Buses</c:v>
                </c:pt>
              </c:strCache>
            </c:strRef>
          </c:tx>
          <c:invertIfNegative val="0"/>
          <c:cat>
            <c:numRef>
              <c:f>'03-08_SectorTbl'!$G$88:$H$88</c:f>
              <c:numCache>
                <c:formatCode>General</c:formatCode>
                <c:ptCount val="2"/>
                <c:pt idx="0">
                  <c:v>2003</c:v>
                </c:pt>
                <c:pt idx="1">
                  <c:v>2008</c:v>
                </c:pt>
              </c:numCache>
            </c:numRef>
          </c:cat>
          <c:val>
            <c:numRef>
              <c:f>'03-08_SectorTbl'!$G$90:$H$90</c:f>
              <c:numCache>
                <c:formatCode>#,##0_);\(#,##0\)</c:formatCode>
                <c:ptCount val="2"/>
                <c:pt idx="0">
                  <c:v>121023.21678847107</c:v>
                </c:pt>
                <c:pt idx="1">
                  <c:v>112679.09272403718</c:v>
                </c:pt>
              </c:numCache>
            </c:numRef>
          </c:val>
          <c:extLst>
            <c:ext xmlns:c16="http://schemas.microsoft.com/office/drawing/2014/chart" uri="{C3380CC4-5D6E-409C-BE32-E72D297353CC}">
              <c16:uniqueId val="{00000001-11A3-4B95-A387-8805569EF1D7}"/>
            </c:ext>
          </c:extLst>
        </c:ser>
        <c:ser>
          <c:idx val="2"/>
          <c:order val="2"/>
          <c:tx>
            <c:strRef>
              <c:f>'03-08_SectorTbl'!$F$91</c:f>
              <c:strCache>
                <c:ptCount val="1"/>
                <c:pt idx="0">
                  <c:v>Cars &amp; Light Trucks</c:v>
                </c:pt>
              </c:strCache>
            </c:strRef>
          </c:tx>
          <c:invertIfNegative val="0"/>
          <c:cat>
            <c:numRef>
              <c:f>'03-08_SectorTbl'!$G$88:$H$88</c:f>
              <c:numCache>
                <c:formatCode>General</c:formatCode>
                <c:ptCount val="2"/>
                <c:pt idx="0">
                  <c:v>2003</c:v>
                </c:pt>
                <c:pt idx="1">
                  <c:v>2008</c:v>
                </c:pt>
              </c:numCache>
            </c:numRef>
          </c:cat>
          <c:val>
            <c:numRef>
              <c:f>'03-08_SectorTbl'!$G$91:$H$91</c:f>
              <c:numCache>
                <c:formatCode>#,##0_);\(#,##0\)</c:formatCode>
                <c:ptCount val="2"/>
                <c:pt idx="0">
                  <c:v>5963832.73751067</c:v>
                </c:pt>
                <c:pt idx="1">
                  <c:v>5633434.8276841715</c:v>
                </c:pt>
              </c:numCache>
            </c:numRef>
          </c:val>
          <c:extLst>
            <c:ext xmlns:c16="http://schemas.microsoft.com/office/drawing/2014/chart" uri="{C3380CC4-5D6E-409C-BE32-E72D297353CC}">
              <c16:uniqueId val="{00000002-11A3-4B95-A387-8805569EF1D7}"/>
            </c:ext>
          </c:extLst>
        </c:ser>
        <c:ser>
          <c:idx val="3"/>
          <c:order val="3"/>
          <c:tx>
            <c:strRef>
              <c:f>'03-08_SectorTbl'!$F$92</c:f>
              <c:strCache>
                <c:ptCount val="1"/>
                <c:pt idx="0">
                  <c:v>Van Pool</c:v>
                </c:pt>
              </c:strCache>
            </c:strRef>
          </c:tx>
          <c:invertIfNegative val="0"/>
          <c:cat>
            <c:numRef>
              <c:f>'03-08_SectorTbl'!$G$88:$H$88</c:f>
              <c:numCache>
                <c:formatCode>General</c:formatCode>
                <c:ptCount val="2"/>
                <c:pt idx="0">
                  <c:v>2003</c:v>
                </c:pt>
                <c:pt idx="1">
                  <c:v>2008</c:v>
                </c:pt>
              </c:numCache>
            </c:numRef>
          </c:cat>
          <c:val>
            <c:numRef>
              <c:f>'03-08_SectorTbl'!$G$92:$H$92</c:f>
              <c:numCache>
                <c:formatCode>#,##0_);\(#,##0\)</c:formatCode>
                <c:ptCount val="2"/>
                <c:pt idx="0">
                  <c:v>7038.1640553379557</c:v>
                </c:pt>
                <c:pt idx="1">
                  <c:v>6258.7856325154926</c:v>
                </c:pt>
              </c:numCache>
            </c:numRef>
          </c:val>
          <c:extLst>
            <c:ext xmlns:c16="http://schemas.microsoft.com/office/drawing/2014/chart" uri="{C3380CC4-5D6E-409C-BE32-E72D297353CC}">
              <c16:uniqueId val="{00000003-11A3-4B95-A387-8805569EF1D7}"/>
            </c:ext>
          </c:extLst>
        </c:ser>
        <c:dLbls>
          <c:showLegendKey val="0"/>
          <c:showVal val="0"/>
          <c:showCatName val="0"/>
          <c:showSerName val="0"/>
          <c:showPercent val="0"/>
          <c:showBubbleSize val="0"/>
        </c:dLbls>
        <c:gapWidth val="150"/>
        <c:overlap val="100"/>
        <c:axId val="241558016"/>
        <c:axId val="291598992"/>
      </c:barChart>
      <c:catAx>
        <c:axId val="241558016"/>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291598992"/>
        <c:crosses val="autoZero"/>
        <c:auto val="1"/>
        <c:lblAlgn val="ctr"/>
        <c:lblOffset val="100"/>
        <c:noMultiLvlLbl val="0"/>
      </c:catAx>
      <c:valAx>
        <c:axId val="291598992"/>
        <c:scaling>
          <c:orientation val="minMax"/>
        </c:scaling>
        <c:delete val="0"/>
        <c:axPos val="l"/>
        <c:majorGridlines/>
        <c:title>
          <c:tx>
            <c:rich>
              <a:bodyPr rot="-5400000" vert="horz"/>
              <a:lstStyle/>
              <a:p>
                <a:pPr>
                  <a:defRPr/>
                </a:pPr>
                <a:r>
                  <a:rPr lang="en-US"/>
                  <a:t>MgCO</a:t>
                </a:r>
                <a:r>
                  <a:rPr lang="en-US" baseline="-25000"/>
                  <a:t>2</a:t>
                </a:r>
                <a:r>
                  <a:rPr lang="en-US"/>
                  <a:t>e</a:t>
                </a:r>
              </a:p>
            </c:rich>
          </c:tx>
          <c:overlay val="0"/>
        </c:title>
        <c:numFmt formatCode="#,##0_);\(#,##0\)" sourceLinked="1"/>
        <c:majorTickMark val="out"/>
        <c:minorTickMark val="none"/>
        <c:tickLblPos val="nextTo"/>
        <c:crossAx val="241558016"/>
        <c:crosses val="autoZero"/>
        <c:crossBetween val="between"/>
      </c:valAx>
    </c:plotArea>
    <c:legend>
      <c:legendPos val="r"/>
      <c:overlay val="0"/>
    </c:legend>
    <c:plotVisOnly val="1"/>
    <c:dispBlanksAs val="gap"/>
    <c:showDLblsOverMax val="0"/>
  </c:chart>
  <c:spPr>
    <a:ln w="0">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'03-08_SectorTbl'!$F$99</c:f>
              <c:strCache>
                <c:ptCount val="1"/>
                <c:pt idx="0">
                  <c:v>Pleasure Craft, Diesel</c:v>
                </c:pt>
              </c:strCache>
            </c:strRef>
          </c:tx>
          <c:invertIfNegative val="0"/>
          <c:cat>
            <c:strRef>
              <c:f>'03-08_SectorTbl'!$G$98:$H$98</c:f>
              <c:strCache>
                <c:ptCount val="2"/>
                <c:pt idx="0">
                  <c:v>2003</c:v>
                </c:pt>
                <c:pt idx="1">
                  <c:v>2008</c:v>
                </c:pt>
              </c:strCache>
            </c:strRef>
          </c:cat>
          <c:val>
            <c:numRef>
              <c:f>'03-08_SectorTbl'!$G$99:$H$99</c:f>
              <c:numCache>
                <c:formatCode>#,##0_);\(#,##0\)</c:formatCode>
                <c:ptCount val="2"/>
                <c:pt idx="0">
                  <c:v>1307.6914887476212</c:v>
                </c:pt>
                <c:pt idx="1">
                  <c:v>1392.288769190274</c:v>
                </c:pt>
              </c:numCache>
            </c:numRef>
          </c:val>
          <c:extLst>
            <c:ext xmlns:c16="http://schemas.microsoft.com/office/drawing/2014/chart" uri="{C3380CC4-5D6E-409C-BE32-E72D297353CC}">
              <c16:uniqueId val="{00000000-5711-4608-86DA-F2C2C8CD3ED1}"/>
            </c:ext>
          </c:extLst>
        </c:ser>
        <c:ser>
          <c:idx val="1"/>
          <c:order val="1"/>
          <c:tx>
            <c:strRef>
              <c:f>'03-08_SectorTbl'!$F$100</c:f>
              <c:strCache>
                <c:ptCount val="1"/>
                <c:pt idx="0">
                  <c:v>Pleasure Craft, Gasoline</c:v>
                </c:pt>
              </c:strCache>
            </c:strRef>
          </c:tx>
          <c:invertIfNegative val="0"/>
          <c:cat>
            <c:strRef>
              <c:f>'03-08_SectorTbl'!$G$98:$H$98</c:f>
              <c:strCache>
                <c:ptCount val="2"/>
                <c:pt idx="0">
                  <c:v>2003</c:v>
                </c:pt>
                <c:pt idx="1">
                  <c:v>2008</c:v>
                </c:pt>
              </c:strCache>
            </c:strRef>
          </c:cat>
          <c:val>
            <c:numRef>
              <c:f>'03-08_SectorTbl'!$G$100:$H$100</c:f>
              <c:numCache>
                <c:formatCode>#,##0_);\(#,##0\)</c:formatCode>
                <c:ptCount val="2"/>
                <c:pt idx="0">
                  <c:v>6329.1068167986814</c:v>
                </c:pt>
                <c:pt idx="1">
                  <c:v>6738.5498918201465</c:v>
                </c:pt>
              </c:numCache>
            </c:numRef>
          </c:val>
          <c:extLst>
            <c:ext xmlns:c16="http://schemas.microsoft.com/office/drawing/2014/chart" uri="{C3380CC4-5D6E-409C-BE32-E72D297353CC}">
              <c16:uniqueId val="{00000001-5711-4608-86DA-F2C2C8CD3ED1}"/>
            </c:ext>
          </c:extLst>
        </c:ser>
        <c:ser>
          <c:idx val="2"/>
          <c:order val="2"/>
          <c:tx>
            <c:strRef>
              <c:f>'03-08_SectorTbl'!$F$101</c:f>
              <c:strCache>
                <c:ptCount val="1"/>
                <c:pt idx="0">
                  <c:v>Washington State Ferries</c:v>
                </c:pt>
              </c:strCache>
            </c:strRef>
          </c:tx>
          <c:invertIfNegative val="0"/>
          <c:cat>
            <c:strRef>
              <c:f>'03-08_SectorTbl'!$G$98:$H$98</c:f>
              <c:strCache>
                <c:ptCount val="2"/>
                <c:pt idx="0">
                  <c:v>2003</c:v>
                </c:pt>
                <c:pt idx="1">
                  <c:v>2008</c:v>
                </c:pt>
              </c:strCache>
            </c:strRef>
          </c:cat>
          <c:val>
            <c:numRef>
              <c:f>'03-08_SectorTbl'!$G$101:$H$101</c:f>
              <c:numCache>
                <c:formatCode>#,##0_);\(#,##0\)</c:formatCode>
                <c:ptCount val="2"/>
                <c:pt idx="0">
                  <c:v>50518.578380974206</c:v>
                </c:pt>
                <c:pt idx="1">
                  <c:v>39489.073049157698</c:v>
                </c:pt>
              </c:numCache>
            </c:numRef>
          </c:val>
          <c:extLst>
            <c:ext xmlns:c16="http://schemas.microsoft.com/office/drawing/2014/chart" uri="{C3380CC4-5D6E-409C-BE32-E72D297353CC}">
              <c16:uniqueId val="{00000002-5711-4608-86DA-F2C2C8CD3ED1}"/>
            </c:ext>
          </c:extLst>
        </c:ser>
        <c:ser>
          <c:idx val="3"/>
          <c:order val="3"/>
          <c:tx>
            <c:strRef>
              <c:f>'03-08_SectorTbl'!$F$102</c:f>
              <c:strCache>
                <c:ptCount val="1"/>
                <c:pt idx="0">
                  <c:v>Other Ship &amp; Boat Traffic</c:v>
                </c:pt>
              </c:strCache>
            </c:strRef>
          </c:tx>
          <c:invertIfNegative val="0"/>
          <c:cat>
            <c:strRef>
              <c:f>'03-08_SectorTbl'!$G$98:$H$98</c:f>
              <c:strCache>
                <c:ptCount val="2"/>
                <c:pt idx="0">
                  <c:v>2003</c:v>
                </c:pt>
                <c:pt idx="1">
                  <c:v>2008</c:v>
                </c:pt>
              </c:strCache>
            </c:strRef>
          </c:cat>
          <c:val>
            <c:numRef>
              <c:f>'03-08_SectorTbl'!$G$102:$H$102</c:f>
              <c:numCache>
                <c:formatCode>#,##0_);\(#,##0\)</c:formatCode>
                <c:ptCount val="2"/>
                <c:pt idx="0">
                  <c:v>122595.44571470271</c:v>
                </c:pt>
                <c:pt idx="1">
                  <c:v>146365.61551311292</c:v>
                </c:pt>
              </c:numCache>
            </c:numRef>
          </c:val>
          <c:extLst>
            <c:ext xmlns:c16="http://schemas.microsoft.com/office/drawing/2014/chart" uri="{C3380CC4-5D6E-409C-BE32-E72D297353CC}">
              <c16:uniqueId val="{00000003-5711-4608-86DA-F2C2C8CD3ED1}"/>
            </c:ext>
          </c:extLst>
        </c:ser>
        <c:ser>
          <c:idx val="4"/>
          <c:order val="4"/>
          <c:tx>
            <c:strRef>
              <c:f>'03-08_SectorTbl'!$F$103</c:f>
              <c:strCache>
                <c:ptCount val="1"/>
                <c:pt idx="0">
                  <c:v>Cruise Ships (hotelling)</c:v>
                </c:pt>
              </c:strCache>
            </c:strRef>
          </c:tx>
          <c:invertIfNegative val="0"/>
          <c:cat>
            <c:strRef>
              <c:f>'03-08_SectorTbl'!$G$98:$H$98</c:f>
              <c:strCache>
                <c:ptCount val="2"/>
                <c:pt idx="0">
                  <c:v>2003</c:v>
                </c:pt>
                <c:pt idx="1">
                  <c:v>2008</c:v>
                </c:pt>
              </c:strCache>
            </c:strRef>
          </c:cat>
          <c:val>
            <c:numRef>
              <c:f>'03-08_SectorTbl'!$G$103:$H$103</c:f>
              <c:numCache>
                <c:formatCode>#,##0_);\(#,##0\)</c:formatCode>
                <c:ptCount val="2"/>
                <c:pt idx="0">
                  <c:v>36530.186559029287</c:v>
                </c:pt>
                <c:pt idx="1">
                  <c:v>45066.213605152559</c:v>
                </c:pt>
              </c:numCache>
            </c:numRef>
          </c:val>
          <c:extLst>
            <c:ext xmlns:c16="http://schemas.microsoft.com/office/drawing/2014/chart" uri="{C3380CC4-5D6E-409C-BE32-E72D297353CC}">
              <c16:uniqueId val="{00000004-5711-4608-86DA-F2C2C8CD3ED1}"/>
            </c:ext>
          </c:extLst>
        </c:ser>
        <c:dLbls>
          <c:showLegendKey val="0"/>
          <c:showVal val="0"/>
          <c:showCatName val="0"/>
          <c:showSerName val="0"/>
          <c:showPercent val="0"/>
          <c:showBubbleSize val="0"/>
        </c:dLbls>
        <c:gapWidth val="150"/>
        <c:overlap val="100"/>
        <c:axId val="291600624"/>
        <c:axId val="291612048"/>
      </c:barChart>
      <c:catAx>
        <c:axId val="291600624"/>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291612048"/>
        <c:crosses val="autoZero"/>
        <c:auto val="1"/>
        <c:lblAlgn val="ctr"/>
        <c:lblOffset val="100"/>
        <c:noMultiLvlLbl val="0"/>
      </c:catAx>
      <c:valAx>
        <c:axId val="291612048"/>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291600624"/>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'03-08_SectorTbl'!$F$111</c:f>
              <c:strCache>
                <c:ptCount val="1"/>
                <c:pt idx="0">
                  <c:v>Port of Seattle On-terminal</c:v>
                </c:pt>
              </c:strCache>
            </c:strRef>
          </c:tx>
          <c:invertIfNegative val="0"/>
          <c:cat>
            <c:strRef>
              <c:f>'03-08_SectorTbl'!$G$110:$H$110</c:f>
              <c:strCache>
                <c:ptCount val="2"/>
                <c:pt idx="0">
                  <c:v>2003</c:v>
                </c:pt>
                <c:pt idx="1">
                  <c:v>2008</c:v>
                </c:pt>
              </c:strCache>
            </c:strRef>
          </c:cat>
          <c:val>
            <c:numRef>
              <c:f>'03-08_SectorTbl'!$G$111:$H$111</c:f>
              <c:numCache>
                <c:formatCode>#,##0_);\(#,##0\)</c:formatCode>
                <c:ptCount val="2"/>
                <c:pt idx="0">
                  <c:v>11109.477951823716</c:v>
                </c:pt>
                <c:pt idx="1">
                  <c:v>15882.897605643078</c:v>
                </c:pt>
              </c:numCache>
            </c:numRef>
          </c:val>
          <c:extLst>
            <c:ext xmlns:c16="http://schemas.microsoft.com/office/drawing/2014/chart" uri="{C3380CC4-5D6E-409C-BE32-E72D297353CC}">
              <c16:uniqueId val="{00000000-449D-468A-B2EF-051041AA1AA3}"/>
            </c:ext>
          </c:extLst>
        </c:ser>
        <c:ser>
          <c:idx val="1"/>
          <c:order val="1"/>
          <c:tx>
            <c:strRef>
              <c:f>'03-08_SectorTbl'!$F$112</c:f>
              <c:strCache>
                <c:ptCount val="1"/>
                <c:pt idx="0">
                  <c:v>Port of Seattle Off-terminal</c:v>
                </c:pt>
              </c:strCache>
            </c:strRef>
          </c:tx>
          <c:invertIfNegative val="0"/>
          <c:cat>
            <c:strRef>
              <c:f>'03-08_SectorTbl'!$G$110:$H$110</c:f>
              <c:strCache>
                <c:ptCount val="2"/>
                <c:pt idx="0">
                  <c:v>2003</c:v>
                </c:pt>
                <c:pt idx="1">
                  <c:v>2008</c:v>
                </c:pt>
              </c:strCache>
            </c:strRef>
          </c:cat>
          <c:val>
            <c:numRef>
              <c:f>'03-08_SectorTbl'!$G$112:$H$112</c:f>
              <c:numCache>
                <c:formatCode>#,##0_);\(#,##0\)</c:formatCode>
                <c:ptCount val="2"/>
                <c:pt idx="0">
                  <c:v>13748.310283386569</c:v>
                </c:pt>
                <c:pt idx="1">
                  <c:v>19655.559462701171</c:v>
                </c:pt>
              </c:numCache>
            </c:numRef>
          </c:val>
          <c:extLst>
            <c:ext xmlns:c16="http://schemas.microsoft.com/office/drawing/2014/chart" uri="{C3380CC4-5D6E-409C-BE32-E72D297353CC}">
              <c16:uniqueId val="{00000001-449D-468A-B2EF-051041AA1AA3}"/>
            </c:ext>
          </c:extLst>
        </c:ser>
        <c:ser>
          <c:idx val="2"/>
          <c:order val="2"/>
          <c:tx>
            <c:strRef>
              <c:f>'03-08_SectorTbl'!$F$113</c:f>
              <c:strCache>
                <c:ptCount val="1"/>
                <c:pt idx="0">
                  <c:v> Other freight</c:v>
                </c:pt>
              </c:strCache>
            </c:strRef>
          </c:tx>
          <c:invertIfNegative val="0"/>
          <c:cat>
            <c:strRef>
              <c:f>'03-08_SectorTbl'!$G$110:$H$110</c:f>
              <c:strCache>
                <c:ptCount val="2"/>
                <c:pt idx="0">
                  <c:v>2003</c:v>
                </c:pt>
                <c:pt idx="1">
                  <c:v>2008</c:v>
                </c:pt>
              </c:strCache>
            </c:strRef>
          </c:cat>
          <c:val>
            <c:numRef>
              <c:f>'03-08_SectorTbl'!$G$113:$H$113</c:f>
              <c:numCache>
                <c:formatCode>#,##0_);\(#,##0\)</c:formatCode>
                <c:ptCount val="2"/>
                <c:pt idx="0">
                  <c:v>23981.875891563755</c:v>
                </c:pt>
                <c:pt idx="1">
                  <c:v>34286.190658888627</c:v>
                </c:pt>
              </c:numCache>
            </c:numRef>
          </c:val>
          <c:extLst>
            <c:ext xmlns:c16="http://schemas.microsoft.com/office/drawing/2014/chart" uri="{C3380CC4-5D6E-409C-BE32-E72D297353CC}">
              <c16:uniqueId val="{00000002-449D-468A-B2EF-051041AA1AA3}"/>
            </c:ext>
          </c:extLst>
        </c:ser>
        <c:dLbls>
          <c:showLegendKey val="0"/>
          <c:showVal val="0"/>
          <c:showCatName val="0"/>
          <c:showSerName val="0"/>
          <c:showPercent val="0"/>
          <c:showBubbleSize val="0"/>
        </c:dLbls>
        <c:gapWidth val="150"/>
        <c:overlap val="100"/>
        <c:axId val="291603344"/>
        <c:axId val="291607152"/>
      </c:barChart>
      <c:catAx>
        <c:axId val="291603344"/>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291607152"/>
        <c:crosses val="autoZero"/>
        <c:auto val="1"/>
        <c:lblAlgn val="ctr"/>
        <c:lblOffset val="100"/>
        <c:noMultiLvlLbl val="0"/>
      </c:catAx>
      <c:valAx>
        <c:axId val="291607152"/>
        <c:scaling>
          <c:orientation val="minMax"/>
        </c:scaling>
        <c:delete val="0"/>
        <c:axPos val="l"/>
        <c:majorGridlines/>
        <c:title>
          <c:tx>
            <c:rich>
              <a:bodyPr rot="-5400000" vert="horz"/>
              <a:lstStyle/>
              <a:p>
                <a:pPr>
                  <a:defRPr/>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291603344"/>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'03-08_SectorTbl'!$F$121</c:f>
              <c:strCache>
                <c:ptCount val="1"/>
                <c:pt idx="0">
                  <c:v>King County International Airport</c:v>
                </c:pt>
              </c:strCache>
            </c:strRef>
          </c:tx>
          <c:invertIfNegative val="0"/>
          <c:cat>
            <c:strRef>
              <c:f>'03-08_SectorTbl'!$G$120:$H$120</c:f>
              <c:strCache>
                <c:ptCount val="2"/>
                <c:pt idx="0">
                  <c:v>2003</c:v>
                </c:pt>
                <c:pt idx="1">
                  <c:v>2008</c:v>
                </c:pt>
              </c:strCache>
            </c:strRef>
          </c:cat>
          <c:val>
            <c:numRef>
              <c:f>'03-08_SectorTbl'!$G$121:$H$121</c:f>
              <c:numCache>
                <c:formatCode>#,##0_);\(#,##0\)</c:formatCode>
                <c:ptCount val="2"/>
                <c:pt idx="0">
                  <c:v>138331.8128123733</c:v>
                </c:pt>
                <c:pt idx="1">
                  <c:v>133584.89082315794</c:v>
                </c:pt>
              </c:numCache>
            </c:numRef>
          </c:val>
          <c:extLst>
            <c:ext xmlns:c16="http://schemas.microsoft.com/office/drawing/2014/chart" uri="{C3380CC4-5D6E-409C-BE32-E72D297353CC}">
              <c16:uniqueId val="{00000000-844F-481F-BE38-16CEF97941DC}"/>
            </c:ext>
          </c:extLst>
        </c:ser>
        <c:ser>
          <c:idx val="1"/>
          <c:order val="1"/>
          <c:tx>
            <c:strRef>
              <c:f>'03-08_SectorTbl'!$F$122</c:f>
              <c:strCache>
                <c:ptCount val="1"/>
                <c:pt idx="0">
                  <c:v>Sea-Tac International Airport</c:v>
                </c:pt>
              </c:strCache>
            </c:strRef>
          </c:tx>
          <c:invertIfNegative val="0"/>
          <c:cat>
            <c:strRef>
              <c:f>'03-08_SectorTbl'!$G$120:$H$120</c:f>
              <c:strCache>
                <c:ptCount val="2"/>
                <c:pt idx="0">
                  <c:v>2003</c:v>
                </c:pt>
                <c:pt idx="1">
                  <c:v>2008</c:v>
                </c:pt>
              </c:strCache>
            </c:strRef>
          </c:cat>
          <c:val>
            <c:numRef>
              <c:f>'03-08_SectorTbl'!$G$122:$H$122</c:f>
              <c:numCache>
                <c:formatCode>#,##0_);\(#,##0\)</c:formatCode>
                <c:ptCount val="2"/>
                <c:pt idx="0">
                  <c:v>1756698.2214198047</c:v>
                </c:pt>
                <c:pt idx="1">
                  <c:v>2043450.2112939602</c:v>
                </c:pt>
              </c:numCache>
            </c:numRef>
          </c:val>
          <c:extLst>
            <c:ext xmlns:c16="http://schemas.microsoft.com/office/drawing/2014/chart" uri="{C3380CC4-5D6E-409C-BE32-E72D297353CC}">
              <c16:uniqueId val="{00000001-844F-481F-BE38-16CEF97941DC}"/>
            </c:ext>
          </c:extLst>
        </c:ser>
        <c:dLbls>
          <c:showLegendKey val="0"/>
          <c:showVal val="0"/>
          <c:showCatName val="0"/>
          <c:showSerName val="0"/>
          <c:showPercent val="0"/>
          <c:showBubbleSize val="0"/>
        </c:dLbls>
        <c:gapWidth val="150"/>
        <c:overlap val="100"/>
        <c:axId val="1388048"/>
        <c:axId val="1392944"/>
      </c:barChart>
      <c:catAx>
        <c:axId val="1388048"/>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1392944"/>
        <c:crosses val="autoZero"/>
        <c:auto val="1"/>
        <c:lblAlgn val="ctr"/>
        <c:lblOffset val="100"/>
        <c:noMultiLvlLbl val="0"/>
      </c:catAx>
      <c:valAx>
        <c:axId val="1392944"/>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1388048"/>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'03-08_SectorTbl'!$F$133</c:f>
              <c:strCache>
                <c:ptCount val="1"/>
                <c:pt idx="0">
                  <c:v>Electricity </c:v>
                </c:pt>
              </c:strCache>
            </c:strRef>
          </c:tx>
          <c:invertIfNegative val="0"/>
          <c:cat>
            <c:strRef>
              <c:f>'03-08_SectorTbl'!$G$132:$H$132</c:f>
              <c:strCache>
                <c:ptCount val="2"/>
                <c:pt idx="0">
                  <c:v>2003</c:v>
                </c:pt>
                <c:pt idx="1">
                  <c:v>2008</c:v>
                </c:pt>
              </c:strCache>
            </c:strRef>
          </c:cat>
          <c:val>
            <c:numRef>
              <c:f>'03-08_SectorTbl'!$G$133:$H$133</c:f>
              <c:numCache>
                <c:formatCode>#,##0_);\(#,##0\)</c:formatCode>
                <c:ptCount val="2"/>
                <c:pt idx="0">
                  <c:v>1866534.1063584599</c:v>
                </c:pt>
                <c:pt idx="1">
                  <c:v>2056709.8333594454</c:v>
                </c:pt>
              </c:numCache>
            </c:numRef>
          </c:val>
          <c:extLst>
            <c:ext xmlns:c16="http://schemas.microsoft.com/office/drawing/2014/chart" uri="{C3380CC4-5D6E-409C-BE32-E72D297353CC}">
              <c16:uniqueId val="{00000000-6E3F-4B85-826F-E79F162F1C0F}"/>
            </c:ext>
          </c:extLst>
        </c:ser>
        <c:ser>
          <c:idx val="1"/>
          <c:order val="1"/>
          <c:tx>
            <c:strRef>
              <c:f>'03-08_SectorTbl'!$F$134</c:f>
              <c:strCache>
                <c:ptCount val="1"/>
                <c:pt idx="0">
                  <c:v>Direct Fuel Use</c:v>
                </c:pt>
              </c:strCache>
            </c:strRef>
          </c:tx>
          <c:invertIfNegative val="0"/>
          <c:cat>
            <c:strRef>
              <c:f>'03-08_SectorTbl'!$G$132:$H$132</c:f>
              <c:strCache>
                <c:ptCount val="2"/>
                <c:pt idx="0">
                  <c:v>2003</c:v>
                </c:pt>
                <c:pt idx="1">
                  <c:v>2008</c:v>
                </c:pt>
              </c:strCache>
            </c:strRef>
          </c:cat>
          <c:val>
            <c:numRef>
              <c:f>'03-08_SectorTbl'!$G$134:$H$134</c:f>
              <c:numCache>
                <c:formatCode>#,##0_);\(#,##0\)</c:formatCode>
                <c:ptCount val="2"/>
              </c:numCache>
            </c:numRef>
          </c:val>
          <c:extLst>
            <c:ext xmlns:c16="http://schemas.microsoft.com/office/drawing/2014/chart" uri="{C3380CC4-5D6E-409C-BE32-E72D297353CC}">
              <c16:uniqueId val="{00000001-6E3F-4B85-826F-E79F162F1C0F}"/>
            </c:ext>
          </c:extLst>
        </c:ser>
        <c:ser>
          <c:idx val="2"/>
          <c:order val="2"/>
          <c:tx>
            <c:strRef>
              <c:f>'03-08_SectorTbl'!$F$135</c:f>
              <c:strCache>
                <c:ptCount val="1"/>
                <c:pt idx="0">
                  <c:v>Natural gas</c:v>
                </c:pt>
              </c:strCache>
            </c:strRef>
          </c:tx>
          <c:invertIfNegative val="0"/>
          <c:cat>
            <c:strRef>
              <c:f>'03-08_SectorTbl'!$G$132:$H$132</c:f>
              <c:strCache>
                <c:ptCount val="2"/>
                <c:pt idx="0">
                  <c:v>2003</c:v>
                </c:pt>
                <c:pt idx="1">
                  <c:v>2008</c:v>
                </c:pt>
              </c:strCache>
            </c:strRef>
          </c:cat>
          <c:val>
            <c:numRef>
              <c:f>'03-08_SectorTbl'!$G$135:$H$135</c:f>
              <c:numCache>
                <c:formatCode>#,##0_);\(#,##0\)</c:formatCode>
                <c:ptCount val="2"/>
                <c:pt idx="0">
                  <c:v>1565449.9609237434</c:v>
                </c:pt>
                <c:pt idx="1">
                  <c:v>1815163.1470527851</c:v>
                </c:pt>
              </c:numCache>
            </c:numRef>
          </c:val>
          <c:extLst>
            <c:ext xmlns:c16="http://schemas.microsoft.com/office/drawing/2014/chart" uri="{C3380CC4-5D6E-409C-BE32-E72D297353CC}">
              <c16:uniqueId val="{00000002-6E3F-4B85-826F-E79F162F1C0F}"/>
            </c:ext>
          </c:extLst>
        </c:ser>
        <c:ser>
          <c:idx val="3"/>
          <c:order val="3"/>
          <c:tx>
            <c:strRef>
              <c:f>'03-08_SectorTbl'!$F$136</c:f>
              <c:strCache>
                <c:ptCount val="1"/>
                <c:pt idx="0">
                  <c:v>Oil</c:v>
                </c:pt>
              </c:strCache>
            </c:strRef>
          </c:tx>
          <c:invertIfNegative val="0"/>
          <c:cat>
            <c:strRef>
              <c:f>'03-08_SectorTbl'!$G$132:$H$132</c:f>
              <c:strCache>
                <c:ptCount val="2"/>
                <c:pt idx="0">
                  <c:v>2003</c:v>
                </c:pt>
                <c:pt idx="1">
                  <c:v>2008</c:v>
                </c:pt>
              </c:strCache>
            </c:strRef>
          </c:cat>
          <c:val>
            <c:numRef>
              <c:f>'03-08_SectorTbl'!$G$136:$H$136</c:f>
              <c:numCache>
                <c:formatCode>#,##0_);\(#,##0\)</c:formatCode>
                <c:ptCount val="2"/>
                <c:pt idx="0">
                  <c:v>284427.46213974222</c:v>
                </c:pt>
                <c:pt idx="1">
                  <c:v>215035.96310774286</c:v>
                </c:pt>
              </c:numCache>
            </c:numRef>
          </c:val>
          <c:extLst>
            <c:ext xmlns:c16="http://schemas.microsoft.com/office/drawing/2014/chart" uri="{C3380CC4-5D6E-409C-BE32-E72D297353CC}">
              <c16:uniqueId val="{00000003-6E3F-4B85-826F-E79F162F1C0F}"/>
            </c:ext>
          </c:extLst>
        </c:ser>
        <c:ser>
          <c:idx val="4"/>
          <c:order val="4"/>
          <c:tx>
            <c:strRef>
              <c:f>'03-08_SectorTbl'!$F$137</c:f>
              <c:strCache>
                <c:ptCount val="1"/>
                <c:pt idx="0">
                  <c:v>Yard Equipment</c:v>
                </c:pt>
              </c:strCache>
            </c:strRef>
          </c:tx>
          <c:invertIfNegative val="0"/>
          <c:cat>
            <c:strRef>
              <c:f>'03-08_SectorTbl'!$G$132:$H$132</c:f>
              <c:strCache>
                <c:ptCount val="2"/>
                <c:pt idx="0">
                  <c:v>2003</c:v>
                </c:pt>
                <c:pt idx="1">
                  <c:v>2008</c:v>
                </c:pt>
              </c:strCache>
            </c:strRef>
          </c:cat>
          <c:val>
            <c:numRef>
              <c:f>'03-08_SectorTbl'!$G$137:$H$137</c:f>
              <c:numCache>
                <c:formatCode>#,##0_);\(#,##0\)</c:formatCode>
                <c:ptCount val="2"/>
              </c:numCache>
            </c:numRef>
          </c:val>
          <c:extLst>
            <c:ext xmlns:c16="http://schemas.microsoft.com/office/drawing/2014/chart" uri="{C3380CC4-5D6E-409C-BE32-E72D297353CC}">
              <c16:uniqueId val="{00000004-6E3F-4B85-826F-E79F162F1C0F}"/>
            </c:ext>
          </c:extLst>
        </c:ser>
        <c:ser>
          <c:idx val="5"/>
          <c:order val="5"/>
          <c:tx>
            <c:strRef>
              <c:f>'03-08_SectorTbl'!$F$138</c:f>
              <c:strCache>
                <c:ptCount val="1"/>
                <c:pt idx="0">
                  <c:v>Gasoline</c:v>
                </c:pt>
              </c:strCache>
            </c:strRef>
          </c:tx>
          <c:invertIfNegative val="0"/>
          <c:cat>
            <c:strRef>
              <c:f>'03-08_SectorTbl'!$G$132:$H$132</c:f>
              <c:strCache>
                <c:ptCount val="2"/>
                <c:pt idx="0">
                  <c:v>2003</c:v>
                </c:pt>
                <c:pt idx="1">
                  <c:v>2008</c:v>
                </c:pt>
              </c:strCache>
            </c:strRef>
          </c:cat>
          <c:val>
            <c:numRef>
              <c:f>'03-08_SectorTbl'!$G$138:$H$138</c:f>
              <c:numCache>
                <c:formatCode>#,##0_);\(#,##0\)</c:formatCode>
                <c:ptCount val="2"/>
                <c:pt idx="0">
                  <c:v>46015.111945072349</c:v>
                </c:pt>
                <c:pt idx="1">
                  <c:v>48991.925179167374</c:v>
                </c:pt>
              </c:numCache>
            </c:numRef>
          </c:val>
          <c:extLst>
            <c:ext xmlns:c16="http://schemas.microsoft.com/office/drawing/2014/chart" uri="{C3380CC4-5D6E-409C-BE32-E72D297353CC}">
              <c16:uniqueId val="{00000005-6E3F-4B85-826F-E79F162F1C0F}"/>
            </c:ext>
          </c:extLst>
        </c:ser>
        <c:ser>
          <c:idx val="6"/>
          <c:order val="6"/>
          <c:tx>
            <c:strRef>
              <c:f>'03-08_SectorTbl'!$F$139</c:f>
              <c:strCache>
                <c:ptCount val="1"/>
                <c:pt idx="0">
                  <c:v>Diesel</c:v>
                </c:pt>
              </c:strCache>
            </c:strRef>
          </c:tx>
          <c:invertIfNegative val="0"/>
          <c:cat>
            <c:strRef>
              <c:f>'03-08_SectorTbl'!$G$132:$H$132</c:f>
              <c:strCache>
                <c:ptCount val="2"/>
                <c:pt idx="0">
                  <c:v>2003</c:v>
                </c:pt>
                <c:pt idx="1">
                  <c:v>2008</c:v>
                </c:pt>
              </c:strCache>
            </c:strRef>
          </c:cat>
          <c:val>
            <c:numRef>
              <c:f>'03-08_SectorTbl'!$G$139:$H$139</c:f>
              <c:numCache>
                <c:formatCode>#,##0_);\(#,##0\)</c:formatCode>
                <c:ptCount val="2"/>
                <c:pt idx="0">
                  <c:v>147.64624970976709</c:v>
                </c:pt>
                <c:pt idx="1">
                  <c:v>157.19779248608759</c:v>
                </c:pt>
              </c:numCache>
            </c:numRef>
          </c:val>
          <c:extLst>
            <c:ext xmlns:c16="http://schemas.microsoft.com/office/drawing/2014/chart" uri="{C3380CC4-5D6E-409C-BE32-E72D297353CC}">
              <c16:uniqueId val="{00000006-6E3F-4B85-826F-E79F162F1C0F}"/>
            </c:ext>
          </c:extLst>
        </c:ser>
        <c:ser>
          <c:idx val="7"/>
          <c:order val="7"/>
          <c:tx>
            <c:strRef>
              <c:f>'03-08_SectorTbl'!$F$140</c:f>
              <c:strCache>
                <c:ptCount val="1"/>
                <c:pt idx="0">
                  <c:v>LPG</c:v>
                </c:pt>
              </c:strCache>
            </c:strRef>
          </c:tx>
          <c:invertIfNegative val="0"/>
          <c:cat>
            <c:strRef>
              <c:f>'03-08_SectorTbl'!$G$132:$H$132</c:f>
              <c:strCache>
                <c:ptCount val="2"/>
                <c:pt idx="0">
                  <c:v>2003</c:v>
                </c:pt>
                <c:pt idx="1">
                  <c:v>2008</c:v>
                </c:pt>
              </c:strCache>
            </c:strRef>
          </c:cat>
          <c:val>
            <c:numRef>
              <c:f>'03-08_SectorTbl'!$G$140:$H$140</c:f>
              <c:numCache>
                <c:formatCode>#,##0_);\(#,##0\)</c:formatCode>
                <c:ptCount val="2"/>
                <c:pt idx="0">
                  <c:v>7.9162715242516635</c:v>
                </c:pt>
                <c:pt idx="1">
                  <c:v>8.4283915831186622</c:v>
                </c:pt>
              </c:numCache>
            </c:numRef>
          </c:val>
          <c:extLst>
            <c:ext xmlns:c16="http://schemas.microsoft.com/office/drawing/2014/chart" uri="{C3380CC4-5D6E-409C-BE32-E72D297353CC}">
              <c16:uniqueId val="{00000007-6E3F-4B85-826F-E79F162F1C0F}"/>
            </c:ext>
          </c:extLst>
        </c:ser>
        <c:dLbls>
          <c:showLegendKey val="0"/>
          <c:showVal val="0"/>
          <c:showCatName val="0"/>
          <c:showSerName val="0"/>
          <c:showPercent val="0"/>
          <c:showBubbleSize val="0"/>
        </c:dLbls>
        <c:gapWidth val="150"/>
        <c:overlap val="100"/>
        <c:axId val="1393488"/>
        <c:axId val="94685536"/>
      </c:barChart>
      <c:catAx>
        <c:axId val="1393488"/>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94685536"/>
        <c:crosses val="autoZero"/>
        <c:auto val="1"/>
        <c:lblAlgn val="ctr"/>
        <c:lblOffset val="100"/>
        <c:noMultiLvlLbl val="0"/>
      </c:catAx>
      <c:valAx>
        <c:axId val="94685536"/>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1393488"/>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'03-08_SectorTbl'!$F$147</c:f>
              <c:strCache>
                <c:ptCount val="1"/>
                <c:pt idx="0">
                  <c:v>Electricity</c:v>
                </c:pt>
              </c:strCache>
            </c:strRef>
          </c:tx>
          <c:invertIfNegative val="0"/>
          <c:cat>
            <c:strRef>
              <c:f>'03-08_SectorTbl'!$G$146:$H$146</c:f>
              <c:strCache>
                <c:ptCount val="2"/>
                <c:pt idx="0">
                  <c:v>2003</c:v>
                </c:pt>
                <c:pt idx="1">
                  <c:v>2008</c:v>
                </c:pt>
              </c:strCache>
            </c:strRef>
          </c:cat>
          <c:val>
            <c:numRef>
              <c:f>'03-08_SectorTbl'!$G$147:$H$147</c:f>
              <c:numCache>
                <c:formatCode>#,##0_);\(#,##0\)</c:formatCode>
                <c:ptCount val="2"/>
                <c:pt idx="0">
                  <c:v>2001481.2703278386</c:v>
                </c:pt>
                <c:pt idx="1">
                  <c:v>2278281.9927048925</c:v>
                </c:pt>
              </c:numCache>
            </c:numRef>
          </c:val>
          <c:extLst>
            <c:ext xmlns:c16="http://schemas.microsoft.com/office/drawing/2014/chart" uri="{C3380CC4-5D6E-409C-BE32-E72D297353CC}">
              <c16:uniqueId val="{00000000-F688-4404-A466-D7989EDCB8B3}"/>
            </c:ext>
          </c:extLst>
        </c:ser>
        <c:ser>
          <c:idx val="1"/>
          <c:order val="1"/>
          <c:tx>
            <c:strRef>
              <c:f>'03-08_SectorTbl'!$F$148</c:f>
              <c:strCache>
                <c:ptCount val="1"/>
                <c:pt idx="0">
                  <c:v>Direct Fuel Use</c:v>
                </c:pt>
              </c:strCache>
            </c:strRef>
          </c:tx>
          <c:invertIfNegative val="0"/>
          <c:cat>
            <c:strRef>
              <c:f>'03-08_SectorTbl'!$G$146:$H$146</c:f>
              <c:strCache>
                <c:ptCount val="2"/>
                <c:pt idx="0">
                  <c:v>2003</c:v>
                </c:pt>
                <c:pt idx="1">
                  <c:v>2008</c:v>
                </c:pt>
              </c:strCache>
            </c:strRef>
          </c:cat>
          <c:val>
            <c:numRef>
              <c:f>'03-08_SectorTbl'!$G$148:$H$148</c:f>
              <c:numCache>
                <c:formatCode>#,##0_);\(#,##0\)</c:formatCode>
                <c:ptCount val="2"/>
              </c:numCache>
            </c:numRef>
          </c:val>
          <c:extLst>
            <c:ext xmlns:c16="http://schemas.microsoft.com/office/drawing/2014/chart" uri="{C3380CC4-5D6E-409C-BE32-E72D297353CC}">
              <c16:uniqueId val="{00000001-F688-4404-A466-D7989EDCB8B3}"/>
            </c:ext>
          </c:extLst>
        </c:ser>
        <c:ser>
          <c:idx val="2"/>
          <c:order val="2"/>
          <c:tx>
            <c:strRef>
              <c:f>'03-08_SectorTbl'!$F$149</c:f>
              <c:strCache>
                <c:ptCount val="1"/>
                <c:pt idx="0">
                  <c:v>Natural Gas</c:v>
                </c:pt>
              </c:strCache>
            </c:strRef>
          </c:tx>
          <c:invertIfNegative val="0"/>
          <c:cat>
            <c:strRef>
              <c:f>'03-08_SectorTbl'!$G$146:$H$146</c:f>
              <c:strCache>
                <c:ptCount val="2"/>
                <c:pt idx="0">
                  <c:v>2003</c:v>
                </c:pt>
                <c:pt idx="1">
                  <c:v>2008</c:v>
                </c:pt>
              </c:strCache>
            </c:strRef>
          </c:cat>
          <c:val>
            <c:numRef>
              <c:f>'03-08_SectorTbl'!$G$149:$H$149</c:f>
              <c:numCache>
                <c:formatCode>#,##0_);\(#,##0\)</c:formatCode>
                <c:ptCount val="2"/>
                <c:pt idx="0">
                  <c:v>831954.80783429567</c:v>
                </c:pt>
                <c:pt idx="1">
                  <c:v>952343.16711714945</c:v>
                </c:pt>
              </c:numCache>
            </c:numRef>
          </c:val>
          <c:extLst>
            <c:ext xmlns:c16="http://schemas.microsoft.com/office/drawing/2014/chart" uri="{C3380CC4-5D6E-409C-BE32-E72D297353CC}">
              <c16:uniqueId val="{00000002-F688-4404-A466-D7989EDCB8B3}"/>
            </c:ext>
          </c:extLst>
        </c:ser>
        <c:ser>
          <c:idx val="3"/>
          <c:order val="3"/>
          <c:tx>
            <c:strRef>
              <c:f>'03-08_SectorTbl'!$F$150</c:f>
              <c:strCache>
                <c:ptCount val="1"/>
                <c:pt idx="0">
                  <c:v>Oil</c:v>
                </c:pt>
              </c:strCache>
            </c:strRef>
          </c:tx>
          <c:invertIfNegative val="0"/>
          <c:cat>
            <c:strRef>
              <c:f>'03-08_SectorTbl'!$G$146:$H$146</c:f>
              <c:strCache>
                <c:ptCount val="2"/>
                <c:pt idx="0">
                  <c:v>2003</c:v>
                </c:pt>
                <c:pt idx="1">
                  <c:v>2008</c:v>
                </c:pt>
              </c:strCache>
            </c:strRef>
          </c:cat>
          <c:val>
            <c:numRef>
              <c:f>'03-08_SectorTbl'!$G$150:$H$150</c:f>
              <c:numCache>
                <c:formatCode>#,##0_);\(#,##0\)</c:formatCode>
                <c:ptCount val="2"/>
                <c:pt idx="0">
                  <c:v>208780.99475738493</c:v>
                </c:pt>
                <c:pt idx="1">
                  <c:v>227202.69931051467</c:v>
                </c:pt>
              </c:numCache>
            </c:numRef>
          </c:val>
          <c:extLst>
            <c:ext xmlns:c16="http://schemas.microsoft.com/office/drawing/2014/chart" uri="{C3380CC4-5D6E-409C-BE32-E72D297353CC}">
              <c16:uniqueId val="{00000003-F688-4404-A466-D7989EDCB8B3}"/>
            </c:ext>
          </c:extLst>
        </c:ser>
        <c:ser>
          <c:idx val="4"/>
          <c:order val="4"/>
          <c:tx>
            <c:strRef>
              <c:f>'03-08_SectorTbl'!$F$151</c:f>
              <c:strCache>
                <c:ptCount val="1"/>
                <c:pt idx="0">
                  <c:v>Commercial Equipment</c:v>
                </c:pt>
              </c:strCache>
            </c:strRef>
          </c:tx>
          <c:invertIfNegative val="0"/>
          <c:cat>
            <c:strRef>
              <c:f>'03-08_SectorTbl'!$G$146:$H$146</c:f>
              <c:strCache>
                <c:ptCount val="2"/>
                <c:pt idx="0">
                  <c:v>2003</c:v>
                </c:pt>
                <c:pt idx="1">
                  <c:v>2008</c:v>
                </c:pt>
              </c:strCache>
            </c:strRef>
          </c:cat>
          <c:val>
            <c:numRef>
              <c:f>'03-08_SectorTbl'!$G$151:$H$151</c:f>
              <c:numCache>
                <c:formatCode>#,##0_);\(#,##0\)</c:formatCode>
                <c:ptCount val="2"/>
              </c:numCache>
            </c:numRef>
          </c:val>
          <c:extLst>
            <c:ext xmlns:c16="http://schemas.microsoft.com/office/drawing/2014/chart" uri="{C3380CC4-5D6E-409C-BE32-E72D297353CC}">
              <c16:uniqueId val="{00000004-F688-4404-A466-D7989EDCB8B3}"/>
            </c:ext>
          </c:extLst>
        </c:ser>
        <c:ser>
          <c:idx val="5"/>
          <c:order val="5"/>
          <c:tx>
            <c:strRef>
              <c:f>'03-08_SectorTbl'!$F$152</c:f>
              <c:strCache>
                <c:ptCount val="1"/>
                <c:pt idx="0">
                  <c:v>Diesel </c:v>
                </c:pt>
              </c:strCache>
            </c:strRef>
          </c:tx>
          <c:invertIfNegative val="0"/>
          <c:cat>
            <c:strRef>
              <c:f>'03-08_SectorTbl'!$G$146:$H$146</c:f>
              <c:strCache>
                <c:ptCount val="2"/>
                <c:pt idx="0">
                  <c:v>2003</c:v>
                </c:pt>
                <c:pt idx="1">
                  <c:v>2008</c:v>
                </c:pt>
              </c:strCache>
            </c:strRef>
          </c:cat>
          <c:val>
            <c:numRef>
              <c:f>'03-08_SectorTbl'!$G$152:$H$152</c:f>
              <c:numCache>
                <c:formatCode>#,##0_);\(#,##0\)</c:formatCode>
                <c:ptCount val="2"/>
                <c:pt idx="0">
                  <c:v>100784.79525989</c:v>
                </c:pt>
                <c:pt idx="1">
                  <c:v>109403.74801667969</c:v>
                </c:pt>
              </c:numCache>
            </c:numRef>
          </c:val>
          <c:extLst>
            <c:ext xmlns:c16="http://schemas.microsoft.com/office/drawing/2014/chart" uri="{C3380CC4-5D6E-409C-BE32-E72D297353CC}">
              <c16:uniqueId val="{00000005-F688-4404-A466-D7989EDCB8B3}"/>
            </c:ext>
          </c:extLst>
        </c:ser>
        <c:ser>
          <c:idx val="6"/>
          <c:order val="6"/>
          <c:tx>
            <c:strRef>
              <c:f>'03-08_SectorTbl'!$F$153</c:f>
              <c:strCache>
                <c:ptCount val="1"/>
                <c:pt idx="0">
                  <c:v>Gasoline </c:v>
                </c:pt>
              </c:strCache>
            </c:strRef>
          </c:tx>
          <c:invertIfNegative val="0"/>
          <c:cat>
            <c:strRef>
              <c:f>'03-08_SectorTbl'!$G$146:$H$146</c:f>
              <c:strCache>
                <c:ptCount val="2"/>
                <c:pt idx="0">
                  <c:v>2003</c:v>
                </c:pt>
                <c:pt idx="1">
                  <c:v>2008</c:v>
                </c:pt>
              </c:strCache>
            </c:strRef>
          </c:cat>
          <c:val>
            <c:numRef>
              <c:f>'03-08_SectorTbl'!$G$153:$H$153</c:f>
              <c:numCache>
                <c:formatCode>#,##0_);\(#,##0\)</c:formatCode>
                <c:ptCount val="2"/>
                <c:pt idx="0">
                  <c:v>229882.68359006301</c:v>
                </c:pt>
                <c:pt idx="1">
                  <c:v>249541.87905062389</c:v>
                </c:pt>
              </c:numCache>
            </c:numRef>
          </c:val>
          <c:extLst>
            <c:ext xmlns:c16="http://schemas.microsoft.com/office/drawing/2014/chart" uri="{C3380CC4-5D6E-409C-BE32-E72D297353CC}">
              <c16:uniqueId val="{00000006-F688-4404-A466-D7989EDCB8B3}"/>
            </c:ext>
          </c:extLst>
        </c:ser>
        <c:ser>
          <c:idx val="7"/>
          <c:order val="7"/>
          <c:tx>
            <c:strRef>
              <c:f>'03-08_SectorTbl'!$F$154</c:f>
              <c:strCache>
                <c:ptCount val="1"/>
                <c:pt idx="0">
                  <c:v>LPG </c:v>
                </c:pt>
              </c:strCache>
            </c:strRef>
          </c:tx>
          <c:invertIfNegative val="0"/>
          <c:cat>
            <c:strRef>
              <c:f>'03-08_SectorTbl'!$G$146:$H$146</c:f>
              <c:strCache>
                <c:ptCount val="2"/>
                <c:pt idx="0">
                  <c:v>2003</c:v>
                </c:pt>
                <c:pt idx="1">
                  <c:v>2008</c:v>
                </c:pt>
              </c:strCache>
            </c:strRef>
          </c:cat>
          <c:val>
            <c:numRef>
              <c:f>'03-08_SectorTbl'!$G$154:$H$154</c:f>
              <c:numCache>
                <c:formatCode>#,##0_);\(#,##0\)</c:formatCode>
                <c:ptCount val="2"/>
                <c:pt idx="0">
                  <c:v>10500.932440345654</c:v>
                </c:pt>
                <c:pt idx="1">
                  <c:v>11398.955206301494</c:v>
                </c:pt>
              </c:numCache>
            </c:numRef>
          </c:val>
          <c:extLst>
            <c:ext xmlns:c16="http://schemas.microsoft.com/office/drawing/2014/chart" uri="{C3380CC4-5D6E-409C-BE32-E72D297353CC}">
              <c16:uniqueId val="{00000007-F688-4404-A466-D7989EDCB8B3}"/>
            </c:ext>
          </c:extLst>
        </c:ser>
        <c:ser>
          <c:idx val="8"/>
          <c:order val="8"/>
          <c:tx>
            <c:strRef>
              <c:f>'03-08_SectorTbl'!$F$155</c:f>
              <c:strCache>
                <c:ptCount val="1"/>
                <c:pt idx="0">
                  <c:v>CNG </c:v>
                </c:pt>
              </c:strCache>
            </c:strRef>
          </c:tx>
          <c:invertIfNegative val="0"/>
          <c:cat>
            <c:strRef>
              <c:f>'03-08_SectorTbl'!$G$146:$H$146</c:f>
              <c:strCache>
                <c:ptCount val="2"/>
                <c:pt idx="0">
                  <c:v>2003</c:v>
                </c:pt>
                <c:pt idx="1">
                  <c:v>2008</c:v>
                </c:pt>
              </c:strCache>
            </c:strRef>
          </c:cat>
          <c:val>
            <c:numRef>
              <c:f>'03-08_SectorTbl'!$G$155:$H$155</c:f>
              <c:numCache>
                <c:formatCode>#,##0_);\(#,##0\)</c:formatCode>
                <c:ptCount val="2"/>
                <c:pt idx="0">
                  <c:v>36325.163697133365</c:v>
                </c:pt>
                <c:pt idx="1">
                  <c:v>39431.632971401414</c:v>
                </c:pt>
              </c:numCache>
            </c:numRef>
          </c:val>
          <c:extLst>
            <c:ext xmlns:c16="http://schemas.microsoft.com/office/drawing/2014/chart" uri="{C3380CC4-5D6E-409C-BE32-E72D297353CC}">
              <c16:uniqueId val="{00000008-F688-4404-A466-D7989EDCB8B3}"/>
            </c:ext>
          </c:extLst>
        </c:ser>
        <c:ser>
          <c:idx val="9"/>
          <c:order val="9"/>
          <c:tx>
            <c:strRef>
              <c:f>'03-08_SectorTbl'!$F$156</c:f>
              <c:strCache>
                <c:ptCount val="1"/>
                <c:pt idx="0">
                  <c:v>Steam Plants</c:v>
                </c:pt>
              </c:strCache>
            </c:strRef>
          </c:tx>
          <c:invertIfNegative val="0"/>
          <c:cat>
            <c:strRef>
              <c:f>'03-08_SectorTbl'!$G$146:$H$146</c:f>
              <c:strCache>
                <c:ptCount val="2"/>
                <c:pt idx="0">
                  <c:v>2003</c:v>
                </c:pt>
                <c:pt idx="1">
                  <c:v>2008</c:v>
                </c:pt>
              </c:strCache>
            </c:strRef>
          </c:cat>
          <c:val>
            <c:numRef>
              <c:f>'03-08_SectorTbl'!$G$156:$H$156</c:f>
              <c:numCache>
                <c:formatCode>#,##0_);\(#,##0\)</c:formatCode>
                <c:ptCount val="2"/>
              </c:numCache>
            </c:numRef>
          </c:val>
          <c:extLst>
            <c:ext xmlns:c16="http://schemas.microsoft.com/office/drawing/2014/chart" uri="{C3380CC4-5D6E-409C-BE32-E72D297353CC}">
              <c16:uniqueId val="{00000009-F688-4404-A466-D7989EDCB8B3}"/>
            </c:ext>
          </c:extLst>
        </c:ser>
        <c:ser>
          <c:idx val="10"/>
          <c:order val="10"/>
          <c:tx>
            <c:strRef>
              <c:f>'03-08_SectorTbl'!$F$157</c:f>
              <c:strCache>
                <c:ptCount val="1"/>
                <c:pt idx="0">
                  <c:v>Natural Gas</c:v>
                </c:pt>
              </c:strCache>
            </c:strRef>
          </c:tx>
          <c:invertIfNegative val="0"/>
          <c:cat>
            <c:strRef>
              <c:f>'03-08_SectorTbl'!$G$146:$H$146</c:f>
              <c:strCache>
                <c:ptCount val="2"/>
                <c:pt idx="0">
                  <c:v>2003</c:v>
                </c:pt>
                <c:pt idx="1">
                  <c:v>2008</c:v>
                </c:pt>
              </c:strCache>
            </c:strRef>
          </c:cat>
          <c:val>
            <c:numRef>
              <c:f>'03-08_SectorTbl'!$G$157:$H$157</c:f>
              <c:numCache>
                <c:formatCode>#,##0_);\(#,##0\)</c:formatCode>
                <c:ptCount val="2"/>
                <c:pt idx="0">
                  <c:v>160081.15402892014</c:v>
                </c:pt>
                <c:pt idx="1">
                  <c:v>176252.8617572583</c:v>
                </c:pt>
              </c:numCache>
            </c:numRef>
          </c:val>
          <c:extLst>
            <c:ext xmlns:c16="http://schemas.microsoft.com/office/drawing/2014/chart" uri="{C3380CC4-5D6E-409C-BE32-E72D297353CC}">
              <c16:uniqueId val="{0000000A-F688-4404-A466-D7989EDCB8B3}"/>
            </c:ext>
          </c:extLst>
        </c:ser>
        <c:ser>
          <c:idx val="11"/>
          <c:order val="11"/>
          <c:tx>
            <c:strRef>
              <c:f>'03-08_SectorTbl'!$F$158</c:f>
              <c:strCache>
                <c:ptCount val="1"/>
                <c:pt idx="0">
                  <c:v>Oil </c:v>
                </c:pt>
              </c:strCache>
            </c:strRef>
          </c:tx>
          <c:invertIfNegative val="0"/>
          <c:cat>
            <c:strRef>
              <c:f>'03-08_SectorTbl'!$G$146:$H$146</c:f>
              <c:strCache>
                <c:ptCount val="2"/>
                <c:pt idx="0">
                  <c:v>2003</c:v>
                </c:pt>
                <c:pt idx="1">
                  <c:v>2008</c:v>
                </c:pt>
              </c:strCache>
            </c:strRef>
          </c:cat>
          <c:val>
            <c:numRef>
              <c:f>'03-08_SectorTbl'!$G$158:$H$158</c:f>
              <c:numCache>
                <c:formatCode>#,##0_);\(#,##0\)</c:formatCode>
                <c:ptCount val="2"/>
                <c:pt idx="0">
                  <c:v>0</c:v>
                </c:pt>
                <c:pt idx="1">
                  <c:v>551.97471080411503</c:v>
                </c:pt>
              </c:numCache>
            </c:numRef>
          </c:val>
          <c:extLst>
            <c:ext xmlns:c16="http://schemas.microsoft.com/office/drawing/2014/chart" uri="{C3380CC4-5D6E-409C-BE32-E72D297353CC}">
              <c16:uniqueId val="{0000000B-F688-4404-A466-D7989EDCB8B3}"/>
            </c:ext>
          </c:extLst>
        </c:ser>
        <c:dLbls>
          <c:showLegendKey val="0"/>
          <c:showVal val="0"/>
          <c:showCatName val="0"/>
          <c:showSerName val="0"/>
          <c:showPercent val="0"/>
          <c:showBubbleSize val="0"/>
        </c:dLbls>
        <c:gapWidth val="150"/>
        <c:overlap val="100"/>
        <c:axId val="94682272"/>
        <c:axId val="95046992"/>
      </c:barChart>
      <c:catAx>
        <c:axId val="94682272"/>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95046992"/>
        <c:crosses val="autoZero"/>
        <c:auto val="1"/>
        <c:lblAlgn val="ctr"/>
        <c:lblOffset val="100"/>
        <c:noMultiLvlLbl val="0"/>
      </c:catAx>
      <c:valAx>
        <c:axId val="95046992"/>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94682272"/>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'03-08_SectorTbl'!$F$165</c:f>
              <c:strCache>
                <c:ptCount val="1"/>
                <c:pt idx="0">
                  <c:v>Electricity</c:v>
                </c:pt>
              </c:strCache>
            </c:strRef>
          </c:tx>
          <c:invertIfNegative val="0"/>
          <c:cat>
            <c:strRef>
              <c:f>'03-08_SectorTbl'!$G$164:$H$164</c:f>
              <c:strCache>
                <c:ptCount val="2"/>
                <c:pt idx="0">
                  <c:v>2003</c:v>
                </c:pt>
                <c:pt idx="1">
                  <c:v>2008</c:v>
                </c:pt>
              </c:strCache>
            </c:strRef>
          </c:cat>
          <c:val>
            <c:numRef>
              <c:f>'03-08_SectorTbl'!$G$165:$H$165</c:f>
              <c:numCache>
                <c:formatCode>#,##0_);\(#,##0\)</c:formatCode>
                <c:ptCount val="2"/>
                <c:pt idx="0">
                  <c:v>534708.13401730801</c:v>
                </c:pt>
                <c:pt idx="1">
                  <c:v>503629.9844031235</c:v>
                </c:pt>
              </c:numCache>
            </c:numRef>
          </c:val>
          <c:extLst>
            <c:ext xmlns:c16="http://schemas.microsoft.com/office/drawing/2014/chart" uri="{C3380CC4-5D6E-409C-BE32-E72D297353CC}">
              <c16:uniqueId val="{00000000-4B1A-4421-976B-D73BBDB99029}"/>
            </c:ext>
          </c:extLst>
        </c:ser>
        <c:ser>
          <c:idx val="1"/>
          <c:order val="1"/>
          <c:tx>
            <c:strRef>
              <c:f>'03-08_SectorTbl'!$F$166</c:f>
              <c:strCache>
                <c:ptCount val="1"/>
                <c:pt idx="0">
                  <c:v>Direct Fuel Use </c:v>
                </c:pt>
              </c:strCache>
            </c:strRef>
          </c:tx>
          <c:invertIfNegative val="0"/>
          <c:cat>
            <c:strRef>
              <c:f>'03-08_SectorTbl'!$G$164:$H$164</c:f>
              <c:strCache>
                <c:ptCount val="2"/>
                <c:pt idx="0">
                  <c:v>2003</c:v>
                </c:pt>
                <c:pt idx="1">
                  <c:v>2008</c:v>
                </c:pt>
              </c:strCache>
            </c:strRef>
          </c:cat>
          <c:val>
            <c:numRef>
              <c:f>'03-08_SectorTbl'!$G$166:$H$166</c:f>
              <c:numCache>
                <c:formatCode>#,##0_);\(#,##0\)</c:formatCode>
                <c:ptCount val="2"/>
              </c:numCache>
            </c:numRef>
          </c:val>
          <c:extLst>
            <c:ext xmlns:c16="http://schemas.microsoft.com/office/drawing/2014/chart" uri="{C3380CC4-5D6E-409C-BE32-E72D297353CC}">
              <c16:uniqueId val="{00000001-4B1A-4421-976B-D73BBDB99029}"/>
            </c:ext>
          </c:extLst>
        </c:ser>
        <c:ser>
          <c:idx val="2"/>
          <c:order val="2"/>
          <c:tx>
            <c:strRef>
              <c:f>'03-08_SectorTbl'!$F$167</c:f>
              <c:strCache>
                <c:ptCount val="1"/>
                <c:pt idx="0">
                  <c:v>Natural gas</c:v>
                </c:pt>
              </c:strCache>
            </c:strRef>
          </c:tx>
          <c:invertIfNegative val="0"/>
          <c:cat>
            <c:strRef>
              <c:f>'03-08_SectorTbl'!$G$164:$H$164</c:f>
              <c:strCache>
                <c:ptCount val="2"/>
                <c:pt idx="0">
                  <c:v>2003</c:v>
                </c:pt>
                <c:pt idx="1">
                  <c:v>2008</c:v>
                </c:pt>
              </c:strCache>
            </c:strRef>
          </c:cat>
          <c:val>
            <c:numRef>
              <c:f>'03-08_SectorTbl'!$G$167:$H$167</c:f>
              <c:numCache>
                <c:formatCode>#,##0_);\(#,##0\)</c:formatCode>
                <c:ptCount val="2"/>
                <c:pt idx="0">
                  <c:v>524162.0912656599</c:v>
                </c:pt>
                <c:pt idx="1">
                  <c:v>510643.34432334267</c:v>
                </c:pt>
              </c:numCache>
            </c:numRef>
          </c:val>
          <c:extLst>
            <c:ext xmlns:c16="http://schemas.microsoft.com/office/drawing/2014/chart" uri="{C3380CC4-5D6E-409C-BE32-E72D297353CC}">
              <c16:uniqueId val="{00000002-4B1A-4421-976B-D73BBDB99029}"/>
            </c:ext>
          </c:extLst>
        </c:ser>
        <c:ser>
          <c:idx val="3"/>
          <c:order val="3"/>
          <c:tx>
            <c:strRef>
              <c:f>'03-08_SectorTbl'!$F$168</c:f>
              <c:strCache>
                <c:ptCount val="1"/>
                <c:pt idx="0">
                  <c:v>Oil</c:v>
                </c:pt>
              </c:strCache>
            </c:strRef>
          </c:tx>
          <c:invertIfNegative val="0"/>
          <c:cat>
            <c:strRef>
              <c:f>'03-08_SectorTbl'!$G$164:$H$164</c:f>
              <c:strCache>
                <c:ptCount val="2"/>
                <c:pt idx="0">
                  <c:v>2003</c:v>
                </c:pt>
                <c:pt idx="1">
                  <c:v>2008</c:v>
                </c:pt>
              </c:strCache>
            </c:strRef>
          </c:cat>
          <c:val>
            <c:numRef>
              <c:f>'03-08_SectorTbl'!$G$168:$H$168</c:f>
              <c:numCache>
                <c:formatCode>#,##0_);\(#,##0\)</c:formatCode>
                <c:ptCount val="2"/>
                <c:pt idx="0">
                  <c:v>89059.205223995261</c:v>
                </c:pt>
                <c:pt idx="1">
                  <c:v>1198922.2301042632</c:v>
                </c:pt>
              </c:numCache>
            </c:numRef>
          </c:val>
          <c:extLst>
            <c:ext xmlns:c16="http://schemas.microsoft.com/office/drawing/2014/chart" uri="{C3380CC4-5D6E-409C-BE32-E72D297353CC}">
              <c16:uniqueId val="{00000003-4B1A-4421-976B-D73BBDB99029}"/>
            </c:ext>
          </c:extLst>
        </c:ser>
        <c:ser>
          <c:idx val="4"/>
          <c:order val="4"/>
          <c:tx>
            <c:strRef>
              <c:f>'03-08_SectorTbl'!$F$169</c:f>
              <c:strCache>
                <c:ptCount val="1"/>
                <c:pt idx="0">
                  <c:v>Industrial Equipment</c:v>
                </c:pt>
              </c:strCache>
            </c:strRef>
          </c:tx>
          <c:invertIfNegative val="0"/>
          <c:cat>
            <c:strRef>
              <c:f>'03-08_SectorTbl'!$G$164:$H$164</c:f>
              <c:strCache>
                <c:ptCount val="2"/>
                <c:pt idx="0">
                  <c:v>2003</c:v>
                </c:pt>
                <c:pt idx="1">
                  <c:v>2008</c:v>
                </c:pt>
              </c:strCache>
            </c:strRef>
          </c:cat>
          <c:val>
            <c:numRef>
              <c:f>'03-08_SectorTbl'!$G$169:$H$169</c:f>
              <c:numCache>
                <c:formatCode>#,##0_);\(#,##0\)</c:formatCode>
                <c:ptCount val="2"/>
              </c:numCache>
            </c:numRef>
          </c:val>
          <c:extLst>
            <c:ext xmlns:c16="http://schemas.microsoft.com/office/drawing/2014/chart" uri="{C3380CC4-5D6E-409C-BE32-E72D297353CC}">
              <c16:uniqueId val="{00000004-4B1A-4421-976B-D73BBDB99029}"/>
            </c:ext>
          </c:extLst>
        </c:ser>
        <c:ser>
          <c:idx val="5"/>
          <c:order val="5"/>
          <c:tx>
            <c:strRef>
              <c:f>'03-08_SectorTbl'!$F$170</c:f>
              <c:strCache>
                <c:ptCount val="1"/>
                <c:pt idx="0">
                  <c:v>Diesel</c:v>
                </c:pt>
              </c:strCache>
            </c:strRef>
          </c:tx>
          <c:invertIfNegative val="0"/>
          <c:cat>
            <c:strRef>
              <c:f>'03-08_SectorTbl'!$G$164:$H$164</c:f>
              <c:strCache>
                <c:ptCount val="2"/>
                <c:pt idx="0">
                  <c:v>2003</c:v>
                </c:pt>
                <c:pt idx="1">
                  <c:v>2008</c:v>
                </c:pt>
              </c:strCache>
            </c:strRef>
          </c:cat>
          <c:val>
            <c:numRef>
              <c:f>'03-08_SectorTbl'!$G$170:$H$170</c:f>
              <c:numCache>
                <c:formatCode>#,##0_);\(#,##0\)</c:formatCode>
                <c:ptCount val="2"/>
                <c:pt idx="0">
                  <c:v>560202.29937735747</c:v>
                </c:pt>
                <c:pt idx="1">
                  <c:v>608109.89436852338</c:v>
                </c:pt>
              </c:numCache>
            </c:numRef>
          </c:val>
          <c:extLst>
            <c:ext xmlns:c16="http://schemas.microsoft.com/office/drawing/2014/chart" uri="{C3380CC4-5D6E-409C-BE32-E72D297353CC}">
              <c16:uniqueId val="{00000005-4B1A-4421-976B-D73BBDB99029}"/>
            </c:ext>
          </c:extLst>
        </c:ser>
        <c:ser>
          <c:idx val="6"/>
          <c:order val="6"/>
          <c:tx>
            <c:strRef>
              <c:f>'03-08_SectorTbl'!$F$171</c:f>
              <c:strCache>
                <c:ptCount val="1"/>
                <c:pt idx="0">
                  <c:v>Gasoline</c:v>
                </c:pt>
              </c:strCache>
            </c:strRef>
          </c:tx>
          <c:invertIfNegative val="0"/>
          <c:cat>
            <c:strRef>
              <c:f>'03-08_SectorTbl'!$G$164:$H$164</c:f>
              <c:strCache>
                <c:ptCount val="2"/>
                <c:pt idx="0">
                  <c:v>2003</c:v>
                </c:pt>
                <c:pt idx="1">
                  <c:v>2008</c:v>
                </c:pt>
              </c:strCache>
            </c:strRef>
          </c:cat>
          <c:val>
            <c:numRef>
              <c:f>'03-08_SectorTbl'!$G$171:$H$171</c:f>
              <c:numCache>
                <c:formatCode>#,##0_);\(#,##0\)</c:formatCode>
                <c:ptCount val="2"/>
                <c:pt idx="0">
                  <c:v>14877.041433345628</c:v>
                </c:pt>
                <c:pt idx="1">
                  <c:v>16149.301965742017</c:v>
                </c:pt>
              </c:numCache>
            </c:numRef>
          </c:val>
          <c:extLst>
            <c:ext xmlns:c16="http://schemas.microsoft.com/office/drawing/2014/chart" uri="{C3380CC4-5D6E-409C-BE32-E72D297353CC}">
              <c16:uniqueId val="{00000006-4B1A-4421-976B-D73BBDB99029}"/>
            </c:ext>
          </c:extLst>
        </c:ser>
        <c:ser>
          <c:idx val="7"/>
          <c:order val="7"/>
          <c:tx>
            <c:strRef>
              <c:f>'03-08_SectorTbl'!$F$172</c:f>
              <c:strCache>
                <c:ptCount val="1"/>
                <c:pt idx="0">
                  <c:v>LPG</c:v>
                </c:pt>
              </c:strCache>
            </c:strRef>
          </c:tx>
          <c:invertIfNegative val="0"/>
          <c:cat>
            <c:strRef>
              <c:f>'03-08_SectorTbl'!$G$164:$H$164</c:f>
              <c:strCache>
                <c:ptCount val="2"/>
                <c:pt idx="0">
                  <c:v>2003</c:v>
                </c:pt>
                <c:pt idx="1">
                  <c:v>2008</c:v>
                </c:pt>
              </c:strCache>
            </c:strRef>
          </c:cat>
          <c:val>
            <c:numRef>
              <c:f>'03-08_SectorTbl'!$G$172:$H$172</c:f>
              <c:numCache>
                <c:formatCode>#,##0_);\(#,##0\)</c:formatCode>
                <c:ptCount val="2"/>
                <c:pt idx="0">
                  <c:v>96649.941697402654</c:v>
                </c:pt>
                <c:pt idx="1">
                  <c:v>104915.28846214342</c:v>
                </c:pt>
              </c:numCache>
            </c:numRef>
          </c:val>
          <c:extLst>
            <c:ext xmlns:c16="http://schemas.microsoft.com/office/drawing/2014/chart" uri="{C3380CC4-5D6E-409C-BE32-E72D297353CC}">
              <c16:uniqueId val="{00000007-4B1A-4421-976B-D73BBDB99029}"/>
            </c:ext>
          </c:extLst>
        </c:ser>
        <c:ser>
          <c:idx val="8"/>
          <c:order val="8"/>
          <c:tx>
            <c:strRef>
              <c:f>'03-08_SectorTbl'!$F$173</c:f>
              <c:strCache>
                <c:ptCount val="1"/>
                <c:pt idx="0">
                  <c:v>CNG</c:v>
                </c:pt>
              </c:strCache>
            </c:strRef>
          </c:tx>
          <c:invertIfNegative val="0"/>
          <c:cat>
            <c:strRef>
              <c:f>'03-08_SectorTbl'!$G$164:$H$164</c:f>
              <c:strCache>
                <c:ptCount val="2"/>
                <c:pt idx="0">
                  <c:v>2003</c:v>
                </c:pt>
                <c:pt idx="1">
                  <c:v>2008</c:v>
                </c:pt>
              </c:strCache>
            </c:strRef>
          </c:cat>
          <c:val>
            <c:numRef>
              <c:f>'03-08_SectorTbl'!$G$173:$H$173</c:f>
              <c:numCache>
                <c:formatCode>#,##0_);\(#,##0\)</c:formatCode>
                <c:ptCount val="2"/>
                <c:pt idx="0">
                  <c:v>47729.205888466466</c:v>
                </c:pt>
                <c:pt idx="1">
                  <c:v>51810.930414581555</c:v>
                </c:pt>
              </c:numCache>
            </c:numRef>
          </c:val>
          <c:extLst>
            <c:ext xmlns:c16="http://schemas.microsoft.com/office/drawing/2014/chart" uri="{C3380CC4-5D6E-409C-BE32-E72D297353CC}">
              <c16:uniqueId val="{00000008-4B1A-4421-976B-D73BBDB99029}"/>
            </c:ext>
          </c:extLst>
        </c:ser>
        <c:dLbls>
          <c:showLegendKey val="0"/>
          <c:showVal val="0"/>
          <c:showCatName val="0"/>
          <c:showSerName val="0"/>
          <c:showPercent val="0"/>
          <c:showBubbleSize val="0"/>
        </c:dLbls>
        <c:gapWidth val="150"/>
        <c:overlap val="100"/>
        <c:axId val="362891040"/>
        <c:axId val="362893760"/>
      </c:barChart>
      <c:catAx>
        <c:axId val="362891040"/>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362893760"/>
        <c:crosses val="autoZero"/>
        <c:auto val="1"/>
        <c:lblAlgn val="ctr"/>
        <c:lblOffset val="100"/>
        <c:noMultiLvlLbl val="0"/>
      </c:catAx>
      <c:valAx>
        <c:axId val="362893760"/>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0_);\(#,##0\)" sourceLinked="1"/>
        <c:majorTickMark val="out"/>
        <c:minorTickMark val="none"/>
        <c:tickLblPos val="nextTo"/>
        <c:crossAx val="362891040"/>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'03-08_SectorTbl'!$F$183</c:f>
              <c:strCache>
                <c:ptCount val="1"/>
                <c:pt idx="0">
                  <c:v>Process Emissions</c:v>
                </c:pt>
              </c:strCache>
            </c:strRef>
          </c:tx>
          <c:invertIfNegative val="0"/>
          <c:cat>
            <c:strRef>
              <c:f>'03-08_SectorTbl'!$G$182:$H$182</c:f>
              <c:strCache>
                <c:ptCount val="2"/>
                <c:pt idx="0">
                  <c:v>2003</c:v>
                </c:pt>
                <c:pt idx="1">
                  <c:v>2008</c:v>
                </c:pt>
              </c:strCache>
            </c:strRef>
          </c:cat>
          <c:val>
            <c:numRef>
              <c:f>'03-08_SectorTbl'!$G$183:$H$183</c:f>
              <c:numCache>
                <c:formatCode>_(* #,##0_);_(* \(#,##0\);_(* "-"??_);_(@_)</c:formatCode>
                <c:ptCount val="2"/>
              </c:numCache>
            </c:numRef>
          </c:val>
          <c:extLst>
            <c:ext xmlns:c16="http://schemas.microsoft.com/office/drawing/2014/chart" uri="{C3380CC4-5D6E-409C-BE32-E72D297353CC}">
              <c16:uniqueId val="{00000000-F594-4332-8A5B-DA817B3A37A3}"/>
            </c:ext>
          </c:extLst>
        </c:ser>
        <c:ser>
          <c:idx val="1"/>
          <c:order val="1"/>
          <c:tx>
            <c:strRef>
              <c:f>'03-08_SectorTbl'!$F$184</c:f>
              <c:strCache>
                <c:ptCount val="1"/>
                <c:pt idx="0">
                  <c:v>Cement </c:v>
                </c:pt>
              </c:strCache>
            </c:strRef>
          </c:tx>
          <c:invertIfNegative val="0"/>
          <c:cat>
            <c:strRef>
              <c:f>'03-08_SectorTbl'!$G$182:$H$182</c:f>
              <c:strCache>
                <c:ptCount val="2"/>
                <c:pt idx="0">
                  <c:v>2003</c:v>
                </c:pt>
                <c:pt idx="1">
                  <c:v>2008</c:v>
                </c:pt>
              </c:strCache>
            </c:strRef>
          </c:cat>
          <c:val>
            <c:numRef>
              <c:f>'03-08_SectorTbl'!$G$184:$H$184</c:f>
              <c:numCache>
                <c:formatCode>#,##0</c:formatCode>
                <c:ptCount val="2"/>
              </c:numCache>
            </c:numRef>
          </c:val>
          <c:extLst>
            <c:ext xmlns:c16="http://schemas.microsoft.com/office/drawing/2014/chart" uri="{C3380CC4-5D6E-409C-BE32-E72D297353CC}">
              <c16:uniqueId val="{00000001-F594-4332-8A5B-DA817B3A37A3}"/>
            </c:ext>
          </c:extLst>
        </c:ser>
        <c:ser>
          <c:idx val="2"/>
          <c:order val="2"/>
          <c:tx>
            <c:strRef>
              <c:f>'03-08_SectorTbl'!$F$185</c:f>
              <c:strCache>
                <c:ptCount val="1"/>
                <c:pt idx="0">
                  <c:v>Cement manufacture</c:v>
                </c:pt>
              </c:strCache>
            </c:strRef>
          </c:tx>
          <c:invertIfNegative val="0"/>
          <c:cat>
            <c:strRef>
              <c:f>'03-08_SectorTbl'!$G$182:$H$182</c:f>
              <c:strCache>
                <c:ptCount val="2"/>
                <c:pt idx="0">
                  <c:v>2003</c:v>
                </c:pt>
                <c:pt idx="1">
                  <c:v>2008</c:v>
                </c:pt>
              </c:strCache>
            </c:strRef>
          </c:cat>
          <c:val>
            <c:numRef>
              <c:f>'03-08_SectorTbl'!$G$185:$H$185</c:f>
              <c:numCache>
                <c:formatCode>#,##0</c:formatCode>
                <c:ptCount val="2"/>
                <c:pt idx="0">
                  <c:v>411380.49062961666</c:v>
                </c:pt>
                <c:pt idx="1">
                  <c:v>394643.51949045953</c:v>
                </c:pt>
              </c:numCache>
            </c:numRef>
          </c:val>
          <c:extLst>
            <c:ext xmlns:c16="http://schemas.microsoft.com/office/drawing/2014/chart" uri="{C3380CC4-5D6E-409C-BE32-E72D297353CC}">
              <c16:uniqueId val="{00000002-F594-4332-8A5B-DA817B3A37A3}"/>
            </c:ext>
          </c:extLst>
        </c:ser>
        <c:ser>
          <c:idx val="3"/>
          <c:order val="3"/>
          <c:tx>
            <c:strRef>
              <c:f>'03-08_SectorTbl'!$F$186</c:f>
              <c:strCache>
                <c:ptCount val="1"/>
                <c:pt idx="0">
                  <c:v>Coal</c:v>
                </c:pt>
              </c:strCache>
            </c:strRef>
          </c:tx>
          <c:invertIfNegative val="0"/>
          <c:cat>
            <c:strRef>
              <c:f>'03-08_SectorTbl'!$G$182:$H$182</c:f>
              <c:strCache>
                <c:ptCount val="2"/>
                <c:pt idx="0">
                  <c:v>2003</c:v>
                </c:pt>
                <c:pt idx="1">
                  <c:v>2008</c:v>
                </c:pt>
              </c:strCache>
            </c:strRef>
          </c:cat>
          <c:val>
            <c:numRef>
              <c:f>'03-08_SectorTbl'!$G$186:$H$186</c:f>
              <c:numCache>
                <c:formatCode>#,##0</c:formatCode>
                <c:ptCount val="2"/>
                <c:pt idx="0">
                  <c:v>286186.18622956501</c:v>
                </c:pt>
                <c:pt idx="1">
                  <c:v>337941.17712677934</c:v>
                </c:pt>
              </c:numCache>
            </c:numRef>
          </c:val>
          <c:extLst>
            <c:ext xmlns:c16="http://schemas.microsoft.com/office/drawing/2014/chart" uri="{C3380CC4-5D6E-409C-BE32-E72D297353CC}">
              <c16:uniqueId val="{00000003-F594-4332-8A5B-DA817B3A37A3}"/>
            </c:ext>
          </c:extLst>
        </c:ser>
        <c:ser>
          <c:idx val="4"/>
          <c:order val="4"/>
          <c:tx>
            <c:strRef>
              <c:f>'03-08_SectorTbl'!$F$187</c:f>
              <c:strCache>
                <c:ptCount val="1"/>
                <c:pt idx="0">
                  <c:v>Tire-derived fuel</c:v>
                </c:pt>
              </c:strCache>
            </c:strRef>
          </c:tx>
          <c:invertIfNegative val="0"/>
          <c:cat>
            <c:strRef>
              <c:f>'03-08_SectorTbl'!$G$182:$H$182</c:f>
              <c:strCache>
                <c:ptCount val="2"/>
                <c:pt idx="0">
                  <c:v>2003</c:v>
                </c:pt>
                <c:pt idx="1">
                  <c:v>2008</c:v>
                </c:pt>
              </c:strCache>
            </c:strRef>
          </c:cat>
          <c:val>
            <c:numRef>
              <c:f>'03-08_SectorTbl'!$G$187:$H$187</c:f>
              <c:numCache>
                <c:formatCode>#,##0</c:formatCode>
                <c:ptCount val="2"/>
                <c:pt idx="0">
                  <c:v>17013.932732676825</c:v>
                </c:pt>
                <c:pt idx="1">
                  <c:v>17128.298879999998</c:v>
                </c:pt>
              </c:numCache>
            </c:numRef>
          </c:val>
          <c:extLst>
            <c:ext xmlns:c16="http://schemas.microsoft.com/office/drawing/2014/chart" uri="{C3380CC4-5D6E-409C-BE32-E72D297353CC}">
              <c16:uniqueId val="{00000004-F594-4332-8A5B-DA817B3A37A3}"/>
            </c:ext>
          </c:extLst>
        </c:ser>
        <c:ser>
          <c:idx val="5"/>
          <c:order val="5"/>
          <c:tx>
            <c:strRef>
              <c:f>'03-08_SectorTbl'!$F$188</c:f>
              <c:strCache>
                <c:ptCount val="1"/>
                <c:pt idx="0">
                  <c:v>Steel</c:v>
                </c:pt>
              </c:strCache>
            </c:strRef>
          </c:tx>
          <c:invertIfNegative val="0"/>
          <c:cat>
            <c:strRef>
              <c:f>'03-08_SectorTbl'!$G$182:$H$182</c:f>
              <c:strCache>
                <c:ptCount val="2"/>
                <c:pt idx="0">
                  <c:v>2003</c:v>
                </c:pt>
                <c:pt idx="1">
                  <c:v>2008</c:v>
                </c:pt>
              </c:strCache>
            </c:strRef>
          </c:cat>
          <c:val>
            <c:numRef>
              <c:f>'03-08_SectorTbl'!$G$188:$H$188</c:f>
              <c:numCache>
                <c:formatCode>#,##0</c:formatCode>
                <c:ptCount val="2"/>
                <c:pt idx="0">
                  <c:v>3078.5219532432993</c:v>
                </c:pt>
                <c:pt idx="1">
                  <c:v>3175.320706613707</c:v>
                </c:pt>
              </c:numCache>
            </c:numRef>
          </c:val>
          <c:extLst>
            <c:ext xmlns:c16="http://schemas.microsoft.com/office/drawing/2014/chart" uri="{C3380CC4-5D6E-409C-BE32-E72D297353CC}">
              <c16:uniqueId val="{00000005-F594-4332-8A5B-DA817B3A37A3}"/>
            </c:ext>
          </c:extLst>
        </c:ser>
        <c:ser>
          <c:idx val="6"/>
          <c:order val="6"/>
          <c:tx>
            <c:strRef>
              <c:f>'03-08_SectorTbl'!$F$190</c:f>
              <c:strCache>
                <c:ptCount val="1"/>
                <c:pt idx="0">
                  <c:v>Fugitive Gases</c:v>
                </c:pt>
              </c:strCache>
            </c:strRef>
          </c:tx>
          <c:invertIfNegative val="0"/>
          <c:cat>
            <c:strRef>
              <c:f>'03-08_SectorTbl'!$G$182:$H$182</c:f>
              <c:strCache>
                <c:ptCount val="2"/>
                <c:pt idx="0">
                  <c:v>2003</c:v>
                </c:pt>
                <c:pt idx="1">
                  <c:v>2008</c:v>
                </c:pt>
              </c:strCache>
            </c:strRef>
          </c:cat>
          <c:val>
            <c:numRef>
              <c:f>'03-08_SectorTbl'!$G$192:$H$192</c:f>
              <c:numCache>
                <c:formatCode>#,##0</c:formatCode>
                <c:ptCount val="2"/>
                <c:pt idx="0">
                  <c:v>50846.160877613882</c:v>
                </c:pt>
                <c:pt idx="1">
                  <c:v>56178.896691388327</c:v>
                </c:pt>
              </c:numCache>
            </c:numRef>
          </c:val>
          <c:extLst>
            <c:ext xmlns:c16="http://schemas.microsoft.com/office/drawing/2014/chart" uri="{C3380CC4-5D6E-409C-BE32-E72D297353CC}">
              <c16:uniqueId val="{00000006-F594-4332-8A5B-DA817B3A37A3}"/>
            </c:ext>
          </c:extLst>
        </c:ser>
        <c:dLbls>
          <c:showLegendKey val="0"/>
          <c:showVal val="0"/>
          <c:showCatName val="0"/>
          <c:showSerName val="0"/>
          <c:showPercent val="0"/>
          <c:showBubbleSize val="0"/>
        </c:dLbls>
        <c:gapWidth val="150"/>
        <c:overlap val="100"/>
        <c:axId val="362895392"/>
        <c:axId val="362890496"/>
      </c:barChart>
      <c:catAx>
        <c:axId val="362895392"/>
        <c:scaling>
          <c:orientation val="minMax"/>
        </c:scaling>
        <c:delete val="0"/>
        <c:axPos val="b"/>
        <c:title>
          <c:tx>
            <c:rich>
              <a:bodyPr/>
              <a:lstStyle/>
              <a:p>
                <a:pPr>
                  <a:defRPr/>
                </a:pPr>
                <a:r>
                  <a:rPr lang="en-US"/>
                  <a:t>Year</a:t>
                </a:r>
              </a:p>
            </c:rich>
          </c:tx>
          <c:overlay val="0"/>
        </c:title>
        <c:numFmt formatCode="General" sourceLinked="0"/>
        <c:majorTickMark val="out"/>
        <c:minorTickMark val="none"/>
        <c:tickLblPos val="nextTo"/>
        <c:crossAx val="362890496"/>
        <c:crosses val="autoZero"/>
        <c:auto val="1"/>
        <c:lblAlgn val="ctr"/>
        <c:lblOffset val="100"/>
        <c:noMultiLvlLbl val="0"/>
      </c:catAx>
      <c:valAx>
        <c:axId val="362890496"/>
        <c:scaling>
          <c:orientation val="minMax"/>
        </c:scaling>
        <c:delete val="0"/>
        <c:axPos val="l"/>
        <c:majorGridlines/>
        <c:title>
          <c:tx>
            <c:rich>
              <a:bodyPr rot="-5400000" vert="horz"/>
              <a:lstStyle/>
              <a:p>
                <a:pPr>
                  <a:defRPr sz="1000"/>
                </a:pPr>
                <a:r>
                  <a:rPr lang="en-US" sz="1000" b="1" i="0" baseline="0">
                    <a:effectLst/>
                  </a:rPr>
                  <a:t>MgCO</a:t>
                </a:r>
                <a:r>
                  <a:rPr lang="en-US" sz="1000" b="1" i="0" baseline="-25000">
                    <a:effectLst/>
                  </a:rPr>
                  <a:t>2</a:t>
                </a:r>
                <a:r>
                  <a:rPr lang="en-US" sz="1000" b="1" i="0" baseline="0">
                    <a:effectLst/>
                  </a:rPr>
                  <a:t>e</a:t>
                </a:r>
                <a:endParaRPr lang="en-US" sz="1000">
                  <a:effectLst/>
                </a:endParaRPr>
              </a:p>
            </c:rich>
          </c:tx>
          <c:overlay val="0"/>
        </c:title>
        <c:numFmt formatCode="_(* #,##0_);_(* \(#,##0\);_(* &quot;-&quot;??_);_(@_)" sourceLinked="1"/>
        <c:majorTickMark val="out"/>
        <c:minorTickMark val="none"/>
        <c:tickLblPos val="nextTo"/>
        <c:crossAx val="362895392"/>
        <c:crosses val="autoZero"/>
        <c:crossBetween val="between"/>
      </c:valAx>
    </c:plotArea>
    <c:legend>
      <c:legendPos val="r"/>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26</xdr:col>
      <xdr:colOff>219076</xdr:colOff>
      <xdr:row>2</xdr:row>
      <xdr:rowOff>28575</xdr:rowOff>
    </xdr:from>
    <xdr:to>
      <xdr:col>45</xdr:col>
      <xdr:colOff>76201</xdr:colOff>
      <xdr:row>36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0.69474</cdr:x>
      <cdr:y>0.44872</cdr:y>
    </cdr:from>
    <cdr:to>
      <cdr:x>0.69474</cdr:x>
      <cdr:y>0.44872</cdr:y>
    </cdr:to>
    <cdr:grpSp>
      <cdr:nvGrpSpPr>
        <cdr:cNvPr id="52" name="Group 51">
          <a:extLst xmlns:a="http://schemas.openxmlformats.org/drawingml/2006/main">
            <a:ext uri="{FF2B5EF4-FFF2-40B4-BE49-F238E27FC236}">
              <a16:creationId xmlns:a16="http://schemas.microsoft.com/office/drawing/2014/main" id="{9EFA2D3E-FB34-4172-A631-AE3733F9B776}"/>
            </a:ext>
          </a:extLst>
        </cdr:cNvPr>
        <cdr:cNvGrpSpPr/>
      </cdr:nvGrpSpPr>
      <cdr:grpSpPr>
        <a:xfrm xmlns:a="http://schemas.openxmlformats.org/drawingml/2006/main">
          <a:off x="5701992" y="2528818"/>
          <a:ext cx="0" cy="0"/>
          <a:chOff x="5701992" y="2528818"/>
          <a:chExt cx="0" cy="0"/>
        </a:xfrm>
      </cdr:grpSpPr>
    </cdr:grpSp>
  </cdr:relSizeAnchor>
  <cdr:relSizeAnchor xmlns:cdr="http://schemas.openxmlformats.org/drawingml/2006/chartDrawing">
    <cdr:from>
      <cdr:x>0.69417</cdr:x>
      <cdr:y>0.08838</cdr:y>
    </cdr:from>
    <cdr:to>
      <cdr:x>0.97052</cdr:x>
      <cdr:y>0.13478</cdr:y>
    </cdr:to>
    <cdr:sp macro="" textlink="">
      <cdr:nvSpPr>
        <cdr:cNvPr id="11" name="TextBox 1">
          <a:extLst xmlns:a="http://schemas.openxmlformats.org/drawingml/2006/main">
            <a:ext uri="{FF2B5EF4-FFF2-40B4-BE49-F238E27FC236}">
              <a16:creationId xmlns:a16="http://schemas.microsoft.com/office/drawing/2014/main" id="{88B8FA77-725F-485E-B56F-4310A64BC5C4}"/>
            </a:ext>
          </a:extLst>
        </cdr:cNvPr>
        <cdr:cNvSpPr txBox="1"/>
      </cdr:nvSpPr>
      <cdr:spPr>
        <a:xfrm xmlns:a="http://schemas.openxmlformats.org/drawingml/2006/main">
          <a:off x="6155707" y="497508"/>
          <a:ext cx="2450610" cy="2611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Road</a:t>
          </a:r>
        </a:p>
      </cdr:txBody>
    </cdr:sp>
  </cdr:relSizeAnchor>
  <cdr:relSizeAnchor xmlns:cdr="http://schemas.openxmlformats.org/drawingml/2006/chartDrawing">
    <cdr:from>
      <cdr:x>0.68464</cdr:x>
      <cdr:y>0.10425</cdr:y>
    </cdr:from>
    <cdr:to>
      <cdr:x>0.69607</cdr:x>
      <cdr:y>0.12047</cdr:y>
    </cdr:to>
    <cdr:sp macro="" textlink="">
      <cdr:nvSpPr>
        <cdr:cNvPr id="14" name="Rectangle 13">
          <a:extLst xmlns:a="http://schemas.openxmlformats.org/drawingml/2006/main">
            <a:ext uri="{FF2B5EF4-FFF2-40B4-BE49-F238E27FC236}">
              <a16:creationId xmlns:a16="http://schemas.microsoft.com/office/drawing/2014/main" id="{D03B269C-9A1F-4EBB-A244-FAF26C73C7AD}"/>
            </a:ext>
          </a:extLst>
        </cdr:cNvPr>
        <cdr:cNvSpPr/>
      </cdr:nvSpPr>
      <cdr:spPr>
        <a:xfrm xmlns:a="http://schemas.openxmlformats.org/drawingml/2006/main">
          <a:off x="6071197" y="586845"/>
          <a:ext cx="101359" cy="91307"/>
        </a:xfrm>
        <a:prstGeom xmlns:a="http://schemas.openxmlformats.org/drawingml/2006/main" prst="rect">
          <a:avLst/>
        </a:prstGeom>
        <a:solidFill xmlns:a="http://schemas.openxmlformats.org/drawingml/2006/main">
          <a:srgbClr val="350BE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0.65607</cdr:x>
      <cdr:y>0.04541</cdr:y>
    </cdr:from>
    <cdr:to>
      <cdr:x>0.89817</cdr:x>
      <cdr:y>0.10692</cdr:y>
    </cdr:to>
    <cdr:sp macro="" textlink="">
      <cdr:nvSpPr>
        <cdr:cNvPr id="2" name="TextBox 1">
          <a:extLst xmlns:a="http://schemas.openxmlformats.org/drawingml/2006/main">
            <a:ext uri="{FF2B5EF4-FFF2-40B4-BE49-F238E27FC236}">
              <a16:creationId xmlns:a16="http://schemas.microsoft.com/office/drawing/2014/main" id="{364F98FC-AA04-48DD-B862-BA03813A1A93}"/>
            </a:ext>
          </a:extLst>
        </cdr:cNvPr>
        <cdr:cNvSpPr txBox="1"/>
      </cdr:nvSpPr>
      <cdr:spPr>
        <a:xfrm xmlns:a="http://schemas.openxmlformats.org/drawingml/2006/main">
          <a:off x="5817845" y="255618"/>
          <a:ext cx="2146888" cy="346257"/>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US" sz="1100" b="1" dirty="0"/>
            <a:t>TRANSPORTATION</a:t>
          </a:r>
        </a:p>
      </cdr:txBody>
    </cdr:sp>
  </cdr:relSizeAnchor>
  <cdr:relSizeAnchor xmlns:cdr="http://schemas.openxmlformats.org/drawingml/2006/chartDrawing">
    <cdr:from>
      <cdr:x>0.69417</cdr:x>
      <cdr:y>0.16703</cdr:y>
    </cdr:from>
    <cdr:to>
      <cdr:x>0.91522</cdr:x>
      <cdr:y>0.21038</cdr:y>
    </cdr:to>
    <cdr:sp macro="" textlink="">
      <cdr:nvSpPr>
        <cdr:cNvPr id="21" name="TextBox 1">
          <a:extLst xmlns:a="http://schemas.openxmlformats.org/drawingml/2006/main">
            <a:ext uri="{FF2B5EF4-FFF2-40B4-BE49-F238E27FC236}">
              <a16:creationId xmlns:a16="http://schemas.microsoft.com/office/drawing/2014/main" id="{3C53608E-B207-41B8-849B-C63AA5C3DD66}"/>
            </a:ext>
          </a:extLst>
        </cdr:cNvPr>
        <cdr:cNvSpPr txBox="1"/>
      </cdr:nvSpPr>
      <cdr:spPr>
        <a:xfrm xmlns:a="http://schemas.openxmlformats.org/drawingml/2006/main">
          <a:off x="6155707" y="940251"/>
          <a:ext cx="1960222" cy="244029"/>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Air</a:t>
          </a:r>
        </a:p>
      </cdr:txBody>
    </cdr:sp>
  </cdr:relSizeAnchor>
  <cdr:relSizeAnchor xmlns:cdr="http://schemas.openxmlformats.org/drawingml/2006/chartDrawing">
    <cdr:from>
      <cdr:x>0.68464</cdr:x>
      <cdr:y>0.18779</cdr:y>
    </cdr:from>
    <cdr:to>
      <cdr:x>0.69607</cdr:x>
      <cdr:y>0.20401</cdr:y>
    </cdr:to>
    <cdr:sp macro="" textlink="">
      <cdr:nvSpPr>
        <cdr:cNvPr id="20" name="Rectangle 19">
          <a:extLst xmlns:a="http://schemas.openxmlformats.org/drawingml/2006/main">
            <a:ext uri="{FF2B5EF4-FFF2-40B4-BE49-F238E27FC236}">
              <a16:creationId xmlns:a16="http://schemas.microsoft.com/office/drawing/2014/main" id="{8CD072DD-A9E1-4F8F-A393-A71AFC20BE45}"/>
            </a:ext>
          </a:extLst>
        </cdr:cNvPr>
        <cdr:cNvSpPr/>
      </cdr:nvSpPr>
      <cdr:spPr>
        <a:xfrm xmlns:a="http://schemas.openxmlformats.org/drawingml/2006/main">
          <a:off x="6071197" y="1057114"/>
          <a:ext cx="101359" cy="91307"/>
        </a:xfrm>
        <a:prstGeom xmlns:a="http://schemas.openxmlformats.org/drawingml/2006/main" prst="rect">
          <a:avLst/>
        </a:prstGeom>
        <a:solidFill xmlns:a="http://schemas.openxmlformats.org/drawingml/2006/main">
          <a:srgbClr val="11BDD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0.69417</cdr:x>
      <cdr:y>0.12649</cdr:y>
    </cdr:from>
    <cdr:to>
      <cdr:x>0.92574</cdr:x>
      <cdr:y>0.16984</cdr:y>
    </cdr:to>
    <cdr:sp macro="" textlink="">
      <cdr:nvSpPr>
        <cdr:cNvPr id="17" name="TextBox 1">
          <a:extLst xmlns:a="http://schemas.openxmlformats.org/drawingml/2006/main">
            <a:ext uri="{FF2B5EF4-FFF2-40B4-BE49-F238E27FC236}">
              <a16:creationId xmlns:a16="http://schemas.microsoft.com/office/drawing/2014/main" id="{E03255CD-2FA7-41A7-825E-2B0F0CAEDE01}"/>
            </a:ext>
          </a:extLst>
        </cdr:cNvPr>
        <cdr:cNvSpPr txBox="1"/>
      </cdr:nvSpPr>
      <cdr:spPr>
        <a:xfrm xmlns:a="http://schemas.openxmlformats.org/drawingml/2006/main">
          <a:off x="6155707" y="712040"/>
          <a:ext cx="2053511" cy="244029"/>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Marine &amp; Rail</a:t>
          </a:r>
        </a:p>
      </cdr:txBody>
    </cdr:sp>
  </cdr:relSizeAnchor>
  <cdr:relSizeAnchor xmlns:cdr="http://schemas.openxmlformats.org/drawingml/2006/chartDrawing">
    <cdr:from>
      <cdr:x>0.68464</cdr:x>
      <cdr:y>0.14237</cdr:y>
    </cdr:from>
    <cdr:to>
      <cdr:x>0.69607</cdr:x>
      <cdr:y>0.15858</cdr:y>
    </cdr:to>
    <cdr:sp macro="" textlink="">
      <cdr:nvSpPr>
        <cdr:cNvPr id="29" name="Rectangle 28">
          <a:extLst xmlns:a="http://schemas.openxmlformats.org/drawingml/2006/main">
            <a:ext uri="{FF2B5EF4-FFF2-40B4-BE49-F238E27FC236}">
              <a16:creationId xmlns:a16="http://schemas.microsoft.com/office/drawing/2014/main" id="{D075FD60-88A9-44E4-B97C-62EE29C55C78}"/>
            </a:ext>
          </a:extLst>
        </cdr:cNvPr>
        <cdr:cNvSpPr/>
      </cdr:nvSpPr>
      <cdr:spPr>
        <a:xfrm xmlns:a="http://schemas.openxmlformats.org/drawingml/2006/main" flipV="1">
          <a:off x="6071197" y="801433"/>
          <a:ext cx="101359" cy="91250"/>
        </a:xfrm>
        <a:prstGeom xmlns:a="http://schemas.openxmlformats.org/drawingml/2006/main" prst="rect">
          <a:avLst/>
        </a:prstGeom>
        <a:solidFill xmlns:a="http://schemas.openxmlformats.org/drawingml/2006/main">
          <a:srgbClr val="1A8AD6"/>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0.69417</cdr:x>
      <cdr:y>0.42379</cdr:y>
    </cdr:from>
    <cdr:to>
      <cdr:x>0.94635</cdr:x>
      <cdr:y>0.46225</cdr:y>
    </cdr:to>
    <cdr:sp macro="" textlink="">
      <cdr:nvSpPr>
        <cdr:cNvPr id="27" name="TextBox 1">
          <a:extLst xmlns:a="http://schemas.openxmlformats.org/drawingml/2006/main">
            <a:ext uri="{FF2B5EF4-FFF2-40B4-BE49-F238E27FC236}">
              <a16:creationId xmlns:a16="http://schemas.microsoft.com/office/drawing/2014/main" id="{B81B47C1-18AE-4100-83A4-A6162A9CB109}"/>
            </a:ext>
          </a:extLst>
        </cdr:cNvPr>
        <cdr:cNvSpPr txBox="1"/>
      </cdr:nvSpPr>
      <cdr:spPr>
        <a:xfrm xmlns:a="http://schemas.openxmlformats.org/drawingml/2006/main">
          <a:off x="6155707" y="2385623"/>
          <a:ext cx="2236275" cy="216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Energy Use</a:t>
          </a:r>
        </a:p>
      </cdr:txBody>
    </cdr:sp>
  </cdr:relSizeAnchor>
  <cdr:relSizeAnchor xmlns:cdr="http://schemas.openxmlformats.org/drawingml/2006/chartDrawing">
    <cdr:from>
      <cdr:x>0.68464</cdr:x>
      <cdr:y>0.4373</cdr:y>
    </cdr:from>
    <cdr:to>
      <cdr:x>0.69607</cdr:x>
      <cdr:y>0.45352</cdr:y>
    </cdr:to>
    <cdr:sp macro="" textlink="">
      <cdr:nvSpPr>
        <cdr:cNvPr id="26" name="Rectangle 25">
          <a:extLst xmlns:a="http://schemas.openxmlformats.org/drawingml/2006/main">
            <a:ext uri="{FF2B5EF4-FFF2-40B4-BE49-F238E27FC236}">
              <a16:creationId xmlns:a16="http://schemas.microsoft.com/office/drawing/2014/main" id="{D6EE0F52-1EB0-45D1-8ED1-87442E160F92}"/>
            </a:ext>
          </a:extLst>
        </cdr:cNvPr>
        <cdr:cNvSpPr/>
      </cdr:nvSpPr>
      <cdr:spPr>
        <a:xfrm xmlns:a="http://schemas.openxmlformats.org/drawingml/2006/main">
          <a:off x="6071197" y="2461675"/>
          <a:ext cx="101359" cy="91307"/>
        </a:xfrm>
        <a:prstGeom xmlns:a="http://schemas.openxmlformats.org/drawingml/2006/main" prst="rect">
          <a:avLst/>
        </a:prstGeom>
        <a:solidFill xmlns:a="http://schemas.openxmlformats.org/drawingml/2006/main">
          <a:srgbClr val="742DC3"/>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0.65607</cdr:x>
      <cdr:y>0.38325</cdr:y>
    </cdr:from>
    <cdr:to>
      <cdr:x>0.9508</cdr:x>
      <cdr:y>0.42379</cdr:y>
    </cdr:to>
    <cdr:sp macro="" textlink="">
      <cdr:nvSpPr>
        <cdr:cNvPr id="32" name="TextBox 31">
          <a:extLst xmlns:a="http://schemas.openxmlformats.org/drawingml/2006/main">
            <a:ext uri="{FF2B5EF4-FFF2-40B4-BE49-F238E27FC236}">
              <a16:creationId xmlns:a16="http://schemas.microsoft.com/office/drawing/2014/main" id="{31080189-F716-41C0-9741-6D26ED8D5048}"/>
            </a:ext>
          </a:extLst>
        </cdr:cNvPr>
        <cdr:cNvSpPr txBox="1"/>
      </cdr:nvSpPr>
      <cdr:spPr>
        <a:xfrm xmlns:a="http://schemas.openxmlformats.org/drawingml/2006/main">
          <a:off x="5817845" y="2157413"/>
          <a:ext cx="2613599" cy="2282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INDUSTRY</a:t>
          </a:r>
        </a:p>
      </cdr:txBody>
    </cdr:sp>
  </cdr:relSizeAnchor>
  <cdr:relSizeAnchor xmlns:cdr="http://schemas.openxmlformats.org/drawingml/2006/chartDrawing">
    <cdr:from>
      <cdr:x>0.69417</cdr:x>
      <cdr:y>0.46433</cdr:y>
    </cdr:from>
    <cdr:to>
      <cdr:x>0.94635</cdr:x>
      <cdr:y>0.51012</cdr:y>
    </cdr:to>
    <cdr:sp macro="" textlink="">
      <cdr:nvSpPr>
        <cdr:cNvPr id="36" name="TextBox 35">
          <a:extLst xmlns:a="http://schemas.openxmlformats.org/drawingml/2006/main">
            <a:ext uri="{FF2B5EF4-FFF2-40B4-BE49-F238E27FC236}">
              <a16:creationId xmlns:a16="http://schemas.microsoft.com/office/drawing/2014/main" id="{B99B7D34-C99A-42F6-B7D0-B43DE9D867CA}"/>
            </a:ext>
          </a:extLst>
        </cdr:cNvPr>
        <cdr:cNvSpPr txBox="1"/>
      </cdr:nvSpPr>
      <cdr:spPr>
        <a:xfrm xmlns:a="http://schemas.openxmlformats.org/drawingml/2006/main">
          <a:off x="6155707" y="2613834"/>
          <a:ext cx="2236275" cy="257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Process</a:t>
          </a:r>
        </a:p>
      </cdr:txBody>
    </cdr:sp>
  </cdr:relSizeAnchor>
  <cdr:relSizeAnchor xmlns:cdr="http://schemas.openxmlformats.org/drawingml/2006/chartDrawing">
    <cdr:from>
      <cdr:x>0.68464</cdr:x>
      <cdr:y>0.47784</cdr:y>
    </cdr:from>
    <cdr:to>
      <cdr:x>0.69607</cdr:x>
      <cdr:y>0.49406</cdr:y>
    </cdr:to>
    <cdr:sp macro="" textlink="">
      <cdr:nvSpPr>
        <cdr:cNvPr id="37" name="Rectangle 36">
          <a:extLst xmlns:a="http://schemas.openxmlformats.org/drawingml/2006/main">
            <a:ext uri="{FF2B5EF4-FFF2-40B4-BE49-F238E27FC236}">
              <a16:creationId xmlns:a16="http://schemas.microsoft.com/office/drawing/2014/main" id="{44062A5B-0441-4652-B79E-4ED181062A7B}"/>
            </a:ext>
          </a:extLst>
        </cdr:cNvPr>
        <cdr:cNvSpPr/>
      </cdr:nvSpPr>
      <cdr:spPr>
        <a:xfrm xmlns:a="http://schemas.openxmlformats.org/drawingml/2006/main">
          <a:off x="6071197" y="2689886"/>
          <a:ext cx="101359" cy="91306"/>
        </a:xfrm>
        <a:prstGeom xmlns:a="http://schemas.openxmlformats.org/drawingml/2006/main" prst="rect">
          <a:avLst/>
        </a:prstGeom>
        <a:solidFill xmlns:a="http://schemas.openxmlformats.org/drawingml/2006/main">
          <a:srgbClr val="A244AC"/>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0.69417</cdr:x>
      <cdr:y>0.27514</cdr:y>
    </cdr:from>
    <cdr:to>
      <cdr:x>0.96589</cdr:x>
      <cdr:y>0.31015</cdr:y>
    </cdr:to>
    <cdr:sp macro="" textlink="">
      <cdr:nvSpPr>
        <cdr:cNvPr id="41" name="TextBox 40">
          <a:extLst xmlns:a="http://schemas.openxmlformats.org/drawingml/2006/main">
            <a:ext uri="{FF2B5EF4-FFF2-40B4-BE49-F238E27FC236}">
              <a16:creationId xmlns:a16="http://schemas.microsoft.com/office/drawing/2014/main" id="{16CF960F-F6A9-4DE0-904A-CD4C1FB07828}"/>
            </a:ext>
          </a:extLst>
        </cdr:cNvPr>
        <cdr:cNvSpPr txBox="1"/>
      </cdr:nvSpPr>
      <cdr:spPr>
        <a:xfrm xmlns:a="http://schemas.openxmlformats.org/drawingml/2006/main">
          <a:off x="6155707" y="1548832"/>
          <a:ext cx="2409552" cy="197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Residential</a:t>
          </a:r>
        </a:p>
      </cdr:txBody>
    </cdr:sp>
  </cdr:relSizeAnchor>
  <cdr:relSizeAnchor xmlns:cdr="http://schemas.openxmlformats.org/drawingml/2006/chartDrawing">
    <cdr:from>
      <cdr:x>0.68464</cdr:x>
      <cdr:y>0.29101</cdr:y>
    </cdr:from>
    <cdr:to>
      <cdr:x>0.69607</cdr:x>
      <cdr:y>0.30723</cdr:y>
    </cdr:to>
    <cdr:sp macro="" textlink="">
      <cdr:nvSpPr>
        <cdr:cNvPr id="42" name="Rectangle 41">
          <a:extLst xmlns:a="http://schemas.openxmlformats.org/drawingml/2006/main">
            <a:ext uri="{FF2B5EF4-FFF2-40B4-BE49-F238E27FC236}">
              <a16:creationId xmlns:a16="http://schemas.microsoft.com/office/drawing/2014/main" id="{3296366F-FA47-44FC-9166-2536A83894BF}"/>
            </a:ext>
          </a:extLst>
        </cdr:cNvPr>
        <cdr:cNvSpPr/>
      </cdr:nvSpPr>
      <cdr:spPr>
        <a:xfrm xmlns:a="http://schemas.openxmlformats.org/drawingml/2006/main">
          <a:off x="6071197" y="1638168"/>
          <a:ext cx="101359" cy="91307"/>
        </a:xfrm>
        <a:prstGeom xmlns:a="http://schemas.openxmlformats.org/drawingml/2006/main" prst="rect">
          <a:avLst/>
        </a:prstGeom>
        <a:solidFill xmlns:a="http://schemas.openxmlformats.org/drawingml/2006/main">
          <a:srgbClr val="DA6116"/>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0.69417</cdr:x>
      <cdr:y>0.3136</cdr:y>
    </cdr:from>
    <cdr:to>
      <cdr:x>0.94635</cdr:x>
      <cdr:y>0.34861</cdr:y>
    </cdr:to>
    <cdr:sp macro="" textlink="">
      <cdr:nvSpPr>
        <cdr:cNvPr id="47" name="TextBox 46">
          <a:extLst xmlns:a="http://schemas.openxmlformats.org/drawingml/2006/main">
            <a:ext uri="{FF2B5EF4-FFF2-40B4-BE49-F238E27FC236}">
              <a16:creationId xmlns:a16="http://schemas.microsoft.com/office/drawing/2014/main" id="{F1758D63-DEF1-46AA-A44C-F745BA2BBFD1}"/>
            </a:ext>
          </a:extLst>
        </cdr:cNvPr>
        <cdr:cNvSpPr txBox="1"/>
      </cdr:nvSpPr>
      <cdr:spPr>
        <a:xfrm xmlns:a="http://schemas.openxmlformats.org/drawingml/2006/main">
          <a:off x="6155707" y="1765333"/>
          <a:ext cx="2236275" cy="1970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Commercial</a:t>
          </a:r>
        </a:p>
      </cdr:txBody>
    </cdr:sp>
  </cdr:relSizeAnchor>
  <cdr:relSizeAnchor xmlns:cdr="http://schemas.openxmlformats.org/drawingml/2006/chartDrawing">
    <cdr:from>
      <cdr:x>0.68464</cdr:x>
      <cdr:y>0.32948</cdr:y>
    </cdr:from>
    <cdr:to>
      <cdr:x>0.69607</cdr:x>
      <cdr:y>0.34569</cdr:y>
    </cdr:to>
    <cdr:sp macro="" textlink="">
      <cdr:nvSpPr>
        <cdr:cNvPr id="48" name="Rectangle 47">
          <a:extLst xmlns:a="http://schemas.openxmlformats.org/drawingml/2006/main">
            <a:ext uri="{FF2B5EF4-FFF2-40B4-BE49-F238E27FC236}">
              <a16:creationId xmlns:a16="http://schemas.microsoft.com/office/drawing/2014/main" id="{6746C036-FFD9-4E01-ADEC-3F171906E707}"/>
            </a:ext>
          </a:extLst>
        </cdr:cNvPr>
        <cdr:cNvSpPr/>
      </cdr:nvSpPr>
      <cdr:spPr>
        <a:xfrm xmlns:a="http://schemas.openxmlformats.org/drawingml/2006/main">
          <a:off x="6071197" y="1854726"/>
          <a:ext cx="101359" cy="91251"/>
        </a:xfrm>
        <a:prstGeom xmlns:a="http://schemas.openxmlformats.org/drawingml/2006/main" prst="rect">
          <a:avLst/>
        </a:prstGeom>
        <a:solidFill xmlns:a="http://schemas.openxmlformats.org/drawingml/2006/main">
          <a:srgbClr val="ECAF04"/>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0.65607</cdr:x>
      <cdr:y>0.2346</cdr:y>
    </cdr:from>
    <cdr:to>
      <cdr:x>0.89817</cdr:x>
      <cdr:y>0.28103</cdr:y>
    </cdr:to>
    <cdr:sp macro="" textlink="">
      <cdr:nvSpPr>
        <cdr:cNvPr id="53" name="TextBox 52">
          <a:extLst xmlns:a="http://schemas.openxmlformats.org/drawingml/2006/main">
            <a:ext uri="{FF2B5EF4-FFF2-40B4-BE49-F238E27FC236}">
              <a16:creationId xmlns:a16="http://schemas.microsoft.com/office/drawing/2014/main" id="{45EAD566-5DF1-4BB9-92A9-B8DE148D1EB7}"/>
            </a:ext>
          </a:extLst>
        </cdr:cNvPr>
        <cdr:cNvSpPr txBox="1"/>
      </cdr:nvSpPr>
      <cdr:spPr>
        <a:xfrm xmlns:a="http://schemas.openxmlformats.org/drawingml/2006/main">
          <a:off x="5817845" y="1320621"/>
          <a:ext cx="2146888" cy="261367"/>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BUILDINGS</a:t>
          </a:r>
        </a:p>
      </cdr:txBody>
    </cdr:sp>
  </cdr:relSizeAnchor>
  <cdr:relSizeAnchor xmlns:cdr="http://schemas.openxmlformats.org/drawingml/2006/chartDrawing">
    <cdr:from>
      <cdr:x>0.66687</cdr:x>
      <cdr:y>0.55831</cdr:y>
    </cdr:from>
    <cdr:to>
      <cdr:x>0.97163</cdr:x>
      <cdr:y>0.60959</cdr:y>
    </cdr:to>
    <cdr:sp macro="" textlink="">
      <cdr:nvSpPr>
        <cdr:cNvPr id="25" name="TextBox 24">
          <a:extLst xmlns:a="http://schemas.openxmlformats.org/drawingml/2006/main">
            <a:ext uri="{FF2B5EF4-FFF2-40B4-BE49-F238E27FC236}">
              <a16:creationId xmlns:a16="http://schemas.microsoft.com/office/drawing/2014/main" id="{A1E91BF1-79E6-4311-9423-C1921B4AEF03}"/>
            </a:ext>
          </a:extLst>
        </cdr:cNvPr>
        <cdr:cNvSpPr txBox="1"/>
      </cdr:nvSpPr>
      <cdr:spPr>
        <a:xfrm xmlns:a="http://schemas.openxmlformats.org/drawingml/2006/main">
          <a:off x="5913655" y="3142864"/>
          <a:ext cx="2702543" cy="288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dirty="0"/>
            <a:t>WASTE</a:t>
          </a:r>
        </a:p>
      </cdr:txBody>
    </cdr:sp>
  </cdr:relSizeAnchor>
  <cdr:relSizeAnchor xmlns:cdr="http://schemas.openxmlformats.org/drawingml/2006/chartDrawing">
    <cdr:from>
      <cdr:x>0.6932</cdr:x>
      <cdr:y>0.50531</cdr:y>
    </cdr:from>
    <cdr:to>
      <cdr:x>0.94538</cdr:x>
      <cdr:y>0.5511</cdr:y>
    </cdr:to>
    <cdr:sp macro="" textlink="">
      <cdr:nvSpPr>
        <cdr:cNvPr id="34" name="TextBox 1">
          <a:extLst xmlns:a="http://schemas.openxmlformats.org/drawingml/2006/main">
            <a:ext uri="{FF2B5EF4-FFF2-40B4-BE49-F238E27FC236}">
              <a16:creationId xmlns:a16="http://schemas.microsoft.com/office/drawing/2014/main" id="{D2C00C65-D3B8-4C8A-BD33-4CA5EC8785CC}"/>
            </a:ext>
          </a:extLst>
        </cdr:cNvPr>
        <cdr:cNvSpPr txBox="1"/>
      </cdr:nvSpPr>
      <cdr:spPr>
        <a:xfrm xmlns:a="http://schemas.openxmlformats.org/drawingml/2006/main">
          <a:off x="6147174" y="2844554"/>
          <a:ext cx="2236275" cy="257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dirty="0"/>
            <a:t>Fugitive Gases</a:t>
          </a:r>
        </a:p>
      </cdr:txBody>
    </cdr:sp>
  </cdr:relSizeAnchor>
  <cdr:relSizeAnchor xmlns:cdr="http://schemas.openxmlformats.org/drawingml/2006/chartDrawing">
    <cdr:from>
      <cdr:x>0.6832</cdr:x>
      <cdr:y>0.51705</cdr:y>
    </cdr:from>
    <cdr:to>
      <cdr:x>0.69544</cdr:x>
      <cdr:y>0.53114</cdr:y>
    </cdr:to>
    <cdr:sp macro="" textlink="">
      <cdr:nvSpPr>
        <cdr:cNvPr id="35" name="Rectangle 34">
          <a:extLst xmlns:a="http://schemas.openxmlformats.org/drawingml/2006/main">
            <a:ext uri="{FF2B5EF4-FFF2-40B4-BE49-F238E27FC236}">
              <a16:creationId xmlns:a16="http://schemas.microsoft.com/office/drawing/2014/main" id="{0C724A31-0B25-4365-B01E-0196B834BC54}"/>
            </a:ext>
          </a:extLst>
        </cdr:cNvPr>
        <cdr:cNvSpPr/>
      </cdr:nvSpPr>
      <cdr:spPr>
        <a:xfrm xmlns:a="http://schemas.openxmlformats.org/drawingml/2006/main" flipH="1" flipV="1">
          <a:off x="6058460" y="2910625"/>
          <a:ext cx="108583" cy="79286"/>
        </a:xfrm>
        <a:prstGeom xmlns:a="http://schemas.openxmlformats.org/drawingml/2006/main" prst="rect">
          <a:avLst/>
        </a:prstGeom>
        <a:solidFill xmlns:a="http://schemas.openxmlformats.org/drawingml/2006/main">
          <a:srgbClr val="CDAAE8"/>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0.66799</cdr:x>
      <cdr:y>0.62151</cdr:y>
    </cdr:from>
    <cdr:to>
      <cdr:x>0.97275</cdr:x>
      <cdr:y>0.67279</cdr:y>
    </cdr:to>
    <cdr:sp macro="" textlink="">
      <cdr:nvSpPr>
        <cdr:cNvPr id="38" name="TextBox 1">
          <a:extLst xmlns:a="http://schemas.openxmlformats.org/drawingml/2006/main">
            <a:ext uri="{FF2B5EF4-FFF2-40B4-BE49-F238E27FC236}">
              <a16:creationId xmlns:a16="http://schemas.microsoft.com/office/drawing/2014/main" id="{6CC87126-E81A-42CB-952F-37FDA49E2286}"/>
            </a:ext>
          </a:extLst>
        </cdr:cNvPr>
        <cdr:cNvSpPr txBox="1"/>
      </cdr:nvSpPr>
      <cdr:spPr>
        <a:xfrm xmlns:a="http://schemas.openxmlformats.org/drawingml/2006/main">
          <a:off x="5923616" y="3498660"/>
          <a:ext cx="2702543" cy="2886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dirty="0"/>
            <a:t>AGRICULTURE</a:t>
          </a:r>
        </a:p>
      </cdr:txBody>
    </cdr:sp>
  </cdr:relSizeAnchor>
  <cdr:relSizeAnchor xmlns:cdr="http://schemas.openxmlformats.org/drawingml/2006/chartDrawing">
    <cdr:from>
      <cdr:x>0.66679</cdr:x>
      <cdr:y>0.68489</cdr:y>
    </cdr:from>
    <cdr:to>
      <cdr:x>0.97155</cdr:x>
      <cdr:y>0.73617</cdr:y>
    </cdr:to>
    <cdr:sp macro="" textlink="">
      <cdr:nvSpPr>
        <cdr:cNvPr id="39" name="TextBox 1">
          <a:extLst xmlns:a="http://schemas.openxmlformats.org/drawingml/2006/main">
            <a:ext uri="{FF2B5EF4-FFF2-40B4-BE49-F238E27FC236}">
              <a16:creationId xmlns:a16="http://schemas.microsoft.com/office/drawing/2014/main" id="{A32B9B9D-59F3-47B6-AE68-578768A6CDAB}"/>
            </a:ext>
          </a:extLst>
        </cdr:cNvPr>
        <cdr:cNvSpPr txBox="1"/>
      </cdr:nvSpPr>
      <cdr:spPr>
        <a:xfrm xmlns:a="http://schemas.openxmlformats.org/drawingml/2006/main">
          <a:off x="5912971" y="3855445"/>
          <a:ext cx="2702543" cy="2886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dirty="0"/>
            <a:t>LAND USE CHANGE</a:t>
          </a:r>
        </a:p>
      </cdr:txBody>
    </cdr:sp>
  </cdr:relSizeAnchor>
  <cdr:relSizeAnchor xmlns:cdr="http://schemas.openxmlformats.org/drawingml/2006/chartDrawing">
    <cdr:from>
      <cdr:x>0.65559</cdr:x>
      <cdr:y>0.57515</cdr:y>
    </cdr:from>
    <cdr:to>
      <cdr:x>0.6724</cdr:x>
      <cdr:y>0.59628</cdr:y>
    </cdr:to>
    <cdr:sp macro="" textlink="">
      <cdr:nvSpPr>
        <cdr:cNvPr id="43" name="Rectangle 42">
          <a:extLst xmlns:a="http://schemas.openxmlformats.org/drawingml/2006/main">
            <a:ext uri="{FF2B5EF4-FFF2-40B4-BE49-F238E27FC236}">
              <a16:creationId xmlns:a16="http://schemas.microsoft.com/office/drawing/2014/main" id="{D52D48A7-2BB8-476B-A00D-AE3F4BC334A4}"/>
            </a:ext>
          </a:extLst>
        </cdr:cNvPr>
        <cdr:cNvSpPr/>
      </cdr:nvSpPr>
      <cdr:spPr>
        <a:xfrm xmlns:a="http://schemas.openxmlformats.org/drawingml/2006/main" flipH="1" flipV="1">
          <a:off x="5813610" y="3237677"/>
          <a:ext cx="149039" cy="118930"/>
        </a:xfrm>
        <a:prstGeom xmlns:a="http://schemas.openxmlformats.org/drawingml/2006/main" prst="rect">
          <a:avLst/>
        </a:prstGeom>
        <a:solidFill xmlns:a="http://schemas.openxmlformats.org/drawingml/2006/main">
          <a:srgbClr val="A6A6A6"/>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0.65414</cdr:x>
      <cdr:y>0.63384</cdr:y>
    </cdr:from>
    <cdr:to>
      <cdr:x>0.67119</cdr:x>
      <cdr:y>0.65614</cdr:y>
    </cdr:to>
    <cdr:sp macro="" textlink="">
      <cdr:nvSpPr>
        <cdr:cNvPr id="44" name="Rectangle 43">
          <a:extLst xmlns:a="http://schemas.openxmlformats.org/drawingml/2006/main">
            <a:ext uri="{FF2B5EF4-FFF2-40B4-BE49-F238E27FC236}">
              <a16:creationId xmlns:a16="http://schemas.microsoft.com/office/drawing/2014/main" id="{553BEF8C-A0B6-49A2-9BBD-AD6C55464BF4}"/>
            </a:ext>
          </a:extLst>
        </cdr:cNvPr>
        <cdr:cNvSpPr/>
      </cdr:nvSpPr>
      <cdr:spPr>
        <a:xfrm xmlns:a="http://schemas.openxmlformats.org/drawingml/2006/main" flipH="1" flipV="1">
          <a:off x="5800725" y="3568033"/>
          <a:ext cx="151279" cy="125536"/>
        </a:xfrm>
        <a:prstGeom xmlns:a="http://schemas.openxmlformats.org/drawingml/2006/main" prst="rect">
          <a:avLst/>
        </a:prstGeom>
        <a:solidFill xmlns:a="http://schemas.openxmlformats.org/drawingml/2006/main">
          <a:srgbClr val="92D05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0.65521</cdr:x>
      <cdr:y>0.69898</cdr:y>
    </cdr:from>
    <cdr:to>
      <cdr:x>0.67159</cdr:x>
      <cdr:y>0.71952</cdr:y>
    </cdr:to>
    <cdr:sp macro="" textlink="">
      <cdr:nvSpPr>
        <cdr:cNvPr id="45" name="Rectangle 44">
          <a:extLst xmlns:a="http://schemas.openxmlformats.org/drawingml/2006/main">
            <a:ext uri="{FF2B5EF4-FFF2-40B4-BE49-F238E27FC236}">
              <a16:creationId xmlns:a16="http://schemas.microsoft.com/office/drawing/2014/main" id="{127FD617-014D-484E-BB52-B65C7E8A4DD8}"/>
            </a:ext>
          </a:extLst>
        </cdr:cNvPr>
        <cdr:cNvSpPr/>
      </cdr:nvSpPr>
      <cdr:spPr>
        <a:xfrm xmlns:a="http://schemas.openxmlformats.org/drawingml/2006/main" flipH="1" flipV="1">
          <a:off x="5810249" y="3934730"/>
          <a:ext cx="145301" cy="115625"/>
        </a:xfrm>
        <a:prstGeom xmlns:a="http://schemas.openxmlformats.org/drawingml/2006/main" prst="rect">
          <a:avLst/>
        </a:prstGeom>
        <a:solidFill xmlns:a="http://schemas.openxmlformats.org/drawingml/2006/main">
          <a:srgbClr val="00B05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twoCellAnchor>
    <xdr:from>
      <xdr:col>19</xdr:col>
      <xdr:colOff>677333</xdr:colOff>
      <xdr:row>83</xdr:row>
      <xdr:rowOff>31750</xdr:rowOff>
    </xdr:from>
    <xdr:to>
      <xdr:col>33</xdr:col>
      <xdr:colOff>317499</xdr:colOff>
      <xdr:row>94</xdr:row>
      <xdr:rowOff>10584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550333</xdr:colOff>
      <xdr:row>94</xdr:row>
      <xdr:rowOff>116417</xdr:rowOff>
    </xdr:from>
    <xdr:to>
      <xdr:col>35</xdr:col>
      <xdr:colOff>222251</xdr:colOff>
      <xdr:row>106</xdr:row>
      <xdr:rowOff>105833</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518582</xdr:colOff>
      <xdr:row>107</xdr:row>
      <xdr:rowOff>105832</xdr:rowOff>
    </xdr:from>
    <xdr:to>
      <xdr:col>36</xdr:col>
      <xdr:colOff>84666</xdr:colOff>
      <xdr:row>115</xdr:row>
      <xdr:rowOff>31751</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624416</xdr:colOff>
      <xdr:row>116</xdr:row>
      <xdr:rowOff>127000</xdr:rowOff>
    </xdr:from>
    <xdr:to>
      <xdr:col>35</xdr:col>
      <xdr:colOff>201084</xdr:colOff>
      <xdr:row>124</xdr:row>
      <xdr:rowOff>11641</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412750</xdr:colOff>
      <xdr:row>129</xdr:row>
      <xdr:rowOff>0</xdr:rowOff>
    </xdr:from>
    <xdr:to>
      <xdr:col>31</xdr:col>
      <xdr:colOff>127000</xdr:colOff>
      <xdr:row>141</xdr:row>
      <xdr:rowOff>22223</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243415</xdr:colOff>
      <xdr:row>142</xdr:row>
      <xdr:rowOff>20106</xdr:rowOff>
    </xdr:from>
    <xdr:to>
      <xdr:col>31</xdr:col>
      <xdr:colOff>232832</xdr:colOff>
      <xdr:row>159</xdr:row>
      <xdr:rowOff>63499</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201083</xdr:colOff>
      <xdr:row>160</xdr:row>
      <xdr:rowOff>62443</xdr:rowOff>
    </xdr:from>
    <xdr:to>
      <xdr:col>32</xdr:col>
      <xdr:colOff>10583</xdr:colOff>
      <xdr:row>175</xdr:row>
      <xdr:rowOff>74083</xdr:rowOff>
    </xdr:to>
    <xdr:graphicFrame macro="">
      <xdr:nvGraphicFramePr>
        <xdr:cNvPr id="8" name="Chart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158750</xdr:colOff>
      <xdr:row>177</xdr:row>
      <xdr:rowOff>115359</xdr:rowOff>
    </xdr:from>
    <xdr:to>
      <xdr:col>33</xdr:col>
      <xdr:colOff>10583</xdr:colOff>
      <xdr:row>194</xdr:row>
      <xdr:rowOff>42334</xdr:rowOff>
    </xdr:to>
    <xdr:graphicFrame macro="">
      <xdr:nvGraphicFramePr>
        <xdr:cNvPr id="9" name="Chart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455084</xdr:colOff>
      <xdr:row>197</xdr:row>
      <xdr:rowOff>31749</xdr:rowOff>
    </xdr:from>
    <xdr:to>
      <xdr:col>32</xdr:col>
      <xdr:colOff>31750</xdr:colOff>
      <xdr:row>205</xdr:row>
      <xdr:rowOff>31749</xdr:rowOff>
    </xdr:to>
    <xdr:graphicFrame macro="">
      <xdr:nvGraphicFramePr>
        <xdr:cNvPr id="11" name="Chart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201082</xdr:colOff>
      <xdr:row>207</xdr:row>
      <xdr:rowOff>21167</xdr:rowOff>
    </xdr:from>
    <xdr:to>
      <xdr:col>37</xdr:col>
      <xdr:colOff>190500</xdr:colOff>
      <xdr:row>217</xdr:row>
      <xdr:rowOff>63500</xdr:rowOff>
    </xdr:to>
    <xdr:graphicFrame macro="">
      <xdr:nvGraphicFramePr>
        <xdr:cNvPr id="12" name="Chart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10583</xdr:colOff>
      <xdr:row>85</xdr:row>
      <xdr:rowOff>148167</xdr:rowOff>
    </xdr:from>
    <xdr:to>
      <xdr:col>48</xdr:col>
      <xdr:colOff>1524000</xdr:colOff>
      <xdr:row>100</xdr:row>
      <xdr:rowOff>32807</xdr:rowOff>
    </xdr:to>
    <xdr:graphicFrame macro="">
      <xdr:nvGraphicFramePr>
        <xdr:cNvPr id="16" name="Chart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37</xdr:col>
      <xdr:colOff>211666</xdr:colOff>
      <xdr:row>131</xdr:row>
      <xdr:rowOff>21166</xdr:rowOff>
    </xdr:from>
    <xdr:to>
      <xdr:col>50</xdr:col>
      <xdr:colOff>370417</xdr:colOff>
      <xdr:row>147</xdr:row>
      <xdr:rowOff>117473</xdr:rowOff>
    </xdr:to>
    <xdr:graphicFrame macro="">
      <xdr:nvGraphicFramePr>
        <xdr:cNvPr id="17" name="Chart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173932</xdr:colOff>
      <xdr:row>0</xdr:row>
      <xdr:rowOff>90280</xdr:rowOff>
    </xdr:from>
    <xdr:to>
      <xdr:col>29</xdr:col>
      <xdr:colOff>49695</xdr:colOff>
      <xdr:row>19</xdr:row>
      <xdr:rowOff>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397565</xdr:colOff>
      <xdr:row>20</xdr:row>
      <xdr:rowOff>40586</xdr:rowOff>
    </xdr:from>
    <xdr:to>
      <xdr:col>29</xdr:col>
      <xdr:colOff>265042</xdr:colOff>
      <xdr:row>39</xdr:row>
      <xdr:rowOff>24850</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381000</xdr:colOff>
      <xdr:row>45</xdr:row>
      <xdr:rowOff>140804</xdr:rowOff>
    </xdr:from>
    <xdr:to>
      <xdr:col>31</xdr:col>
      <xdr:colOff>256761</xdr:colOff>
      <xdr:row>65</xdr:row>
      <xdr:rowOff>66260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621196</xdr:colOff>
      <xdr:row>71</xdr:row>
      <xdr:rowOff>0</xdr:rowOff>
    </xdr:from>
    <xdr:to>
      <xdr:col>30</xdr:col>
      <xdr:colOff>16564</xdr:colOff>
      <xdr:row>90</xdr:row>
      <xdr:rowOff>74543</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371475</xdr:colOff>
      <xdr:row>3</xdr:row>
      <xdr:rowOff>142875</xdr:rowOff>
    </xdr:from>
    <xdr:to>
      <xdr:col>34</xdr:col>
      <xdr:colOff>512834</xdr:colOff>
      <xdr:row>49</xdr:row>
      <xdr:rowOff>18149</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16011525" y="600075"/>
          <a:ext cx="12123809" cy="7209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590550</xdr:colOff>
      <xdr:row>31</xdr:row>
      <xdr:rowOff>104775</xdr:rowOff>
    </xdr:from>
    <xdr:to>
      <xdr:col>17</xdr:col>
      <xdr:colOff>342571</xdr:colOff>
      <xdr:row>43</xdr:row>
      <xdr:rowOff>75964</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1449050" y="5362575"/>
          <a:ext cx="2628571" cy="1885714"/>
        </a:xfrm>
        <a:prstGeom prst="rect">
          <a:avLst/>
        </a:prstGeom>
      </xdr:spPr>
    </xdr:pic>
    <xdr:clientData/>
  </xdr:twoCellAnchor>
</xdr:wsDr>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59" Type="http://schemas.openxmlformats.org/officeDocument/2006/relationships/revisionLog" Target="revisionLog159.xml"/><Relationship Id="rId170" Type="http://schemas.openxmlformats.org/officeDocument/2006/relationships/revisionLog" Target="revisionLog170.xml"/><Relationship Id="rId191" Type="http://schemas.openxmlformats.org/officeDocument/2006/relationships/revisionLog" Target="revisionLog191.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149" Type="http://schemas.openxmlformats.org/officeDocument/2006/relationships/revisionLog" Target="revisionLog149.xml"/><Relationship Id="rId5" Type="http://schemas.openxmlformats.org/officeDocument/2006/relationships/revisionLog" Target="revisionLog5.xml"/><Relationship Id="rId95" Type="http://schemas.openxmlformats.org/officeDocument/2006/relationships/revisionLog" Target="revisionLog95.xml"/><Relationship Id="rId160" Type="http://schemas.openxmlformats.org/officeDocument/2006/relationships/revisionLog" Target="revisionLog160.xml"/><Relationship Id="rId181" Type="http://schemas.openxmlformats.org/officeDocument/2006/relationships/revisionLog" Target="revisionLog181.xml"/><Relationship Id="rId22" Type="http://schemas.openxmlformats.org/officeDocument/2006/relationships/revisionLog" Target="revisionLog22.xml"/><Relationship Id="rId43" Type="http://schemas.openxmlformats.org/officeDocument/2006/relationships/revisionLog" Target="revisionLog43.xml"/><Relationship Id="rId64" Type="http://schemas.openxmlformats.org/officeDocument/2006/relationships/revisionLog" Target="revisionLog64.xml"/><Relationship Id="rId118" Type="http://schemas.openxmlformats.org/officeDocument/2006/relationships/revisionLog" Target="revisionLog118.xml"/><Relationship Id="rId139" Type="http://schemas.openxmlformats.org/officeDocument/2006/relationships/revisionLog" Target="revisionLog139.xml"/><Relationship Id="rId85" Type="http://schemas.openxmlformats.org/officeDocument/2006/relationships/revisionLog" Target="revisionLog85.xml"/><Relationship Id="rId150" Type="http://schemas.openxmlformats.org/officeDocument/2006/relationships/revisionLog" Target="revisionLog150.xml"/><Relationship Id="rId171" Type="http://schemas.openxmlformats.org/officeDocument/2006/relationships/revisionLog" Target="revisionLog171.xml"/><Relationship Id="rId192" Type="http://schemas.openxmlformats.org/officeDocument/2006/relationships/revisionLog" Target="revisionLog192.xml"/><Relationship Id="rId12" Type="http://schemas.openxmlformats.org/officeDocument/2006/relationships/revisionLog" Target="revisionLog12.xml"/><Relationship Id="rId33" Type="http://schemas.openxmlformats.org/officeDocument/2006/relationships/revisionLog" Target="revisionLog33.xml"/><Relationship Id="rId108" Type="http://schemas.openxmlformats.org/officeDocument/2006/relationships/revisionLog" Target="revisionLog108.xml"/><Relationship Id="rId129" Type="http://schemas.openxmlformats.org/officeDocument/2006/relationships/revisionLog" Target="revisionLog129.xml"/><Relationship Id="rId54" Type="http://schemas.openxmlformats.org/officeDocument/2006/relationships/revisionLog" Target="revisionLog54.xml"/><Relationship Id="rId75" Type="http://schemas.openxmlformats.org/officeDocument/2006/relationships/revisionLog" Target="revisionLog75.xml"/><Relationship Id="rId96" Type="http://schemas.openxmlformats.org/officeDocument/2006/relationships/revisionLog" Target="revisionLog96.xml"/><Relationship Id="rId140" Type="http://schemas.openxmlformats.org/officeDocument/2006/relationships/revisionLog" Target="revisionLog140.xml"/><Relationship Id="rId161" Type="http://schemas.openxmlformats.org/officeDocument/2006/relationships/revisionLog" Target="revisionLog161.xml"/><Relationship Id="rId182" Type="http://schemas.openxmlformats.org/officeDocument/2006/relationships/revisionLog" Target="revisionLog182.xml"/><Relationship Id="rId6" Type="http://schemas.openxmlformats.org/officeDocument/2006/relationships/revisionLog" Target="revisionLog6.xml"/><Relationship Id="rId23" Type="http://schemas.openxmlformats.org/officeDocument/2006/relationships/revisionLog" Target="revisionLog23.xml"/><Relationship Id="rId119" Type="http://schemas.openxmlformats.org/officeDocument/2006/relationships/revisionLog" Target="revisionLog119.xml"/><Relationship Id="rId44" Type="http://schemas.openxmlformats.org/officeDocument/2006/relationships/revisionLog" Target="revisionLog44.xml"/><Relationship Id="rId65" Type="http://schemas.openxmlformats.org/officeDocument/2006/relationships/revisionLog" Target="revisionLog65.xml"/><Relationship Id="rId86" Type="http://schemas.openxmlformats.org/officeDocument/2006/relationships/revisionLog" Target="revisionLog86.xml"/><Relationship Id="rId130" Type="http://schemas.openxmlformats.org/officeDocument/2006/relationships/revisionLog" Target="revisionLog130.xml"/><Relationship Id="rId151" Type="http://schemas.openxmlformats.org/officeDocument/2006/relationships/revisionLog" Target="revisionLog151.xml"/><Relationship Id="rId172" Type="http://schemas.openxmlformats.org/officeDocument/2006/relationships/revisionLog" Target="revisionLog172.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6.xml"/><Relationship Id="rId167" Type="http://schemas.openxmlformats.org/officeDocument/2006/relationships/revisionLog" Target="revisionLog167.xml"/><Relationship Id="rId188" Type="http://schemas.openxmlformats.org/officeDocument/2006/relationships/revisionLog" Target="revisionLog188.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162" Type="http://schemas.openxmlformats.org/officeDocument/2006/relationships/revisionLog" Target="revisionLog162.xml"/><Relationship Id="rId183" Type="http://schemas.openxmlformats.org/officeDocument/2006/relationships/revisionLog" Target="revisionLog183.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157" Type="http://schemas.openxmlformats.org/officeDocument/2006/relationships/revisionLog" Target="revisionLog157.xml"/><Relationship Id="rId178" Type="http://schemas.openxmlformats.org/officeDocument/2006/relationships/revisionLog" Target="revisionLog178.xml"/><Relationship Id="rId61" Type="http://schemas.openxmlformats.org/officeDocument/2006/relationships/revisionLog" Target="revisionLog61.xml"/><Relationship Id="rId82" Type="http://schemas.openxmlformats.org/officeDocument/2006/relationships/revisionLog" Target="revisionLog82.xml"/><Relationship Id="rId152" Type="http://schemas.openxmlformats.org/officeDocument/2006/relationships/revisionLog" Target="revisionLog152.xml"/><Relationship Id="rId173" Type="http://schemas.openxmlformats.org/officeDocument/2006/relationships/revisionLog" Target="revisionLog173.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168" Type="http://schemas.openxmlformats.org/officeDocument/2006/relationships/revisionLog" Target="revisionLog168.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163" Type="http://schemas.openxmlformats.org/officeDocument/2006/relationships/revisionLog" Target="revisionLog163.xml"/><Relationship Id="rId184" Type="http://schemas.openxmlformats.org/officeDocument/2006/relationships/revisionLog" Target="revisionLog184.xml"/><Relationship Id="rId189" Type="http://schemas.openxmlformats.org/officeDocument/2006/relationships/revisionLog" Target="revisionLog189.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158" Type="http://schemas.openxmlformats.org/officeDocument/2006/relationships/revisionLog" Target="revisionLog158.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3" Type="http://schemas.openxmlformats.org/officeDocument/2006/relationships/revisionLog" Target="revisionLog153.xml"/><Relationship Id="rId174" Type="http://schemas.openxmlformats.org/officeDocument/2006/relationships/revisionLog" Target="revisionLog174.xml"/><Relationship Id="rId179" Type="http://schemas.openxmlformats.org/officeDocument/2006/relationships/revisionLog" Target="revisionLog179.xml"/><Relationship Id="rId190" Type="http://schemas.openxmlformats.org/officeDocument/2006/relationships/revisionLog" Target="revisionLog190.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48" Type="http://schemas.openxmlformats.org/officeDocument/2006/relationships/revisionLog" Target="revisionLog148.xml"/><Relationship Id="rId164" Type="http://schemas.openxmlformats.org/officeDocument/2006/relationships/revisionLog" Target="revisionLog164.xml"/><Relationship Id="rId169" Type="http://schemas.openxmlformats.org/officeDocument/2006/relationships/revisionLog" Target="revisionLog169.xml"/><Relationship Id="rId185" Type="http://schemas.openxmlformats.org/officeDocument/2006/relationships/revisionLog" Target="revisionLog185.xml"/><Relationship Id="rId4" Type="http://schemas.openxmlformats.org/officeDocument/2006/relationships/revisionLog" Target="revisionLog4.xml"/><Relationship Id="rId9" Type="http://schemas.openxmlformats.org/officeDocument/2006/relationships/revisionLog" Target="revisionLog9.xml"/><Relationship Id="rId180" Type="http://schemas.openxmlformats.org/officeDocument/2006/relationships/revisionLog" Target="revisionLog180.xml"/><Relationship Id="rId26" Type="http://schemas.openxmlformats.org/officeDocument/2006/relationships/revisionLog" Target="revisionLog2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154.xml"/><Relationship Id="rId175" Type="http://schemas.openxmlformats.org/officeDocument/2006/relationships/revisionLog" Target="revisionLog175.xml"/><Relationship Id="rId16" Type="http://schemas.openxmlformats.org/officeDocument/2006/relationships/revisionLog" Target="revisionLog16.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 Id="rId90" Type="http://schemas.openxmlformats.org/officeDocument/2006/relationships/revisionLog" Target="revisionLog90.xml"/><Relationship Id="rId165" Type="http://schemas.openxmlformats.org/officeDocument/2006/relationships/revisionLog" Target="revisionLog165.xml"/><Relationship Id="rId186" Type="http://schemas.openxmlformats.org/officeDocument/2006/relationships/revisionLog" Target="revisionLog186.xml"/><Relationship Id="rId27" Type="http://schemas.openxmlformats.org/officeDocument/2006/relationships/revisionLog" Target="revisionLog27.xml"/><Relationship Id="rId48" Type="http://schemas.openxmlformats.org/officeDocument/2006/relationships/revisionLog" Target="revisionLog48.xml"/><Relationship Id="rId69" Type="http://schemas.openxmlformats.org/officeDocument/2006/relationships/revisionLog" Target="revisionLog69.xml"/><Relationship Id="rId113" Type="http://schemas.openxmlformats.org/officeDocument/2006/relationships/revisionLog" Target="revisionLog113.xml"/><Relationship Id="rId134" Type="http://schemas.openxmlformats.org/officeDocument/2006/relationships/revisionLog" Target="revisionLog134.xml"/><Relationship Id="rId80" Type="http://schemas.openxmlformats.org/officeDocument/2006/relationships/revisionLog" Target="revisionLog80.xml"/><Relationship Id="rId155" Type="http://schemas.openxmlformats.org/officeDocument/2006/relationships/revisionLog" Target="revisionLog155.xml"/><Relationship Id="rId176" Type="http://schemas.openxmlformats.org/officeDocument/2006/relationships/revisionLog" Target="revisionLog176.xml"/><Relationship Id="rId17" Type="http://schemas.openxmlformats.org/officeDocument/2006/relationships/revisionLog" Target="revisionLog17.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24" Type="http://schemas.openxmlformats.org/officeDocument/2006/relationships/revisionLog" Target="revisionLog124.xml"/><Relationship Id="rId70" Type="http://schemas.openxmlformats.org/officeDocument/2006/relationships/revisionLog" Target="revisionLog70.xml"/><Relationship Id="rId91" Type="http://schemas.openxmlformats.org/officeDocument/2006/relationships/revisionLog" Target="revisionLog91.xml"/><Relationship Id="rId145" Type="http://schemas.openxmlformats.org/officeDocument/2006/relationships/revisionLog" Target="revisionLog145.xml"/><Relationship Id="rId166" Type="http://schemas.openxmlformats.org/officeDocument/2006/relationships/revisionLog" Target="revisionLog166.xml"/><Relationship Id="rId187" Type="http://schemas.openxmlformats.org/officeDocument/2006/relationships/revisionLog" Target="revisionLog187.xml"/><Relationship Id="rId1" Type="http://schemas.openxmlformats.org/officeDocument/2006/relationships/revisionLog" Target="revisionLog1.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60" Type="http://schemas.openxmlformats.org/officeDocument/2006/relationships/revisionLog" Target="revisionLog60.xml"/><Relationship Id="rId81" Type="http://schemas.openxmlformats.org/officeDocument/2006/relationships/revisionLog" Target="revisionLog81.xml"/><Relationship Id="rId135" Type="http://schemas.openxmlformats.org/officeDocument/2006/relationships/revisionLog" Target="revisionLog135.xml"/><Relationship Id="rId156" Type="http://schemas.openxmlformats.org/officeDocument/2006/relationships/revisionLog" Target="revisionLog156.xml"/><Relationship Id="rId177" Type="http://schemas.openxmlformats.org/officeDocument/2006/relationships/revisionLog" Target="revisionLog17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FA75EDA-D928-462C-9793-300EC938C598}" diskRevisions="1" revisionId="3247" version="152">
  <header guid="{FB5762F4-71C1-49C0-9B91-CE1514554FF9}" dateTime="2017-05-16T08:09:18" maxSheetId="32" userName="Andrea Martin" r:id="rId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F9918DB-56C1-4124-B3F5-F1D62AE71C2B}" dateTime="2017-05-16T08:11:20" maxSheetId="32" userName="Andrea Martin" r:id="rId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E40636E-F7F9-4845-AD1B-9C2CD7B6647C}" dateTime="2017-05-16T08:18:26" maxSheetId="32" userName="Andrea Martin" r:id="rId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6F80737-C214-43FA-A287-FB9940772E10}" dateTime="2017-05-16T08:28:59" maxSheetId="32" userName="Andrea Martin" r:id="rId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8D467A4-EB2B-43C7-BE12-837709BD61C5}" dateTime="2017-05-16T08:31:59" maxSheetId="32" userName="Andrea Martin" r:id="rId5" minRId="11" maxRId="1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5FC5945-FD31-44E2-95B2-2BEE110FEC35}" dateTime="2017-05-16T08:39:17" maxSheetId="32" userName="Andrea Martin" r:id="rId6" minRId="23" maxRId="2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B669FD7-001C-4805-AAFE-92A9D2AC51BC}" dateTime="2017-05-16T10:54:18" maxSheetId="32" userName="Brian Harmon" r:id="rId7" minRId="2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3EB0B10-E90A-47BA-A349-C273E541000C}" dateTime="2017-05-16T10:55:28" maxSheetId="32" userName="Brian Harmon" r:id="rId8" minRId="3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01DCA57-0A2C-499C-87A6-B038101C7CFF}" dateTime="2017-05-16T11:13:35" maxSheetId="32" userName="Andrea Martin" r:id="rId9" minRId="33" maxRId="3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EE7721F-52A2-40BB-A436-27DDACD930CE}" dateTime="2017-05-16T12:34:39" maxSheetId="32" userName="Brian Harmon" r:id="rId10" minRId="35" maxRId="3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CA05A9D-E436-4F1C-B952-5D4F79AA8CB4}" dateTime="2017-05-16T13:55:28" maxSheetId="32" userName="Brian Harmon" r:id="rId11" minRId="37" maxRId="5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1A24E26-C521-45C9-8FDA-6ABBB546099C}" dateTime="2017-05-16T14:43:35" maxSheetId="32" userName="Andrea Martin" r:id="rId1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A9B76B4-6A8F-4B50-AF22-D7623AF3C977}" dateTime="2017-05-16T15:08:35" maxSheetId="32" userName="Andrea Martin" r:id="rId13" minRId="5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86CF6D0-2D3B-4F75-ABE1-5826ADD84B0B}" dateTime="2017-05-16T15:13:35" maxSheetId="32" userName="Andrea Martin" r:id="rId14" minRId="58" maxRId="6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CA56FA1-6A9B-4752-ABB3-A7DE79ADAB8B}" dateTime="2017-05-16T15:18:35" maxSheetId="32" userName="Andrea Martin" r:id="rId15" minRId="6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13EAAC8-053B-49CF-8B31-4F126EE58C76}" dateTime="2017-05-16T16:25:54" maxSheetId="32" userName="Andrea Martin" r:id="rId1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F2FEEE8-6EAD-4A63-93A1-4ADC6F21F920}" dateTime="2017-05-16T16:41:31" maxSheetId="32" userName="Andrea Martin" r:id="rId1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29FD4E8-3D9F-4B00-9459-3E6DCC811099}" dateTime="2017-05-16T17:09:58" maxSheetId="32" userName="Brian Harmon" r:id="rId18" minRId="62" maxRId="38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41C419C-EBB0-4981-8E81-598B3B62EB2E}" dateTime="2017-05-16T17:10:41" maxSheetId="32" userName="Brian Harmon" r:id="rId19" minRId="385" maxRId="38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AA1E978-D302-4C9E-832B-0451E7F8EA0C}" dateTime="2017-05-17T12:57:30" maxSheetId="32" userName="Andrea Martin" r:id="rId20" minRId="389" maxRId="39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F23BAFD-22F9-448B-9E60-9A257122783D}" dateTime="2017-05-17T13:02:09" maxSheetId="32" userName="Andrea Martin" r:id="rId21" minRId="398" maxRId="40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9B70500-87B2-4AC5-BCB3-AF0B60F028BF}" dateTime="2017-05-17T13:07:49" maxSheetId="32" userName="Andrea Martin" r:id="rId22" minRId="407" maxRId="40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BDD1D5D-FD8E-4B1B-93BB-D537576F6E91}" dateTime="2017-05-17T13:13:11" maxSheetId="32" userName="Andrea Martin" r:id="rId2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4D42F56-8AE4-44BD-A40D-EDF88E00EED1}" dateTime="2017-05-17T13:07:49" maxSheetId="32" userName="Brian Harmon" r:id="rId24" minRId="414" maxRId="41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344A86B-6B93-4D46-B23E-6B45249602EA}" dateTime="2017-05-17T13:22:46" maxSheetId="32" userName="Andrea Martin" r:id="rId2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7E5AA85-61AC-4F7F-9467-6BB2788B3222}" dateTime="2017-05-17T13:31:48" maxSheetId="32" userName="Andrea Martin" r:id="rId2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612DA8D-A9CD-4D13-AE29-1BE542006C56}" dateTime="2017-05-17T13:40:17" maxSheetId="32" userName="Andrea Martin" r:id="rId27" minRId="429" maxRId="44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577F93A-55AC-40F2-9ACB-8AB92771EFD4}" dateTime="2017-05-17T13:58:10" maxSheetId="32" userName="Andrea Martin" r:id="rId2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3F17B2C-57C7-4E33-BB97-A5427DF7714E}" dateTime="2017-05-17T14:41:38" maxSheetId="32" userName="Brian Harmon" r:id="rId29" minRId="446" maxRId="49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79CB39B-C386-43A9-8C0C-DBB342DE2964}" dateTime="2017-05-17T15:13:24" maxSheetId="32" userName="Brian Harmon" r:id="rId30" minRId="504" maxRId="51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950A7C1-EB59-45BD-BD3C-72D17785BB38}" dateTime="2017-05-17T16:22:32" maxSheetId="32" userName="Brian Harmon" r:id="rId31" minRId="515" maxRId="52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3B3964A-D411-4322-AF14-42DEE30344D7}" dateTime="2017-05-17T17:31:10" maxSheetId="32" userName="Andrea Martin" r:id="rId3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44A78DD-5D9D-4D9F-B236-4C3A170EACA1}" dateTime="2017-05-17T17:40:18" maxSheetId="32" userName="Andrea Martin" r:id="rId33" minRId="529" maxRId="53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D14EEF8-DDCA-4645-9373-D39D07D5EFF2}" dateTime="2017-05-17T17:41:21" maxSheetId="32" userName="Andrea Martin" r:id="rId3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2FC7ED7-609E-4A04-ACF1-3A25E3DE555B}" dateTime="2017-05-18T09:34:24" maxSheetId="32" userName="Andrea Martin" r:id="rId35" minRId="541" maxRId="54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2118A98-BD61-414E-988F-C5F6B6CDCA98}" dateTime="2017-05-18T10:34:24" maxSheetId="32" userName="Andrea Martin" r:id="rId3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DE686FD-46B9-4865-B0A5-DDAD34DCEF8E}" dateTime="2017-05-18T10:35:17" maxSheetId="32" userName="Brian Harmon" r:id="rId37" minRId="545" maxRId="66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D2E6076-2C19-4948-B008-B178514C8417}" dateTime="2017-05-18T10:38:22" maxSheetId="32" userName="Brian Harmon" r:id="rId38" minRId="669" maxRId="6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2DF6AC9-AB59-4B77-8767-F816921DCD9D}" dateTime="2017-05-18T10:39:57" maxSheetId="32" userName="Brian Harmon" r:id="rId39" minRId="68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84F8E97-C2F1-4968-8F32-2415363AFA86}" dateTime="2017-05-18T10:41:58" maxSheetId="32" userName="Brian Harmon" r:id="rId40" minRId="691" maxRId="70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2602320-9DE2-4F06-B21D-B61BD42D07E1}" dateTime="2017-05-18T10:50:57" maxSheetId="32" userName="Andrea Martin" r:id="rId41" minRId="707" maxRId="71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7F782FE-9AA4-495F-B060-85A34D8B9E8A}" dateTime="2017-05-18T10:56:12" maxSheetId="32" userName="Brian Harmon" r:id="rId42" minRId="716" maxRId="73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A51E556-8381-4822-A4B2-606754318112}" dateTime="2017-05-18T11:05:24" maxSheetId="32" userName="Andrea Martin" r:id="rId4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13BFF9A-2B43-4A26-B63F-A3FA6EEB074F}" dateTime="2017-05-18T11:02:49" maxSheetId="32" userName="Brian Harmon" r:id="rId44" minRId="736" maxRId="83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DA8F8BE-A4C6-4E2F-9820-A278F9AA1523}" dateTime="2017-05-18T11:42:34" maxSheetId="32" userName="Brian Harmon" r:id="rId45" minRId="837" maxRId="84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16318BE-82B7-4044-BD47-DEAAF0184C36}" dateTime="2017-05-18T11:55:29" maxSheetId="32" userName="Brian Harmon" r:id="rId46" minRId="847" maxRId="87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F4A00D7-A43E-42A9-8275-ADBB1408776C}" dateTime="2017-05-18T13:53:06" maxSheetId="32" userName="Andrea Martin" r:id="rId47" minRId="871" maxRId="87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87FF936-9CFA-49AA-8E97-A44B728A2FE8}" dateTime="2017-05-18T13:49:52" maxSheetId="32" userName="Brian Harmon" r:id="rId48" minRId="874" maxRId="8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A8DD38A-62AB-4FE8-B9DF-61A219ABFCC5}" dateTime="2017-05-18T14:08:06" maxSheetId="32" userName="Andrea Martin" r:id="rId49" minRId="880" maxRId="88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FA747EB-D915-44B7-B361-EE26543994B9}" dateTime="2017-05-18T16:44:42" maxSheetId="32" userName="Brian Harmon" r:id="rId50" minRId="884" maxRId="88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D55A6A0-814A-4AF9-82B3-8ED4BF2309CF}" dateTime="2017-05-18T16:58:03" maxSheetId="32" userName="Andrea Martin" r:id="rId51" minRId="889" maxRId="89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76E1D74-782E-48FE-BB6B-0D03711DD0BA}" dateTime="2017-05-18T17:05:37" maxSheetId="32" userName="Andrea Martin" r:id="rId52" minRId="893" maxRId="89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AE706E9-E795-443C-B4C0-9CE4C8679DD1}" dateTime="2017-05-18T17:24:57" maxSheetId="32" userName="Andrea Martin" r:id="rId5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50AAF1F-F1AF-4A81-BDD3-C3104BE0F056}" dateTime="2017-05-18T17:25:15" maxSheetId="32" userName="Andrea Martin" r:id="rId54" minRId="908" maxRId="91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8BEDD88-4BB2-480E-85E9-1467F2CF8491}" dateTime="2017-05-18T17:25:52" maxSheetId="32" userName="Andrea Martin" r:id="rId55" minRId="91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CAAFA02-2342-4B68-A9CF-9E3D937BCD9A}" dateTime="2017-05-19T10:44:32" maxSheetId="32" userName="Brian Harmon" r:id="rId56" minRId="912" maxRId="132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3E52079-13F5-47D7-8BB8-D5AF8F8274CA}" dateTime="2017-05-19T10:48:01" maxSheetId="32" userName="Brian Harmon" r:id="rId57" minRId="1332" maxRId="133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ABF8A49-71C9-4DEA-B414-11299F0BD8A8}" dateTime="2017-05-19T10:50:56" maxSheetId="32" userName="Brian Harmon" r:id="rId58" minRId="1335" maxRId="135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9632B4C-37C0-4D2A-A806-6073F3A17978}" dateTime="2017-05-19T11:06:24" maxSheetId="32" userName="Brian Harmon" r:id="rId59" minRId="1356" maxRId="135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77332E6-B36F-47E9-BD36-D8284F3956BA}" dateTime="2017-05-19T11:32:13" maxSheetId="32" userName="Brian Harmon" r:id="rId60" minRId="1359" maxRId="137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0722536-1C0C-408D-AAD0-0BF8B98C4851}" dateTime="2017-05-19T13:22:16" maxSheetId="32" userName="Brian Harmon" r:id="rId61" minRId="1380" maxRId="138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0DB5CDD-A2D1-469B-8D67-90DEAC0F9D0C}" dateTime="2017-05-19T14:05:30" maxSheetId="32" userName="Brian Harmon" r:id="rId62" minRId="1382" maxRId="163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C3183C7-A7CF-419F-A9DC-4004B81F942F}" dateTime="2017-05-19T14:14:30" maxSheetId="32" userName="Brian Harmon" r:id="rId63" minRId="1638" maxRId="167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AA31A22-274D-43A6-A56F-B1DC8EA4D011}" dateTime="2017-05-19T14:22:16" maxSheetId="32" userName="Brian Harmon" r:id="rId64" minRId="1676" maxRId="168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65C3380-FEC8-441B-A1EB-53A3E4CB4D1F}" dateTime="2017-05-19T14:23:08" maxSheetId="32" userName="Brian Harmon" r:id="rId6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A67C64B-855B-4BC3-A6AE-769A7FC69025}" dateTime="2017-05-19T14:34:56" maxSheetId="32" userName="Kirstin Hervin" r:id="rId66" minRId="1685" maxRId="168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00C5F5C-DC33-4B83-A355-97803A227689}" dateTime="2017-05-19T14:44:22" maxSheetId="32" userName="Andrea Martin" r:id="rId67" minRId="169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00C72B9-ED58-48CF-814E-9ACA9AD1186D}" dateTime="2017-05-19T14:57:24" maxSheetId="32" userName="Andrea Martin" r:id="rId6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6F87EC0-266C-4853-9267-0FA3197B8F3B}" dateTime="2017-05-19T14:57:45" maxSheetId="32" userName="Andrea Martin" r:id="rId6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19B1545-0C14-408D-9A81-DD7FF90EC9D1}" dateTime="2017-05-19T14:53:21" maxSheetId="32" userName="Brian Harmon" r:id="rId70" minRId="1693" maxRId="172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FA9A2D2-14F9-495D-9230-F23BCF7F2C38}" dateTime="2017-05-19T14:59:10" maxSheetId="32" userName="Andrea Martin" r:id="rId7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B670EF7-E434-43E1-B51B-67D0EB655732}" dateTime="2017-05-19T15:01:21" maxSheetId="32" userName="Andrea Martin" r:id="rId7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E09FD2A-4FA8-4C00-8A9E-C27E7ED182C5}" dateTime="2017-05-19T14:58:28" maxSheetId="32" userName="Brian Harmon" r:id="rId73" minRId="1740" maxRId="174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4BED33C-CE47-4391-9B02-9BD08A5B165A}" dateTime="2017-05-19T15:03:28" maxSheetId="32" userName="Andrea Martin" r:id="rId74" minRId="1745" maxRId="174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02B4621-0E50-4DFC-AC2C-ADACD4B342A3}" dateTime="2017-05-19T15:15:09" maxSheetId="32" userName="Andrea Martin" r:id="rId7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721A8BD-4AE9-4E7B-AB6F-B1E68490119E}" dateTime="2017-05-19T15:20:24" maxSheetId="32" userName="Brian Harmon" r:id="rId76" minRId="1747" maxRId="176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337B6D0-4D1E-48D3-A599-63A52A4D4EDD}" dateTime="2017-05-19T15:21:44" maxSheetId="32" userName="Brian Harmon" r:id="rId7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FD7CEEA-066C-4EB5-8AB8-916A4E464FA9}" dateTime="2017-05-19T15:28:05" maxSheetId="32" userName="Andrea Martin" r:id="rId7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E52F58D-4910-4C0A-A180-00B8AD8DFE36}" dateTime="2017-05-19T15:47:09" maxSheetId="32" userName="Andrea Martin" r:id="rId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CAB0B4E-A78A-4C6F-8B27-24006BC43D61}" dateTime="2017-05-19T15:48:06" maxSheetId="32" userName="Andrea Martin" r:id="rId8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4639A90-D0D4-4858-900C-004226FC852E}" dateTime="2017-05-19T16:02:09" maxSheetId="32" userName="Andrea Martin" r:id="rId81" minRId="1780" maxRId="178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A4D66FE-964B-49CA-8E26-DE64FBFD9E26}" dateTime="2017-05-19T16:17:09" maxSheetId="32" userName="Andrea Martin" r:id="rId82" minRId="1784" maxRId="178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8C6003D-5200-4FDE-B51F-9257EF9C6AAE}" dateTime="2017-05-22T08:25:24" maxSheetId="32" userName="Andrea Martin" r:id="rId8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68A6420-9708-44BC-9EC3-F4BFD8326CB8}" dateTime="2017-05-22T08:43:11" maxSheetId="32" userName="Andrea Martin" r:id="rId8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ED031CF-41E1-4152-9969-9784E9610862}" dateTime="2017-05-22T08:43:33" maxSheetId="32" userName="Andrea Martin" r:id="rId8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8F9B12C-4DFC-4B87-8AD7-4BF797465F89}" dateTime="2017-05-22T08:48:51" maxSheetId="32" userName="Andrea Martin" r:id="rId8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61F1860-7973-41B9-ADAE-A447C50A8DE5}" dateTime="2017-05-22T09:01:24" maxSheetId="32" userName="Andrea Martin" r:id="rId8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242066E-B18B-44C5-A096-0C2AF80A5324}" dateTime="2017-05-22T09:04:24" maxSheetId="32" userName="Andrea Martin" r:id="rId88" minRId="1798" maxRId="180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E8F0B67-89A7-4ADA-81A5-0921C784C30F}" dateTime="2017-05-22T09:04:55" maxSheetId="32" userName="Andrea Martin" r:id="rId8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5F63599-FC03-4706-9913-7D695AB54D8C}" dateTime="2017-05-22T09:09:25" maxSheetId="32" userName="Andrea Martin" r:id="rId9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2C37343-A258-43C1-907B-9C79F7ABB911}" dateTime="2017-05-22T09:14:31" maxSheetId="32" userName="Andrea Martin" r:id="rId9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EAAB1E0-A623-4528-838C-3C97685A915B}" dateTime="2017-05-22T09:58:05" maxSheetId="32" userName="Brian Harmon" r:id="rId92" minRId="1831" maxRId="190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82E509F-E724-4DDE-B3ED-556BE25BC58B}" dateTime="2017-05-22T10:06:13" maxSheetId="32" userName="Brian Harmon" r:id="rId93" minRId="1910" maxRId="191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830ABED-93F8-4B11-BBB7-F307055C9673}" dateTime="2017-05-22T10:15:20" maxSheetId="32" userName="Andrea Martin" r:id="rId9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DBB56DF-62FA-4B1D-86A9-F9399DF313FA}" dateTime="2017-05-22T11:13:22" maxSheetId="32" userName="Andrea Martin" r:id="rId95" minRId="191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EE80DDE-B76C-4745-813C-9C881D2038CB}" dateTime="2017-05-22T11:30:19" maxSheetId="32" userName="Andrea Martin" r:id="rId9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BBA349B-A775-451B-BA36-3BFC89875DB3}" dateTime="2017-05-22T11:59:23" maxSheetId="32" userName="Brian Harmon" r:id="rId97" minRId="1916" maxRId="196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343364B-3133-443F-84D9-5AEB69F4C267}" dateTime="2017-05-22T12:00:32" maxSheetId="32" userName="Brian Harmon" r:id="rId98" minRId="1964" maxRId="198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361D90D-68BB-4FDD-B72D-D9E1362050F9}" dateTime="2017-05-22T12:16:20" maxSheetId="32" userName="Andrea Martin" r:id="rId99" minRId="1989" maxRId="199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7C61E6A-ED94-47DA-B31E-74AC3F2BB2A5}" dateTime="2017-05-22T12:31:19" maxSheetId="32" userName="Andrea Martin" r:id="rId100" minRId="1991" maxRId="199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49BCF7F-7D96-4CAE-93F4-C0E9991A1332}" dateTime="2017-05-22T12:46:19" maxSheetId="32" userName="Andrea Martin" r:id="rId101" minRId="1994" maxRId="199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09FB313-47AC-46C5-B822-4333522807A0}" dateTime="2017-05-22T13:01:19" maxSheetId="32" userName="Andrea Martin" r:id="rId102" minRId="1996" maxRId="200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6632CD8-F479-460A-938B-8D37BE39D6F7}" dateTime="2017-05-22T13:05:28" maxSheetId="32" userName="Andrea Martin" r:id="rId103" minRId="2006" maxRId="202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00330CE-02BE-4CB5-AA63-29E04254A806}" dateTime="2017-05-22T13:07:18" maxSheetId="32" userName="Andrea Martin" r:id="rId104" minRId="2030" maxRId="203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B5BB749-F67F-417A-A695-A4EE77D69422}" dateTime="2017-05-22T13:51:09" maxSheetId="32" userName="Andrea Martin" r:id="rId105" minRId="2039" maxRId="204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4D37A87-1F16-495E-A067-93BDE6E7556D}" dateTime="2017-05-22T13:59:32" maxSheetId="32" userName="Andrea Martin" r:id="rId106" minRId="2041" maxRId="206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A56E0F9-4B03-410F-AE33-F571A3FDAC5B}" dateTime="2017-05-22T13:54:57" maxSheetId="32" userName="Brian Harmon" r:id="rId107" minRId="2067" maxRId="208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D115081-250A-40FD-8B3B-4A01646D4D14}" dateTime="2017-05-22T14:01:08" maxSheetId="32" userName="Andrea Martin" r:id="rId108" minRId="2084" maxRId="208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DC577DA-9834-410B-9221-5BF19A0A4D1A}" dateTime="2017-05-22T14:07:09" maxSheetId="32" userName="Andrea Martin" r:id="rId109" minRId="2090" maxRId="212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864A9C4-7DDB-4DBA-8190-9C4DA6E3D0A3}" dateTime="2017-05-22T14:09:38" maxSheetId="32" userName="Andrea Martin" r:id="rId110" minRId="2122" maxRId="214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A3A30ED-0FC7-4224-95E1-BB1BCC744128}" dateTime="2017-05-22T14:12:11" maxSheetId="32" userName="Andrea Martin" r:id="rId111" minRId="2147" maxRId="214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6073EC0-7963-42BA-9C83-907EDD623B79}" dateTime="2017-05-22T14:21:29" maxSheetId="32" userName="Andrea Martin" r:id="rId112" minRId="2149" maxRId="217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0F090FD-F693-4B20-B400-7B76FA5BD6FD}" dateTime="2017-05-22T14:21:53" maxSheetId="32" userName="Andrea Martin" r:id="rId11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5D01155-3182-4A5F-9EBE-720EFD2F6F60}" dateTime="2017-05-22T14:25:51" maxSheetId="32" userName="Andrea Martin" r:id="rId11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8299C80-7AB3-4851-95D8-646591BBED89}" dateTime="2017-05-22T14:27:05" maxSheetId="32" userName="Andrea Martin" r:id="rId11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5B96203-E37A-4235-BC6A-538D9EBF59C5}" dateTime="2017-05-22T14:31:12" maxSheetId="32" userName="Andrea Martin" r:id="rId116" minRId="217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EA5DCCC-57CA-48E8-960C-863C6C207A0A}" dateTime="2017-05-22T14:35:30" maxSheetId="32" userName="Andrea Martin" r:id="rId117" minRId="2177" maxRId="217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A8434BE-27F7-480A-A807-8EB81938787D}" dateTime="2017-05-22T14:37:25" maxSheetId="32" userName="Andrea Martin" r:id="rId118" minRId="2179" maxRId="220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86858E9-6F82-4207-B00F-1D077F40BD94}" dateTime="2017-05-22T14:39:09" maxSheetId="32" userName="Andrea Martin" r:id="rId119" minRId="2205" maxRId="221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D110BB2-DF4C-4573-9FAD-AA41A24CA539}" dateTime="2017-05-22T14:41:30" maxSheetId="32" userName="Andrea Martin" r:id="rId120" minRId="2215" maxRId="222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0C278B4-8C58-4A8F-9F3F-8A9F172DFF16}" dateTime="2017-05-22T14:43:21" maxSheetId="32" userName="Andrea Martin" r:id="rId12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B2D482B-0D98-4E48-8671-5AF08C5ECB89}" dateTime="2017-05-22T14:43:56" maxSheetId="32" userName="Andrea Martin" r:id="rId12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CB0C4F6-D07C-4C08-B215-979B8B71D343}" dateTime="2017-05-22T14:44:18" maxSheetId="32" userName="Andrea Martin" r:id="rId12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835DC41-47A3-4BCA-A9C3-C3B04D625278}" dateTime="2017-05-22T14:44:35" maxSheetId="32" userName="Andrea Martin" r:id="rId12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E5BD9FF-787D-404F-9F2A-B75AB8D9E1C2}" dateTime="2017-05-22T14:54:34" maxSheetId="32" userName="Andrea Martin" r:id="rId125" minRId="2229" maxRId="223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360EB00-9C90-492C-91CA-06C1B61D947D}" dateTime="2017-05-22T15:05:53" maxSheetId="32" userName="Brian Harmon" r:id="rId126" minRId="2238" maxRId="22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8A30575-1640-4E38-B4D7-2385F180FF82}" dateTime="2017-05-22T15:41:33" maxSheetId="32" userName="Brian Harmon" r:id="rId127" minRId="2280" maxRId="236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B682D99-73D7-4087-901D-9CD33272C6BA}" dateTime="2017-05-22T15:44:39" maxSheetId="32" userName="Brian Harmon" r:id="rId128" minRId="2369" maxRId="238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1899115-62A4-4A4E-8483-1209571EC743}" dateTime="2017-05-22T16:11:01" maxSheetId="32" userName="Andrea Martin" r:id="rId129" minRId="2386" maxRId="241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D44B535-F359-4FE0-AE28-3B9853F4C712}" dateTime="2017-05-22T16:11:57" maxSheetId="32" userName="Andrea Martin" r:id="rId130" minRId="2417" maxRId="242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ECEBE65-F77F-4F96-8412-30BB6D711504}" dateTime="2017-05-22T16:13:09" maxSheetId="32" userName="Andrea Martin" r:id="rId131" minRId="242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80B66FB-DF8A-479D-B134-EB8D033CBDE1}" dateTime="2017-05-22T16:14:36" maxSheetId="32" userName="Andrea Martin" r:id="rId132" minRId="2422" maxRId="243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776225A-266A-404C-A725-B8D110B3991A}" dateTime="2017-05-22T16:14:55" maxSheetId="32" userName="Andrea Martin" r:id="rId133" minRId="2438" maxRId="244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B1AC402-C8DC-48DD-99D8-6F4D11B91541}" dateTime="2017-05-22T16:15:34" maxSheetId="32" userName="Andrea Martin" r:id="rId134" minRId="2442" maxRId="244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E40B7B6-8595-4587-840B-85B9760AE13F}" dateTime="2017-05-22T16:11:01" maxSheetId="32" userName="Brian Harmon" r:id="rId135" minRId="2447" maxRId="256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E11F8C4-E6E0-445F-86A6-430C779E153D}" dateTime="2017-05-22T16:19:22" maxSheetId="32" userName="Brian Harmon" r:id="rId136" minRId="2569" maxRId="257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221DFF5-3CBF-4A22-BB25-A9F1B9E5D0B5}" dateTime="2017-05-22T16:28:10" maxSheetId="32" userName="Andrea Martin" r:id="rId137" minRId="257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C55E1FE-C490-423E-B485-90808E48ED24}" dateTime="2017-05-22T16:47:09" maxSheetId="32" userName="Andrea Martin" r:id="rId13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2617D67-F480-4145-8A3B-4495ECE4215C}" dateTime="2017-05-22T16:53:41" maxSheetId="32" userName="Andrea Martin" r:id="rId139" minRId="2574" maxRId="257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15DA10C-A411-4F79-AA6F-D41B1FFE37EF}" dateTime="2017-05-22T16:55:55" maxSheetId="32" userName="Andrea Martin" r:id="rId140" minRId="2581" maxRId="258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38852BA-D979-4BF6-A041-5B8D973ADF7A}" dateTime="2017-05-22T16:53:32" maxSheetId="32" userName="Brian Harmon" r:id="rId141" minRId="2586" maxRId="258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67CA14A-1299-43FE-A792-A8CBD01ABDEF}" dateTime="2017-05-22T17:02:09" maxSheetId="32" userName="Andrea Martin" r:id="rId142" minRId="2588" maxRId="259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FF6CF8D0-9B84-4208-B340-A4F2758A4B85}" dateTime="2017-05-22T16:58:34" maxSheetId="32" userName="Brian Harmon" r:id="rId143" minRId="2591" maxRId="259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76E3551-6740-453F-8F4E-29BB72C3F1F3}" dateTime="2017-05-22T17:09:27" maxSheetId="32" userName="Andrea Martin" r:id="rId144" minRId="2594" maxRId="261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D9E226E-DCAB-4FAA-9A1C-FC97426C4FEA}" dateTime="2017-05-22T17:12:39" maxSheetId="32" userName="Andrea Martin" r:id="rId145" minRId="2624" maxRId="263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0E387134-65D0-490A-BAF3-D166F8E39A2A}" dateTime="2017-05-22T17:18:09" maxSheetId="32" userName="Andrea Martin" r:id="rId14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6F027E5-2E9C-4A27-8703-E3BD2FCCE3C6}" dateTime="2017-05-22T17:19:36" maxSheetId="32" userName="Andrea Martin" r:id="rId147" minRId="263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8065AF5-D006-4127-B28C-0D5BC1840234}" dateTime="2017-05-22T17:21:00" maxSheetId="32" userName="Andrea Martin" r:id="rId14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2EA52CD-8350-4BAC-8B78-FF6B7AD4DB75}" dateTime="2017-05-22T17:23:18" maxSheetId="32" userName="Andrea Martin" r:id="rId14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8C3D71B-B5A7-4A4A-98A7-782230F64BEC}" dateTime="2017-05-22T17:25:34" maxSheetId="32" userName="Andrea Martin" r:id="rId150" minRId="2637" maxRId="264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5370A4E-0270-4FEE-A931-12F7E6758FDF}" dateTime="2017-05-22T17:31:34" maxSheetId="32" userName="Andrea Martin" r:id="rId151" minRId="2649" maxRId="265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AA89084-7D53-4DD5-AC4F-E277864B9457}" dateTime="2017-05-22T17:33:09" maxSheetId="32" userName="Andrea Martin" r:id="rId15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BA8CEDC-5184-4822-9DCC-F876968F16C9}" dateTime="2017-05-22T17:37:48" maxSheetId="32" userName="Andrea Martin" r:id="rId15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1ACAED4-437F-4646-A922-E61CC7276D64}" dateTime="2017-05-22T17:38:05" maxSheetId="32" userName="Andrea Martin" r:id="rId15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07883D4-608E-4BE4-BBD8-D9DE9E1827B5}" dateTime="2017-05-22T17:39:02" maxSheetId="32" userName="Andrea Martin" r:id="rId155" minRId="265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94BDAF1-DD8A-4E5E-82F6-3B03B4A24F1A}" dateTime="2017-05-22T18:04:32" maxSheetId="32" userName="Andrea Martin" r:id="rId15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A48D176-6607-4F2B-8022-0BECFC80D05C}" dateTime="2017-05-23T11:31:41" maxSheetId="32" userName="Brian Harmon" r:id="rId157" minRId="2662" maxRId="267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572CEBB-5B51-47E2-B97F-5A32A7059232}" dateTime="2017-05-23T11:39:49" maxSheetId="32" userName="Kirstin Hervin" r:id="rId158" minRId="2678" maxRId="273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E10BFCB-105C-4378-80FB-A6379475B445}" dateTime="2017-05-23T13:06:18" maxSheetId="32" userName="Brian Harmon" r:id="rId159" minRId="2736" maxRId="283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3CDFC9E2-0440-4FDC-9025-B30431CFDA7A}" dateTime="2017-05-23T14:27:42" maxSheetId="32" userName="Andrea Martin" r:id="rId16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8704B7D-3C38-4F4E-9689-385D9ECD8C13}" dateTime="2017-05-23T17:49:12" maxSheetId="32" userName="Brian Harmon" r:id="rId161" minRId="2831" maxRId="293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9DE4959-CB2C-4B8A-A6E8-C0ABD14495BF}" dateTime="2017-05-23T18:21:29" maxSheetId="32" userName="Andrea Martin" r:id="rId162" minRId="2938" maxRId="294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7245A592-A1BC-4FD2-AA6A-251754C471E6}" dateTime="2017-05-23T18:23:07" maxSheetId="32" userName="Andrea Martin" r:id="rId16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4379E24-8F69-485A-9F78-A6866C5D2C32}" dateTime="2017-05-24T11:03:24" maxSheetId="32" userName="Brian Harmon" r:id="rId164" minRId="2953" maxRId="295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BAA7D7E-2AAA-4BA4-A289-DEE4D4CED013}" dateTime="2017-05-24T11:42:15" maxSheetId="32" userName="Andrea Martin" r:id="rId165" minRId="2959" maxRId="296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459D9DB-9550-4C9B-BF7C-E5B4E16C200A}" dateTime="2017-05-24T12:01:57" maxSheetId="32" userName="Andrea Martin" r:id="rId166" minRId="2965" maxRId="297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8151F02-568F-4188-B117-F371AC0BDE1A}" dateTime="2017-05-24T13:57:35" maxSheetId="32" userName="Andrea Martin" r:id="rId167" minRId="2978" maxRId="29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19E9EA9-4283-466D-BB25-426B8E1EE780}" dateTime="2017-05-24T14:03:52" maxSheetId="32" userName="Andrea Martin" r:id="rId168" minRId="2980" maxRId="298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D9260F7F-D150-4708-BE99-4236F4439E38}" dateTime="2017-05-24T13:59:58" maxSheetId="32" userName="Brian Harmon" r:id="rId169" minRId="2988" maxRId="302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467B163-BC47-4E98-A222-887F3D24C004}" dateTime="2017-05-24T14:08:24" maxSheetId="32" userName="Andrea Martin" r:id="rId170" minRId="3030" maxRId="304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6FAD2C93-DD83-44F7-B718-46A514759D9A}" dateTime="2017-05-24T14:18:20" maxSheetId="32" userName="Andrea Martin" r:id="rId171" minRId="3041" maxRId="305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B3EEC51-EB44-4D10-A7A3-D7ECE971D03C}" dateTime="2017-05-24T14:19:52" maxSheetId="32" userName="Andrea Martin" r:id="rId172" minRId="3058" maxRId="305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CC07513-D8F0-41D5-B5DB-9D2D15A1224A}" dateTime="2017-05-24T14:42:16" maxSheetId="32" userName="Brian Harmon" r:id="rId173" minRId="3060" maxRId="308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470BAFE-86AD-4B0C-A4E4-F2CB8D3A225F}" dateTime="2017-05-24T14:49:52" maxSheetId="32" userName="Andrea Martin" r:id="rId174" minRId="3086" maxRId="309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F1D5DD7-AC41-4B9D-BDCF-792BE14BEE2B}" dateTime="2017-05-24T15:34:22" maxSheetId="32" userName="Andrea Martin" r:id="rId175" minRId="3097" maxRId="3105">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16DE288-81CD-4B4A-AA29-0F396B02E2A4}" dateTime="2017-05-24T15:43:47" maxSheetId="32" userName="Brian Harmon" r:id="rId176" minRId="3106" maxRId="3110">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E42106D-46D7-4376-8CA0-5C9BBD5B4DC9}" dateTime="2017-05-24T15:49:34" maxSheetId="32" userName="Andrea Martin" r:id="rId177" minRId="3111" maxRId="312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5C74548-DA57-433E-9C92-0F3BCCC17A43}" dateTime="2017-05-25T10:42:50" maxSheetId="32" userName="Brian Harmon" r:id="rId178" minRId="3125" maxRId="312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43A939F-F45E-411E-8AC4-3F9476BA460C}" dateTime="2017-05-25T10:44:18" maxSheetId="32" userName="Brian Harmon" r:id="rId1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2945B55B-D68A-4685-80A5-A47A72DF15F0}" dateTime="2017-05-25T10:44:39" maxSheetId="32" userName="Brian Harmon" r:id="rId180" minRId="3130" maxRId="313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5A427813-27FD-4EE7-A5F8-AB645018CEC9}" dateTime="2017-05-25T12:38:16" maxSheetId="32" userName="Andrea Martin" r:id="rId181" minRId="3132" maxRId="3133">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4E5F0E19-9787-4596-89F7-CF286983A805}" dateTime="2017-05-25T12:38:55" maxSheetId="32" userName="Andrea Martin" r:id="rId18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68FA1B1-DC11-4ED4-9ABB-E95833155444}" dateTime="2017-05-25T12:44:58" maxSheetId="32" userName="Brian Harmon" r:id="rId183" minRId="3139" maxRId="317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E23C0737-C973-4532-A78B-150D2FBDE264}" dateTime="2017-05-25T12:51:30" maxSheetId="32" userName="Andrea Martin" r:id="rId184" minRId="3177">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10A2DCC8-01F1-4F14-B1EC-0138B721CAA9}" dateTime="2017-05-25T12:47:25" maxSheetId="32" userName="Brian Harmon" r:id="rId185" minRId="3178" maxRId="3179">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F8528C5-5DF4-4488-A2CC-3C637D2785D6}" dateTime="2017-05-25T12:49:52" maxSheetId="32" userName="Brian Harmon" r:id="rId186" minRId="3180" maxRId="318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C84FC296-8CAA-4804-9017-7F7D937F6C6E}" dateTime="2017-05-25T13:05:14" maxSheetId="32" userName="Andrea Martin" r:id="rId187" minRId="3189" maxRId="3196">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C57C4D8-3D3F-4418-9B82-152AFA07DFC8}" dateTime="2017-05-25T13:07:06" maxSheetId="32" userName="Brian Harmon" r:id="rId188" minRId="3197" maxRId="320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988EA5EB-C470-48E6-A854-95196847E1BE}" dateTime="2017-05-25T13:12:47" maxSheetId="32" userName="Brian Harmon" r:id="rId189" minRId="3202" maxRId="3208">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86C716BE-CDF9-4C65-B8D6-3132F32731BA}" dateTime="2017-05-25T13:13:06" maxSheetId="32" userName="Brian Harmon" r:id="rId190" minRId="3214">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AF467BEB-F003-49CE-AB28-CCDF9F81159F}" dateTime="2017-05-25T13:17:44" maxSheetId="32" userName="Brian Harmon" r:id="rId191">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 guid="{BFA75EDA-D928-462C-9793-300EC938C598}" dateTime="2017-05-25T17:18:07" maxSheetId="32" userName="Brian Harmon" r:id="rId192" minRId="3220" maxRId="3242">
    <sheetIdMap count="3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 val="24"/>
      <sheetId val="25"/>
      <sheetId val="26"/>
      <sheetId val="27"/>
      <sheetId val="28"/>
      <sheetId val="29"/>
      <sheetId val="30"/>
      <sheetId val="3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0">
    <oc r="J24">
      <f>'Res- Garden &amp; Rec'!#REF!</f>
    </oc>
    <nc r="J24"/>
  </rcc>
  <rrc rId="36" sId="10" ref="A24:XFD24" action="deleteRow">
    <rfmt sheetId="10" xfDxf="1" sqref="A24:XFD24" start="0" length="0"/>
    <rcc rId="0" sId="10" dxf="1">
      <nc r="A24" t="inlineStr">
        <is>
          <t>Non-heat oil use (diesel)</t>
        </is>
      </nc>
      <ndxf>
        <font>
          <sz val="9"/>
          <color auto="1"/>
          <name val="Arial"/>
          <scheme val="none"/>
        </font>
        <numFmt numFmtId="30" formatCode="@"/>
        <alignment horizontal="left" wrapText="1" indent="1" readingOrder="0"/>
        <border outline="0">
          <right style="thin">
            <color indexed="64"/>
          </right>
        </border>
      </ndxf>
    </rcc>
    <rcc rId="0" sId="10" dxf="1">
      <nc r="B24">
        <f>'Res- Garden &amp; Rec'!#REF!</f>
      </nc>
      <ndxf>
        <numFmt numFmtId="3" formatCode="#,##0"/>
        <fill>
          <patternFill patternType="solid">
            <bgColor rgb="FFFFFF00"/>
          </patternFill>
        </fill>
        <alignment horizontal="right" readingOrder="0"/>
      </ndxf>
    </rcc>
    <rcc rId="0" sId="10" dxf="1">
      <nc r="C24" t="inlineStr">
        <is>
          <t>L</t>
        </is>
      </nc>
      <ndxf>
        <numFmt numFmtId="3" formatCode="#,##0"/>
      </ndxf>
    </rcc>
    <rcc rId="0" sId="10" dxf="1">
      <nc r="D24" t="inlineStr">
        <is>
          <t>tab Res- Garden &amp; Rec</t>
        </is>
      </nc>
      <ndxf>
        <numFmt numFmtId="30" formatCode="@"/>
        <alignment wrapText="1" readingOrder="0"/>
      </ndxf>
    </rcc>
    <rcc rId="0" sId="10" dxf="1">
      <nc r="E24" t="inlineStr">
        <is>
          <t>cell B23</t>
        </is>
      </nc>
      <ndxf>
        <numFmt numFmtId="30" formatCode="@"/>
        <border outline="0">
          <right style="thin">
            <color indexed="64"/>
          </right>
        </border>
      </ndxf>
    </rcc>
    <rcc rId="0" sId="10" dxf="1">
      <nc r="F24">
        <f>'Res- Garden &amp; Rec'!#REF!</f>
      </nc>
      <ndxf>
        <numFmt numFmtId="3" formatCode="#,##0"/>
        <fill>
          <patternFill patternType="solid">
            <bgColor rgb="FFFFFF00"/>
          </patternFill>
        </fill>
        <alignment horizontal="right" readingOrder="0"/>
      </ndxf>
    </rcc>
    <rcc rId="0" sId="10" dxf="1">
      <nc r="G24" t="inlineStr">
        <is>
          <t>L</t>
        </is>
      </nc>
      <ndxf>
        <numFmt numFmtId="3" formatCode="#,##0"/>
      </ndxf>
    </rcc>
    <rcc rId="0" sId="10" dxf="1">
      <nc r="H24" t="inlineStr">
        <is>
          <t>tab Res- Garden &amp; Rec</t>
        </is>
      </nc>
      <ndxf>
        <numFmt numFmtId="30" formatCode="@"/>
        <alignment wrapText="1" readingOrder="0"/>
      </ndxf>
    </rcc>
    <rcc rId="0" sId="10" dxf="1">
      <nc r="I24" t="inlineStr">
        <is>
          <t>cell F23</t>
        </is>
      </nc>
      <ndxf>
        <numFmt numFmtId="30" formatCode="@"/>
        <border outline="0">
          <right style="thin">
            <color indexed="64"/>
          </right>
        </border>
      </ndxf>
    </rcc>
    <rfmt sheetId="10" sqref="J24" start="0" length="0">
      <dxf>
        <numFmt numFmtId="3" formatCode="#,##0"/>
        <fill>
          <patternFill patternType="solid">
            <bgColor rgb="FFFFFF00"/>
          </patternFill>
        </fill>
        <alignment horizontal="right" readingOrder="0"/>
      </dxf>
    </rfmt>
    <rcc rId="0" sId="10" dxf="1">
      <nc r="K24" t="inlineStr">
        <is>
          <t>L</t>
        </is>
      </nc>
      <ndxf>
        <numFmt numFmtId="3" formatCode="#,##0"/>
      </ndxf>
    </rcc>
    <rfmt sheetId="10" sqref="L24" start="0" length="0">
      <dxf>
        <numFmt numFmtId="30" formatCode="@"/>
        <alignment wrapText="1" readingOrder="0"/>
      </dxf>
    </rfmt>
    <rfmt sheetId="10" sqref="M24" start="0" length="0">
      <dxf>
        <numFmt numFmtId="30" formatCode="@"/>
        <border outline="0">
          <right style="thin">
            <color indexed="64"/>
          </right>
        </border>
      </dxf>
    </rfmt>
    <rfmt sheetId="10" s="1" sqref="N24" start="0" length="0">
      <dxf>
        <numFmt numFmtId="181" formatCode="_(* #,##0_);_(* \(#,##0\);_(* &quot;-&quot;??_);_(@_)"/>
      </dxf>
    </rfmt>
    <rfmt sheetId="10" sqref="O24" start="0" length="0">
      <dxf>
        <numFmt numFmtId="3" formatCode="#,##0"/>
      </dxf>
    </rfmt>
    <rfmt sheetId="10" sqref="P24" start="0" length="0">
      <dxf>
        <numFmt numFmtId="30" formatCode="@"/>
      </dxf>
    </rfmt>
    <rfmt sheetId="10" sqref="Q24" start="0" length="0">
      <dxf>
        <numFmt numFmtId="30" formatCode="@"/>
        <border outline="0">
          <right style="thin">
            <color indexed="64"/>
          </right>
        </border>
      </dxf>
    </rfmt>
    <rfmt sheetId="10" sqref="R24" start="0" length="0">
      <dxf>
        <alignment horizontal="left" readingOrder="0"/>
      </dxf>
    </rfmt>
  </rr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1" sId="18" numFmtId="4">
    <oc r="O39">
      <v>1775</v>
    </oc>
    <nc r="O39"/>
  </rcc>
  <rcc rId="1992" sId="18">
    <oc r="O38">
      <f>12365+42335</f>
    </oc>
    <nc r="O38">
      <f>3330174+1194166+5523</f>
    </nc>
  </rcc>
  <rcc rId="1993" sId="18">
    <nc r="J37">
      <f>1112851+576537+1461237+852777</f>
    </nc>
  </rcc>
  <rfmt sheetId="18" sqref="J37">
    <dxf>
      <numFmt numFmtId="35" formatCode="_(* #,##0.00_);_(* \(#,##0.00\);_(* &quot;-&quot;??_);_(@_)"/>
    </dxf>
  </rfmt>
  <rfmt sheetId="18" sqref="J37">
    <dxf>
      <numFmt numFmtId="182" formatCode="_(* #,##0.0_);_(* \(#,##0.0\);_(* &quot;-&quot;??_);_(@_)"/>
    </dxf>
  </rfmt>
  <rfmt sheetId="18" sqref="J37">
    <dxf>
      <numFmt numFmtId="181" formatCode="_(* #,##0_);_(* \(#,##0\);_(* &quot;-&quot;??_);_(@_)"/>
    </dxf>
  </rfmt>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4" sId="20">
    <oc r="A4" t="inlineStr">
      <is>
        <t>Rail (Freight)</t>
      </is>
    </oc>
    <nc r="A4" t="inlineStr">
      <is>
        <t>Rail (Freight/Commuter Rail)</t>
      </is>
    </nc>
  </rcc>
  <rcc rId="1995" sId="18" numFmtId="4">
    <oc r="O38">
      <f>3330174+1194166+5523</f>
    </oc>
    <nc r="O38">
      <v>2380445</v>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6" sId="18" numFmtId="4">
    <oc r="O38">
      <v>2380445</v>
    </oc>
    <nc r="O38">
      <f>2380445+836598</f>
    </nc>
  </rcc>
  <rcc rId="1997" sId="18" numFmtId="4">
    <nc r="O39">
      <v>180792</v>
    </nc>
  </rcc>
  <rcc rId="1998" sId="18" odxf="1" dxf="1" numFmtId="4">
    <oc r="O43">
      <v>2201642.25</v>
    </oc>
    <nc r="O43">
      <f>O38*O$41</f>
    </nc>
    <odxf>
      <font>
        <sz val="9"/>
        <family val="2"/>
      </font>
    </odxf>
    <ndxf>
      <font>
        <sz val="9"/>
        <family val="2"/>
      </font>
    </ndxf>
  </rcc>
  <rcc rId="1999" sId="18" odxf="1" dxf="1" numFmtId="4">
    <oc r="O44">
      <v>158211.75</v>
    </oc>
    <nc r="O44">
      <f>O39*O$41</f>
    </nc>
    <odxf>
      <font>
        <sz val="9"/>
        <family val="2"/>
      </font>
    </odxf>
    <ndxf>
      <font>
        <sz val="9"/>
        <family val="2"/>
      </font>
    </ndxf>
  </rcc>
  <rcc rId="2000" sId="18" odxf="1" dxf="1" numFmtId="4">
    <oc r="O45">
      <v>0</v>
    </oc>
    <nc r="O45">
      <f>O40*O$41</f>
    </nc>
    <odxf>
      <font>
        <sz val="9"/>
        <family val="2"/>
      </font>
    </odxf>
    <ndxf>
      <font>
        <sz val="9"/>
        <family val="2"/>
      </font>
    </ndxf>
  </rcc>
  <rcc rId="2001" sId="18">
    <oc r="R43" t="inlineStr">
      <is>
        <t>Placeholder</t>
      </is>
    </oc>
    <nc r="R43"/>
  </rcc>
  <rcc rId="2002" sId="18">
    <oc r="R44" t="inlineStr">
      <is>
        <t>Placeholder</t>
      </is>
    </oc>
    <nc r="R44"/>
  </rcc>
  <rcc rId="2003" sId="18">
    <oc r="R45" t="inlineStr">
      <is>
        <t>Placeholder</t>
      </is>
    </oc>
    <nc r="R45"/>
  </rcc>
  <rcc rId="2004" sId="18">
    <nc r="Q38" t="inlineStr">
      <is>
        <t>KC15-11-11_2015_Energy_consumption</t>
      </is>
    </nc>
  </rcc>
  <rcc rId="2005" sId="18">
    <nc r="Q39" t="inlineStr">
      <is>
        <t>KC15-11-11_2015_Energy_consumption</t>
      </is>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006" sId="18" ref="A74:XFD74" action="insertRow"/>
  <rrc rId="2007" sId="18" ref="A74:XFD74" action="insertRow"/>
  <rfmt sheetId="18" sqref="A74" start="0" length="0">
    <dxf>
      <numFmt numFmtId="0" formatCode="General"/>
      <alignment horizontal="general" vertical="top"/>
      <border outline="0">
        <right/>
      </border>
    </dxf>
  </rfmt>
  <rfmt sheetId="18" sqref="B74" start="0" length="0">
    <dxf>
      <numFmt numFmtId="0" formatCode="General"/>
      <fill>
        <patternFill patternType="none">
          <bgColor indexed="65"/>
        </patternFill>
      </fill>
      <alignment horizontal="general" vertical="top"/>
    </dxf>
  </rfmt>
  <rfmt sheetId="18" sqref="C74" start="0" length="0">
    <dxf>
      <font>
        <b val="0"/>
        <sz val="9"/>
        <color auto="1"/>
        <name val="Arial"/>
        <family val="2"/>
        <scheme val="none"/>
      </font>
      <numFmt numFmtId="0" formatCode="General"/>
      <alignment horizontal="general"/>
    </dxf>
  </rfmt>
  <rfmt sheetId="18" sqref="D74" start="0" length="0">
    <dxf>
      <numFmt numFmtId="0" formatCode="General"/>
      <alignment horizontal="general"/>
    </dxf>
  </rfmt>
  <rfmt sheetId="18" sqref="E74" start="0" length="0">
    <dxf>
      <numFmt numFmtId="0" formatCode="General"/>
      <alignment horizontal="general" vertical="top"/>
      <border outline="0">
        <right/>
      </border>
    </dxf>
  </rfmt>
  <rfmt sheetId="18" sqref="F74" start="0" length="0">
    <dxf>
      <numFmt numFmtId="0" formatCode="General"/>
      <fill>
        <patternFill patternType="none">
          <bgColor indexed="65"/>
        </patternFill>
      </fill>
      <alignment horizontal="general" vertical="top"/>
    </dxf>
  </rfmt>
  <rfmt sheetId="18" sqref="G74" start="0" length="0">
    <dxf>
      <font>
        <b val="0"/>
        <sz val="9"/>
        <color auto="1"/>
        <name val="Arial"/>
        <family val="2"/>
        <scheme val="none"/>
      </font>
      <numFmt numFmtId="0" formatCode="General"/>
      <alignment horizontal="general"/>
    </dxf>
  </rfmt>
  <rfmt sheetId="18" sqref="H74" start="0" length="0">
    <dxf>
      <numFmt numFmtId="0" formatCode="General"/>
      <alignment horizontal="general"/>
    </dxf>
  </rfmt>
  <rfmt sheetId="18" sqref="I74" start="0" length="0">
    <dxf>
      <numFmt numFmtId="0" formatCode="General"/>
      <alignment horizontal="general"/>
      <border outline="0">
        <right/>
      </border>
    </dxf>
  </rfmt>
  <rfmt sheetId="18" sqref="J74" start="0" length="0">
    <dxf>
      <numFmt numFmtId="0" formatCode="General"/>
      <fill>
        <patternFill patternType="none">
          <bgColor indexed="65"/>
        </patternFill>
      </fill>
      <alignment horizontal="general" vertical="top"/>
    </dxf>
  </rfmt>
  <rfmt sheetId="18" sqref="K74" start="0" length="0">
    <dxf>
      <font>
        <b val="0"/>
        <sz val="9"/>
        <color auto="1"/>
        <name val="Arial"/>
        <family val="2"/>
        <scheme val="none"/>
      </font>
      <numFmt numFmtId="0" formatCode="General"/>
      <alignment horizontal="general"/>
    </dxf>
  </rfmt>
  <rfmt sheetId="18" sqref="L74" start="0" length="0">
    <dxf>
      <numFmt numFmtId="0" formatCode="General"/>
      <alignment horizontal="general"/>
    </dxf>
  </rfmt>
  <rfmt sheetId="18" sqref="M74" start="0" length="0">
    <dxf>
      <numFmt numFmtId="0" formatCode="General"/>
      <alignment horizontal="general"/>
      <border outline="0">
        <right/>
      </border>
    </dxf>
  </rfmt>
  <rfmt sheetId="18" sqref="N74" start="0" length="0">
    <dxf>
      <font>
        <sz val="9"/>
        <color auto="1"/>
        <name val="Arial"/>
        <family val="2"/>
        <scheme val="none"/>
      </font>
      <numFmt numFmtId="0" formatCode="General"/>
      <border outline="0">
        <left/>
        <right/>
      </border>
    </dxf>
  </rfmt>
  <rfmt sheetId="18" sqref="O74" start="0" length="0">
    <dxf>
      <numFmt numFmtId="0" formatCode="General"/>
      <fill>
        <patternFill patternType="none">
          <bgColor indexed="65"/>
        </patternFill>
      </fill>
      <alignment horizontal="general" vertical="top"/>
    </dxf>
  </rfmt>
  <rfmt sheetId="18" sqref="P74" start="0" length="0">
    <dxf>
      <font>
        <b val="0"/>
        <sz val="9"/>
        <color auto="1"/>
        <name val="Arial"/>
        <family val="2"/>
        <scheme val="none"/>
      </font>
      <numFmt numFmtId="0" formatCode="General"/>
      <alignment horizontal="general"/>
    </dxf>
  </rfmt>
  <rfmt sheetId="18" sqref="Q74" start="0" length="0">
    <dxf>
      <numFmt numFmtId="0" formatCode="General"/>
      <alignment horizontal="general"/>
    </dxf>
  </rfmt>
  <rfmt sheetId="18" sqref="R74" start="0" length="0">
    <dxf>
      <numFmt numFmtId="0" formatCode="General"/>
      <alignment horizontal="general"/>
      <border outline="0">
        <right/>
      </border>
    </dxf>
  </rfmt>
  <rfmt sheetId="18" sqref="A75" start="0" length="0">
    <dxf>
      <numFmt numFmtId="0" formatCode="General"/>
      <alignment horizontal="general" vertical="top"/>
      <border outline="0">
        <right/>
      </border>
    </dxf>
  </rfmt>
  <rfmt sheetId="18" sqref="B75" start="0" length="0">
    <dxf>
      <numFmt numFmtId="0" formatCode="General"/>
      <fill>
        <patternFill patternType="none">
          <bgColor indexed="65"/>
        </patternFill>
      </fill>
      <alignment horizontal="general" vertical="top"/>
    </dxf>
  </rfmt>
  <rfmt sheetId="18" sqref="C75" start="0" length="0">
    <dxf>
      <font>
        <b val="0"/>
        <sz val="9"/>
        <color auto="1"/>
        <name val="Arial"/>
        <family val="2"/>
        <scheme val="none"/>
      </font>
      <numFmt numFmtId="0" formatCode="General"/>
      <alignment horizontal="general"/>
    </dxf>
  </rfmt>
  <rfmt sheetId="18" sqref="D75" start="0" length="0">
    <dxf>
      <numFmt numFmtId="0" formatCode="General"/>
      <alignment horizontal="general"/>
    </dxf>
  </rfmt>
  <rfmt sheetId="18" sqref="E75" start="0" length="0">
    <dxf>
      <numFmt numFmtId="0" formatCode="General"/>
      <alignment horizontal="general" vertical="top"/>
      <border outline="0">
        <right/>
      </border>
    </dxf>
  </rfmt>
  <rfmt sheetId="18" sqref="F75" start="0" length="0">
    <dxf>
      <numFmt numFmtId="0" formatCode="General"/>
      <fill>
        <patternFill patternType="none">
          <bgColor indexed="65"/>
        </patternFill>
      </fill>
      <alignment horizontal="general" vertical="top"/>
    </dxf>
  </rfmt>
  <rfmt sheetId="18" sqref="G75" start="0" length="0">
    <dxf>
      <font>
        <b val="0"/>
        <sz val="9"/>
        <color auto="1"/>
        <name val="Arial"/>
        <family val="2"/>
        <scheme val="none"/>
      </font>
      <numFmt numFmtId="0" formatCode="General"/>
      <alignment horizontal="general"/>
    </dxf>
  </rfmt>
  <rfmt sheetId="18" sqref="H75" start="0" length="0">
    <dxf>
      <numFmt numFmtId="0" formatCode="General"/>
      <alignment horizontal="general"/>
    </dxf>
  </rfmt>
  <rfmt sheetId="18" sqref="I75" start="0" length="0">
    <dxf>
      <numFmt numFmtId="0" formatCode="General"/>
      <alignment horizontal="general"/>
      <border outline="0">
        <right/>
      </border>
    </dxf>
  </rfmt>
  <rfmt sheetId="18" sqref="J75" start="0" length="0">
    <dxf>
      <numFmt numFmtId="0" formatCode="General"/>
      <fill>
        <patternFill patternType="none">
          <bgColor indexed="65"/>
        </patternFill>
      </fill>
      <alignment horizontal="general" vertical="top"/>
    </dxf>
  </rfmt>
  <rfmt sheetId="18" sqref="K75" start="0" length="0">
    <dxf>
      <font>
        <b val="0"/>
        <sz val="9"/>
        <color auto="1"/>
        <name val="Arial"/>
        <family val="2"/>
        <scheme val="none"/>
      </font>
      <numFmt numFmtId="0" formatCode="General"/>
      <alignment horizontal="general"/>
    </dxf>
  </rfmt>
  <rfmt sheetId="18" sqref="L75" start="0" length="0">
    <dxf>
      <numFmt numFmtId="0" formatCode="General"/>
      <alignment horizontal="general"/>
    </dxf>
  </rfmt>
  <rfmt sheetId="18" sqref="M75" start="0" length="0">
    <dxf>
      <numFmt numFmtId="0" formatCode="General"/>
      <alignment horizontal="general"/>
      <border outline="0">
        <right/>
      </border>
    </dxf>
  </rfmt>
  <rfmt sheetId="18" sqref="N75" start="0" length="0">
    <dxf>
      <font>
        <sz val="9"/>
        <color auto="1"/>
        <name val="Arial"/>
        <family val="2"/>
        <scheme val="none"/>
      </font>
      <numFmt numFmtId="0" formatCode="General"/>
      <border outline="0">
        <left/>
        <right/>
      </border>
    </dxf>
  </rfmt>
  <rfmt sheetId="18" sqref="O75" start="0" length="0">
    <dxf>
      <numFmt numFmtId="0" formatCode="General"/>
      <fill>
        <patternFill patternType="none">
          <bgColor indexed="65"/>
        </patternFill>
      </fill>
      <alignment horizontal="general" vertical="top"/>
    </dxf>
  </rfmt>
  <rfmt sheetId="18" sqref="P75" start="0" length="0">
    <dxf>
      <font>
        <b val="0"/>
        <sz val="9"/>
        <color auto="1"/>
        <name val="Arial"/>
        <family val="2"/>
        <scheme val="none"/>
      </font>
      <numFmt numFmtId="0" formatCode="General"/>
      <alignment horizontal="general"/>
    </dxf>
  </rfmt>
  <rfmt sheetId="18" sqref="Q75" start="0" length="0">
    <dxf>
      <numFmt numFmtId="0" formatCode="General"/>
      <alignment horizontal="general"/>
    </dxf>
  </rfmt>
  <rfmt sheetId="18" sqref="R75" start="0" length="0">
    <dxf>
      <numFmt numFmtId="0" formatCode="General"/>
      <alignment horizontal="general"/>
      <border outline="0">
        <right/>
      </border>
    </dxf>
  </rfmt>
  <rfmt sheetId="18" sqref="A76" start="0" length="0">
    <dxf>
      <font>
        <sz val="9"/>
        <color auto="1"/>
        <name val="Arial"/>
        <family val="2"/>
        <scheme val="none"/>
      </font>
      <numFmt numFmtId="0" formatCode="General"/>
      <alignment horizontal="general" vertical="top"/>
      <border outline="0">
        <right/>
      </border>
    </dxf>
  </rfmt>
  <rfmt sheetId="18" sqref="B76" start="0" length="0">
    <dxf>
      <numFmt numFmtId="0" formatCode="General"/>
      <alignment horizontal="general" vertical="top"/>
    </dxf>
  </rfmt>
  <rfmt sheetId="18" sqref="C76" start="0" length="0">
    <dxf/>
  </rfmt>
  <rfmt sheetId="18" sqref="D76" start="0" length="0">
    <dxf>
      <numFmt numFmtId="0" formatCode="General"/>
      <alignment horizontal="general"/>
    </dxf>
  </rfmt>
  <rfmt sheetId="18" sqref="E76" start="0" length="0">
    <dxf>
      <numFmt numFmtId="0" formatCode="General"/>
      <alignment horizontal="general"/>
      <border outline="0">
        <right/>
      </border>
    </dxf>
  </rfmt>
  <rfmt sheetId="18" sqref="F76" start="0" length="0">
    <dxf>
      <numFmt numFmtId="0" formatCode="General"/>
      <alignment horizontal="general" vertical="top"/>
    </dxf>
  </rfmt>
  <rfmt sheetId="18" sqref="G76" start="0" length="0">
    <dxf/>
  </rfmt>
  <rfmt sheetId="18" sqref="H76" start="0" length="0">
    <dxf>
      <numFmt numFmtId="0" formatCode="General"/>
      <alignment horizontal="general"/>
    </dxf>
  </rfmt>
  <rfmt sheetId="18" sqref="I76" start="0" length="0">
    <dxf>
      <numFmt numFmtId="0" formatCode="General"/>
      <alignment horizontal="general"/>
      <border outline="0">
        <right/>
      </border>
    </dxf>
  </rfmt>
  <rfmt sheetId="18" sqref="J76" start="0" length="0">
    <dxf>
      <numFmt numFmtId="0" formatCode="General"/>
      <alignment horizontal="general" vertical="top"/>
    </dxf>
  </rfmt>
  <rfmt sheetId="18" sqref="K76" start="0" length="0">
    <dxf/>
  </rfmt>
  <rfmt sheetId="18" sqref="L76" start="0" length="0">
    <dxf>
      <numFmt numFmtId="0" formatCode="General"/>
      <alignment horizontal="general"/>
    </dxf>
  </rfmt>
  <rfmt sheetId="18" sqref="M76" start="0" length="0">
    <dxf>
      <numFmt numFmtId="0" formatCode="General"/>
      <alignment horizontal="general"/>
      <border outline="0">
        <right/>
      </border>
    </dxf>
  </rfmt>
  <rfmt sheetId="18" sqref="N76" start="0" length="0">
    <dxf>
      <font>
        <sz val="9"/>
        <color auto="1"/>
        <name val="Arial"/>
        <family val="2"/>
        <scheme val="none"/>
      </font>
      <numFmt numFmtId="0" formatCode="General"/>
      <border outline="0">
        <left/>
        <right/>
      </border>
    </dxf>
  </rfmt>
  <rfmt sheetId="18" sqref="O76" start="0" length="0">
    <dxf>
      <numFmt numFmtId="0" formatCode="General"/>
      <alignment horizontal="general" vertical="top"/>
    </dxf>
  </rfmt>
  <rfmt sheetId="18" sqref="P76" start="0" length="0">
    <dxf/>
  </rfmt>
  <rfmt sheetId="18" sqref="Q76" start="0" length="0">
    <dxf>
      <numFmt numFmtId="0" formatCode="General"/>
      <alignment horizontal="general"/>
    </dxf>
  </rfmt>
  <rfmt sheetId="18" sqref="R76" start="0" length="0">
    <dxf>
      <numFmt numFmtId="0" formatCode="General"/>
      <alignment horizontal="general"/>
      <border outline="0">
        <right/>
      </border>
    </dxf>
  </rfmt>
  <rrc rId="2008" sId="18" ref="A74:XFD75" action="insertRow"/>
  <rfmt sheetId="18" sqref="A74" start="0" length="0">
    <dxf>
      <numFmt numFmtId="0" formatCode="General"/>
      <alignment horizontal="general" vertical="top"/>
    </dxf>
  </rfmt>
  <rfmt sheetId="18" sqref="B74" start="0" length="0">
    <dxf>
      <numFmt numFmtId="0" formatCode="General"/>
      <fill>
        <patternFill patternType="none">
          <bgColor indexed="65"/>
        </patternFill>
      </fill>
      <alignment horizontal="general" vertical="top"/>
    </dxf>
  </rfmt>
  <rfmt sheetId="18" sqref="C74" start="0" length="0">
    <dxf>
      <font>
        <b val="0"/>
        <sz val="9"/>
        <color auto="1"/>
        <name val="Arial"/>
        <family val="2"/>
        <scheme val="none"/>
      </font>
      <numFmt numFmtId="0" formatCode="General"/>
      <alignment horizontal="general"/>
    </dxf>
  </rfmt>
  <rfmt sheetId="18" sqref="D74" start="0" length="0">
    <dxf>
      <numFmt numFmtId="0" formatCode="General"/>
      <alignment horizontal="general"/>
    </dxf>
  </rfmt>
  <rfmt sheetId="18" sqref="E74" start="0" length="0">
    <dxf>
      <numFmt numFmtId="0" formatCode="General"/>
      <alignment horizontal="general" vertical="top"/>
    </dxf>
  </rfmt>
  <rfmt sheetId="18" sqref="F74" start="0" length="0">
    <dxf>
      <numFmt numFmtId="0" formatCode="General"/>
      <fill>
        <patternFill patternType="none">
          <bgColor indexed="65"/>
        </patternFill>
      </fill>
      <alignment horizontal="general" vertical="top"/>
    </dxf>
  </rfmt>
  <rfmt sheetId="18" sqref="G74" start="0" length="0">
    <dxf>
      <font>
        <b val="0"/>
        <sz val="9"/>
        <color auto="1"/>
        <name val="Arial"/>
        <family val="2"/>
        <scheme val="none"/>
      </font>
      <numFmt numFmtId="0" formatCode="General"/>
      <alignment horizontal="general"/>
    </dxf>
  </rfmt>
  <rfmt sheetId="18" sqref="H74" start="0" length="0">
    <dxf>
      <numFmt numFmtId="0" formatCode="General"/>
      <alignment horizontal="general"/>
    </dxf>
  </rfmt>
  <rfmt sheetId="18" sqref="I74" start="0" length="0">
    <dxf>
      <numFmt numFmtId="0" formatCode="General"/>
      <alignment horizontal="general"/>
    </dxf>
  </rfmt>
  <rfmt sheetId="18" sqref="J74" start="0" length="0">
    <dxf>
      <numFmt numFmtId="0" formatCode="General"/>
      <fill>
        <patternFill patternType="none">
          <bgColor indexed="65"/>
        </patternFill>
      </fill>
      <alignment horizontal="general" vertical="top"/>
    </dxf>
  </rfmt>
  <rfmt sheetId="18" sqref="K74" start="0" length="0">
    <dxf>
      <font>
        <b val="0"/>
        <sz val="9"/>
        <color auto="1"/>
        <name val="Arial"/>
        <family val="2"/>
        <scheme val="none"/>
      </font>
      <numFmt numFmtId="0" formatCode="General"/>
      <alignment horizontal="general"/>
    </dxf>
  </rfmt>
  <rfmt sheetId="18" sqref="L74" start="0" length="0">
    <dxf>
      <numFmt numFmtId="0" formatCode="General"/>
      <alignment horizontal="general"/>
    </dxf>
  </rfmt>
  <rfmt sheetId="18" sqref="M74" start="0" length="0">
    <dxf>
      <numFmt numFmtId="0" formatCode="General"/>
      <alignment horizontal="general"/>
    </dxf>
  </rfmt>
  <rfmt sheetId="18" sqref="N74" start="0" length="0">
    <dxf>
      <font>
        <sz val="9"/>
        <color auto="1"/>
        <name val="Arial"/>
        <family val="2"/>
        <scheme val="none"/>
      </font>
      <numFmt numFmtId="0" formatCode="General"/>
    </dxf>
  </rfmt>
  <rfmt sheetId="18" sqref="O74" start="0" length="0">
    <dxf>
      <numFmt numFmtId="0" formatCode="General"/>
      <fill>
        <patternFill patternType="none">
          <bgColor indexed="65"/>
        </patternFill>
      </fill>
      <alignment horizontal="general" vertical="top"/>
    </dxf>
  </rfmt>
  <rfmt sheetId="18" sqref="P74" start="0" length="0">
    <dxf>
      <font>
        <b val="0"/>
        <sz val="9"/>
        <color auto="1"/>
        <name val="Arial"/>
        <family val="2"/>
        <scheme val="none"/>
      </font>
      <numFmt numFmtId="0" formatCode="General"/>
      <alignment horizontal="general"/>
    </dxf>
  </rfmt>
  <rfmt sheetId="18" sqref="Q74" start="0" length="0">
    <dxf>
      <numFmt numFmtId="0" formatCode="General"/>
      <alignment horizontal="general"/>
    </dxf>
  </rfmt>
  <rfmt sheetId="18" sqref="R74" start="0" length="0">
    <dxf>
      <numFmt numFmtId="0" formatCode="General"/>
      <alignment horizontal="general"/>
    </dxf>
  </rfmt>
  <rfmt sheetId="18" sqref="A75" start="0" length="0">
    <dxf>
      <numFmt numFmtId="0" formatCode="General"/>
      <alignment horizontal="general" vertical="top"/>
    </dxf>
  </rfmt>
  <rfmt sheetId="18" sqref="B75" start="0" length="0">
    <dxf>
      <numFmt numFmtId="0" formatCode="General"/>
      <fill>
        <patternFill patternType="none">
          <bgColor indexed="65"/>
        </patternFill>
      </fill>
      <alignment horizontal="general" vertical="top"/>
    </dxf>
  </rfmt>
  <rfmt sheetId="18" sqref="C75" start="0" length="0">
    <dxf>
      <font>
        <b val="0"/>
        <sz val="9"/>
        <color auto="1"/>
        <name val="Arial"/>
        <family val="2"/>
        <scheme val="none"/>
      </font>
      <numFmt numFmtId="0" formatCode="General"/>
      <alignment horizontal="general"/>
    </dxf>
  </rfmt>
  <rfmt sheetId="18" sqref="D75" start="0" length="0">
    <dxf>
      <numFmt numFmtId="0" formatCode="General"/>
      <alignment horizontal="general"/>
    </dxf>
  </rfmt>
  <rfmt sheetId="18" sqref="E75" start="0" length="0">
    <dxf>
      <numFmt numFmtId="0" formatCode="General"/>
      <alignment horizontal="general" vertical="top"/>
    </dxf>
  </rfmt>
  <rfmt sheetId="18" sqref="F75" start="0" length="0">
    <dxf>
      <numFmt numFmtId="0" formatCode="General"/>
      <fill>
        <patternFill patternType="none">
          <bgColor indexed="65"/>
        </patternFill>
      </fill>
      <alignment horizontal="general" vertical="top"/>
    </dxf>
  </rfmt>
  <rfmt sheetId="18" sqref="G75" start="0" length="0">
    <dxf>
      <font>
        <b val="0"/>
        <sz val="9"/>
        <color auto="1"/>
        <name val="Arial"/>
        <family val="2"/>
        <scheme val="none"/>
      </font>
      <numFmt numFmtId="0" formatCode="General"/>
      <alignment horizontal="general"/>
    </dxf>
  </rfmt>
  <rfmt sheetId="18" sqref="H75" start="0" length="0">
    <dxf>
      <numFmt numFmtId="0" formatCode="General"/>
      <alignment horizontal="general"/>
    </dxf>
  </rfmt>
  <rfmt sheetId="18" sqref="I75" start="0" length="0">
    <dxf>
      <numFmt numFmtId="0" formatCode="General"/>
      <alignment horizontal="general"/>
    </dxf>
  </rfmt>
  <rfmt sheetId="18" sqref="J75" start="0" length="0">
    <dxf>
      <numFmt numFmtId="0" formatCode="General"/>
      <fill>
        <patternFill patternType="none">
          <bgColor indexed="65"/>
        </patternFill>
      </fill>
      <alignment horizontal="general" vertical="top"/>
    </dxf>
  </rfmt>
  <rfmt sheetId="18" sqref="K75" start="0" length="0">
    <dxf>
      <font>
        <b val="0"/>
        <sz val="9"/>
        <color auto="1"/>
        <name val="Arial"/>
        <family val="2"/>
        <scheme val="none"/>
      </font>
      <numFmt numFmtId="0" formatCode="General"/>
      <alignment horizontal="general"/>
    </dxf>
  </rfmt>
  <rfmt sheetId="18" sqref="L75" start="0" length="0">
    <dxf>
      <numFmt numFmtId="0" formatCode="General"/>
      <alignment horizontal="general"/>
    </dxf>
  </rfmt>
  <rfmt sheetId="18" sqref="M75" start="0" length="0">
    <dxf>
      <numFmt numFmtId="0" formatCode="General"/>
      <alignment horizontal="general"/>
    </dxf>
  </rfmt>
  <rfmt sheetId="18" sqref="N75" start="0" length="0">
    <dxf>
      <font>
        <sz val="9"/>
        <color auto="1"/>
        <name val="Arial"/>
        <family val="2"/>
        <scheme val="none"/>
      </font>
      <numFmt numFmtId="0" formatCode="General"/>
    </dxf>
  </rfmt>
  <rfmt sheetId="18" sqref="O75" start="0" length="0">
    <dxf>
      <numFmt numFmtId="0" formatCode="General"/>
      <fill>
        <patternFill patternType="none">
          <bgColor indexed="65"/>
        </patternFill>
      </fill>
      <alignment horizontal="general" vertical="top"/>
    </dxf>
  </rfmt>
  <rfmt sheetId="18" sqref="P75" start="0" length="0">
    <dxf>
      <font>
        <b val="0"/>
        <sz val="9"/>
        <color auto="1"/>
        <name val="Arial"/>
        <family val="2"/>
        <scheme val="none"/>
      </font>
      <numFmt numFmtId="0" formatCode="General"/>
      <alignment horizontal="general"/>
    </dxf>
  </rfmt>
  <rfmt sheetId="18" sqref="Q75" start="0" length="0">
    <dxf>
      <numFmt numFmtId="0" formatCode="General"/>
      <alignment horizontal="general"/>
    </dxf>
  </rfmt>
  <rfmt sheetId="18" sqref="R75" start="0" length="0">
    <dxf>
      <numFmt numFmtId="0" formatCode="General"/>
      <alignment horizontal="general"/>
    </dxf>
  </rfmt>
  <rfmt sheetId="18" sqref="A75" start="0" length="0">
    <dxf>
      <font>
        <b/>
        <sz val="9"/>
        <color auto="1"/>
        <name val="Arial"/>
        <family val="2"/>
        <scheme val="none"/>
      </font>
      <numFmt numFmtId="30" formatCode="@"/>
      <fill>
        <patternFill patternType="solid">
          <bgColor indexed="50"/>
        </patternFill>
      </fill>
      <border outline="0">
        <right style="thin">
          <color indexed="64"/>
        </right>
      </border>
    </dxf>
  </rfmt>
  <rfmt sheetId="18" sqref="B75" start="0" length="0">
    <dxf>
      <numFmt numFmtId="3" formatCode="#,##0"/>
      <fill>
        <patternFill patternType="solid">
          <bgColor indexed="50"/>
        </patternFill>
      </fill>
      <alignment horizontal="right"/>
    </dxf>
  </rfmt>
  <rfmt sheetId="18" sqref="C75" start="0" length="0">
    <dxf>
      <font>
        <b/>
        <sz val="9"/>
        <color auto="1"/>
        <name val="Arial"/>
        <family val="2"/>
        <scheme val="none"/>
      </font>
      <numFmt numFmtId="30" formatCode="@"/>
      <fill>
        <patternFill patternType="solid">
          <bgColor indexed="50"/>
        </patternFill>
      </fill>
    </dxf>
  </rfmt>
  <rfmt sheetId="18" sqref="D75" start="0" length="0">
    <dxf>
      <font>
        <b/>
        <sz val="9"/>
        <color auto="1"/>
        <name val="Arial"/>
        <family val="2"/>
        <scheme val="none"/>
      </font>
      <numFmt numFmtId="30" formatCode="@"/>
      <fill>
        <patternFill patternType="solid">
          <bgColor indexed="50"/>
        </patternFill>
      </fill>
    </dxf>
  </rfmt>
  <rfmt sheetId="18" sqref="E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F75" start="0" length="0">
    <dxf>
      <font>
        <b/>
        <sz val="9"/>
        <color auto="1"/>
        <name val="Arial"/>
        <family val="2"/>
        <scheme val="none"/>
      </font>
      <numFmt numFmtId="30" formatCode="@"/>
      <fill>
        <patternFill patternType="solid">
          <bgColor indexed="50"/>
        </patternFill>
      </fill>
      <alignment horizontal="right"/>
    </dxf>
  </rfmt>
  <rfmt sheetId="18" sqref="G75" start="0" length="0">
    <dxf>
      <font>
        <b/>
        <sz val="9"/>
        <color auto="1"/>
        <name val="Arial"/>
        <family val="2"/>
        <scheme val="none"/>
      </font>
      <numFmt numFmtId="30" formatCode="@"/>
      <fill>
        <patternFill patternType="solid">
          <bgColor indexed="50"/>
        </patternFill>
      </fill>
    </dxf>
  </rfmt>
  <rfmt sheetId="18" sqref="H75" start="0" length="0">
    <dxf>
      <font>
        <b/>
        <sz val="9"/>
        <color auto="1"/>
        <name val="Arial"/>
        <family val="2"/>
        <scheme val="none"/>
      </font>
      <numFmt numFmtId="30" formatCode="@"/>
      <fill>
        <patternFill patternType="solid">
          <bgColor indexed="50"/>
        </patternFill>
      </fill>
      <alignment horizontal="center"/>
    </dxf>
  </rfmt>
  <rfmt sheetId="18" sqref="I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J75" start="0" length="0">
    <dxf>
      <font>
        <b/>
        <sz val="9"/>
        <color auto="1"/>
        <name val="Arial"/>
        <family val="2"/>
        <scheme val="none"/>
      </font>
      <numFmt numFmtId="30" formatCode="@"/>
      <fill>
        <patternFill patternType="solid">
          <bgColor indexed="50"/>
        </patternFill>
      </fill>
      <alignment horizontal="left"/>
    </dxf>
  </rfmt>
  <rfmt sheetId="18" sqref="K75" start="0" length="0">
    <dxf>
      <font>
        <b/>
        <sz val="9"/>
        <color auto="1"/>
        <name val="Arial"/>
        <family val="2"/>
        <scheme val="none"/>
      </font>
      <numFmt numFmtId="30" formatCode="@"/>
      <fill>
        <patternFill patternType="solid">
          <bgColor indexed="50"/>
        </patternFill>
      </fill>
      <alignment horizontal="left"/>
    </dxf>
  </rfmt>
  <rfmt sheetId="18" sqref="L75" start="0" length="0">
    <dxf>
      <font>
        <b/>
        <sz val="9"/>
        <color auto="1"/>
        <name val="Arial"/>
        <family val="2"/>
        <scheme val="none"/>
      </font>
      <numFmt numFmtId="30" formatCode="@"/>
      <fill>
        <patternFill patternType="solid">
          <bgColor indexed="50"/>
        </patternFill>
      </fill>
      <alignment horizontal="left"/>
    </dxf>
  </rfmt>
  <rfmt sheetId="18" sqref="M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N75" start="0" length="0">
    <dxf>
      <font>
        <b/>
        <sz val="9"/>
        <color auto="1"/>
        <name val="Arial"/>
        <family val="2"/>
        <scheme val="none"/>
      </font>
      <numFmt numFmtId="3" formatCode="#,##0"/>
      <fill>
        <patternFill patternType="solid">
          <bgColor indexed="50"/>
        </patternFill>
      </fill>
      <alignment horizontal="left"/>
      <border outline="0">
        <left style="thin">
          <color indexed="64"/>
        </left>
        <right style="thin">
          <color indexed="64"/>
        </right>
      </border>
    </dxf>
  </rfmt>
  <rfmt sheetId="18" sqref="O75" start="0" length="0">
    <dxf>
      <font>
        <b/>
        <sz val="9"/>
        <color auto="1"/>
        <name val="Arial"/>
        <family val="2"/>
        <scheme val="none"/>
      </font>
      <numFmt numFmtId="3" formatCode="#,##0"/>
      <fill>
        <patternFill patternType="solid">
          <bgColor indexed="50"/>
        </patternFill>
      </fill>
      <alignment horizontal="left"/>
    </dxf>
  </rfmt>
  <rfmt sheetId="18" sqref="P75" start="0" length="0">
    <dxf>
      <font>
        <b/>
        <sz val="9"/>
        <color auto="1"/>
        <name val="Arial"/>
        <family val="2"/>
        <scheme val="none"/>
      </font>
      <numFmt numFmtId="3" formatCode="#,##0"/>
      <fill>
        <patternFill patternType="solid">
          <bgColor indexed="50"/>
        </patternFill>
      </fill>
      <alignment horizontal="left"/>
    </dxf>
  </rfmt>
  <rfmt sheetId="18" sqref="Q75" start="0" length="0">
    <dxf>
      <font>
        <b/>
        <sz val="9"/>
        <color auto="1"/>
        <name val="Arial"/>
        <family val="2"/>
        <scheme val="none"/>
      </font>
      <numFmt numFmtId="3" formatCode="#,##0"/>
      <fill>
        <patternFill patternType="solid">
          <bgColor indexed="50"/>
        </patternFill>
      </fill>
      <alignment horizontal="left"/>
    </dxf>
  </rfmt>
  <rfmt sheetId="18" sqref="R75" start="0" length="0">
    <dxf>
      <font>
        <b/>
        <sz val="9"/>
        <color auto="1"/>
        <name val="Arial"/>
        <family val="2"/>
        <scheme val="none"/>
      </font>
      <numFmt numFmtId="3" formatCode="#,##0"/>
      <fill>
        <patternFill patternType="solid">
          <bgColor indexed="50"/>
        </patternFill>
      </fill>
      <alignment horizontal="left"/>
      <border outline="0">
        <right style="thin">
          <color indexed="64"/>
        </right>
      </border>
    </dxf>
  </rfmt>
  <rcc rId="2009" sId="18" odxf="1" dxf="1">
    <nc r="A76" t="inlineStr">
      <is>
        <t>source data</t>
      </is>
    </nc>
    <ndxf>
      <font>
        <b/>
        <sz val="9"/>
        <color auto="1"/>
        <name val="Arial"/>
        <family val="2"/>
        <scheme val="none"/>
      </font>
      <numFmt numFmtId="30" formatCode="@"/>
      <fill>
        <patternFill patternType="solid">
          <bgColor theme="0" tint="-0.14999847407452621"/>
        </patternFill>
      </fill>
      <alignment horizontal="left" vertical="bottom"/>
      <border outline="0">
        <right style="thin">
          <color indexed="64"/>
        </right>
      </border>
    </ndxf>
  </rcc>
  <rfmt sheetId="18" sqref="B76" start="0" length="0">
    <dxf>
      <numFmt numFmtId="3" formatCode="#,##0"/>
      <alignment horizontal="right"/>
    </dxf>
  </rfmt>
  <rfmt sheetId="18" sqref="C76" start="0" length="0">
    <dxf/>
  </rfmt>
  <rfmt sheetId="18" sqref="D76" start="0" length="0">
    <dxf/>
  </rfmt>
  <rfmt sheetId="18" sqref="E76" start="0" length="0">
    <dxf>
      <alignment horizontal="left"/>
      <border outline="0">
        <right style="thin">
          <color indexed="64"/>
        </right>
      </border>
    </dxf>
  </rfmt>
  <rfmt sheetId="18" sqref="F76" start="0" length="0">
    <dxf>
      <alignment horizontal="right"/>
    </dxf>
  </rfmt>
  <rfmt sheetId="18" sqref="G76" start="0" length="0">
    <dxf/>
  </rfmt>
  <rfmt sheetId="18" sqref="H76" start="0" length="0">
    <dxf>
      <numFmt numFmtId="30" formatCode="@"/>
      <alignment horizontal="left"/>
    </dxf>
  </rfmt>
  <rfmt sheetId="18" sqref="I76" start="0" length="0">
    <dxf>
      <numFmt numFmtId="30" formatCode="@"/>
      <alignment horizontal="left"/>
      <border outline="0">
        <right style="thin">
          <color indexed="64"/>
        </right>
      </border>
    </dxf>
  </rfmt>
  <rfmt sheetId="18" sqref="J76" start="0" length="0">
    <dxf>
      <numFmt numFmtId="30" formatCode="@"/>
      <alignment horizontal="left"/>
    </dxf>
  </rfmt>
  <rfmt sheetId="18" sqref="K76" start="0" length="0">
    <dxf>
      <numFmt numFmtId="30" formatCode="@"/>
      <alignment horizontal="left"/>
    </dxf>
  </rfmt>
  <rfmt sheetId="18" sqref="L76" start="0" length="0">
    <dxf>
      <numFmt numFmtId="30" formatCode="@"/>
      <alignment horizontal="left"/>
    </dxf>
  </rfmt>
  <rfmt sheetId="18" sqref="M76" start="0" length="0">
    <dxf>
      <numFmt numFmtId="30" formatCode="@"/>
      <alignment horizontal="left"/>
      <border outline="0">
        <right style="thin">
          <color indexed="64"/>
        </right>
      </border>
    </dxf>
  </rfmt>
  <rfmt sheetId="18" sqref="N76" start="0" length="0">
    <dxf>
      <border outline="0">
        <left style="thin">
          <color indexed="64"/>
        </left>
        <right style="thin">
          <color indexed="64"/>
        </right>
      </border>
    </dxf>
  </rfmt>
  <rfmt sheetId="18" sqref="O76" start="0" length="0">
    <dxf>
      <numFmt numFmtId="3" formatCode="#,##0"/>
      <alignment horizontal="left"/>
    </dxf>
  </rfmt>
  <rfmt sheetId="18" sqref="P76" start="0" length="0">
    <dxf>
      <numFmt numFmtId="3" formatCode="#,##0"/>
      <alignment horizontal="left"/>
    </dxf>
  </rfmt>
  <rfmt sheetId="18" sqref="Q76" start="0" length="0">
    <dxf>
      <numFmt numFmtId="3" formatCode="#,##0"/>
      <alignment horizontal="left"/>
    </dxf>
  </rfmt>
  <rfmt sheetId="18" sqref="R76" start="0" length="0">
    <dxf>
      <numFmt numFmtId="3" formatCode="#,##0"/>
      <alignment horizontal="left"/>
      <border outline="0">
        <right style="thin">
          <color indexed="64"/>
        </right>
      </border>
    </dxf>
  </rfmt>
  <rrc rId="2010" sId="18" ref="A77:XFD78" action="insertRow"/>
  <rrc rId="2011" sId="18" ref="A77:XFD78" action="insertRow"/>
  <rrc rId="2012" sId="18" ref="A77:XFD78" action="insertRow"/>
  <rfmt sheetId="18" sqref="A77" start="0" length="0">
    <dxf>
      <font>
        <b val="0"/>
        <sz val="9"/>
        <color auto="1"/>
        <name val="Arial"/>
        <family val="2"/>
        <scheme val="none"/>
      </font>
      <numFmt numFmtId="0" formatCode="General"/>
      <fill>
        <patternFill patternType="none">
          <bgColor indexed="65"/>
        </patternFill>
      </fill>
      <alignment horizontal="general" vertical="top"/>
    </dxf>
  </rfmt>
  <rfmt sheetId="18" sqref="A78" start="0" length="0">
    <dxf>
      <font>
        <b val="0"/>
        <sz val="9"/>
        <color auto="1"/>
        <name val="Arial"/>
        <family val="2"/>
        <scheme val="none"/>
      </font>
      <numFmt numFmtId="0" formatCode="General"/>
      <fill>
        <patternFill patternType="none">
          <bgColor indexed="65"/>
        </patternFill>
      </fill>
      <alignment horizontal="general" vertical="top"/>
    </dxf>
  </rfmt>
  <rfmt sheetId="18" sqref="A79" start="0" length="0">
    <dxf>
      <font>
        <b val="0"/>
        <sz val="9"/>
        <color auto="1"/>
        <name val="Arial"/>
        <family val="2"/>
        <scheme val="none"/>
      </font>
      <numFmt numFmtId="0" formatCode="General"/>
      <fill>
        <patternFill patternType="none">
          <bgColor indexed="65"/>
        </patternFill>
      </fill>
      <alignment horizontal="general" vertical="top"/>
    </dxf>
  </rfmt>
  <rfmt sheetId="18" sqref="A80" start="0" length="0">
    <dxf>
      <font>
        <b val="0"/>
        <sz val="9"/>
        <color auto="1"/>
        <name val="Arial"/>
        <family val="2"/>
        <scheme val="none"/>
      </font>
      <numFmt numFmtId="0" formatCode="General"/>
      <fill>
        <patternFill patternType="none">
          <bgColor indexed="65"/>
        </patternFill>
      </fill>
      <alignment horizontal="general" vertical="top"/>
    </dxf>
  </rfmt>
  <rfmt sheetId="18" sqref="A81" start="0" length="0">
    <dxf>
      <font>
        <b val="0"/>
        <sz val="9"/>
        <color auto="1"/>
        <name val="Arial"/>
        <family val="2"/>
        <scheme val="none"/>
      </font>
      <numFmt numFmtId="0" formatCode="General"/>
      <fill>
        <patternFill patternType="none">
          <bgColor indexed="65"/>
        </patternFill>
      </fill>
      <alignment horizontal="general" vertical="top"/>
    </dxf>
  </rfmt>
  <rfmt sheetId="18" sqref="A82" start="0" length="0">
    <dxf>
      <font>
        <b val="0"/>
        <sz val="9"/>
        <color auto="1"/>
        <name val="Arial"/>
        <family val="2"/>
        <scheme val="none"/>
      </font>
      <numFmt numFmtId="0" formatCode="General"/>
      <fill>
        <patternFill patternType="none">
          <bgColor indexed="65"/>
        </patternFill>
      </fill>
      <alignment horizontal="general" vertical="top"/>
    </dxf>
  </rfmt>
  <rcc rId="2013" sId="18">
    <nc r="A75" t="inlineStr">
      <is>
        <t>light rail</t>
      </is>
    </nc>
  </rcc>
  <rrc rId="2014" sId="18" ref="A75:XFD75" action="deleteRow">
    <rfmt sheetId="18" xfDxf="1" sqref="A75:XFD75" start="0" length="0"/>
    <rcc rId="0" sId="18" dxf="1">
      <nc r="A75" t="inlineStr">
        <is>
          <t>light rail</t>
        </is>
      </nc>
      <ndxf>
        <font>
          <b/>
          <sz val="9"/>
          <color auto="1"/>
          <name val="Arial"/>
          <family val="2"/>
          <scheme val="none"/>
        </font>
        <numFmt numFmtId="30" formatCode="@"/>
        <fill>
          <patternFill patternType="solid">
            <bgColor indexed="50"/>
          </patternFill>
        </fill>
        <border outline="0">
          <right style="thin">
            <color indexed="64"/>
          </right>
        </border>
      </ndxf>
    </rcc>
    <rfmt sheetId="18" sqref="B75" start="0" length="0">
      <dxf>
        <numFmt numFmtId="3" formatCode="#,##0"/>
        <fill>
          <patternFill patternType="solid">
            <bgColor indexed="50"/>
          </patternFill>
        </fill>
        <alignment horizontal="right"/>
      </dxf>
    </rfmt>
    <rfmt sheetId="18" sqref="C75" start="0" length="0">
      <dxf>
        <font>
          <b/>
          <sz val="9"/>
          <color auto="1"/>
          <name val="Arial"/>
          <family val="2"/>
          <scheme val="none"/>
        </font>
        <numFmt numFmtId="30" formatCode="@"/>
        <fill>
          <patternFill patternType="solid">
            <bgColor indexed="50"/>
          </patternFill>
        </fill>
      </dxf>
    </rfmt>
    <rfmt sheetId="18" sqref="D75" start="0" length="0">
      <dxf>
        <font>
          <b/>
          <sz val="9"/>
          <color auto="1"/>
          <name val="Arial"/>
          <family val="2"/>
          <scheme val="none"/>
        </font>
        <numFmt numFmtId="30" formatCode="@"/>
        <fill>
          <patternFill patternType="solid">
            <bgColor indexed="50"/>
          </patternFill>
        </fill>
      </dxf>
    </rfmt>
    <rfmt sheetId="18" sqref="E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F75" start="0" length="0">
      <dxf>
        <font>
          <b/>
          <sz val="9"/>
          <color auto="1"/>
          <name val="Arial"/>
          <family val="2"/>
          <scheme val="none"/>
        </font>
        <numFmt numFmtId="30" formatCode="@"/>
        <fill>
          <patternFill patternType="solid">
            <bgColor indexed="50"/>
          </patternFill>
        </fill>
        <alignment horizontal="right"/>
      </dxf>
    </rfmt>
    <rfmt sheetId="18" sqref="G75" start="0" length="0">
      <dxf>
        <font>
          <b/>
          <sz val="9"/>
          <color auto="1"/>
          <name val="Arial"/>
          <family val="2"/>
          <scheme val="none"/>
        </font>
        <numFmt numFmtId="30" formatCode="@"/>
        <fill>
          <patternFill patternType="solid">
            <bgColor indexed="50"/>
          </patternFill>
        </fill>
      </dxf>
    </rfmt>
    <rfmt sheetId="18" sqref="H75" start="0" length="0">
      <dxf>
        <font>
          <b/>
          <sz val="9"/>
          <color auto="1"/>
          <name val="Arial"/>
          <family val="2"/>
          <scheme val="none"/>
        </font>
        <numFmt numFmtId="30" formatCode="@"/>
        <fill>
          <patternFill patternType="solid">
            <bgColor indexed="50"/>
          </patternFill>
        </fill>
        <alignment horizontal="center"/>
      </dxf>
    </rfmt>
    <rfmt sheetId="18" sqref="I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J75" start="0" length="0">
      <dxf>
        <font>
          <b/>
          <sz val="9"/>
          <color auto="1"/>
          <name val="Arial"/>
          <family val="2"/>
          <scheme val="none"/>
        </font>
        <numFmt numFmtId="30" formatCode="@"/>
        <fill>
          <patternFill patternType="solid">
            <bgColor indexed="50"/>
          </patternFill>
        </fill>
        <alignment horizontal="left"/>
      </dxf>
    </rfmt>
    <rfmt sheetId="18" sqref="K75" start="0" length="0">
      <dxf>
        <font>
          <b/>
          <sz val="9"/>
          <color auto="1"/>
          <name val="Arial"/>
          <family val="2"/>
          <scheme val="none"/>
        </font>
        <numFmt numFmtId="30" formatCode="@"/>
        <fill>
          <patternFill patternType="solid">
            <bgColor indexed="50"/>
          </patternFill>
        </fill>
        <alignment horizontal="left"/>
      </dxf>
    </rfmt>
    <rfmt sheetId="18" sqref="L75" start="0" length="0">
      <dxf>
        <font>
          <b/>
          <sz val="9"/>
          <color auto="1"/>
          <name val="Arial"/>
          <family val="2"/>
          <scheme val="none"/>
        </font>
        <numFmt numFmtId="30" formatCode="@"/>
        <fill>
          <patternFill patternType="solid">
            <bgColor indexed="50"/>
          </patternFill>
        </fill>
        <alignment horizontal="left"/>
      </dxf>
    </rfmt>
    <rfmt sheetId="18" sqref="M75" start="0" length="0">
      <dxf>
        <font>
          <b/>
          <sz val="9"/>
          <color auto="1"/>
          <name val="Arial"/>
          <family val="2"/>
          <scheme val="none"/>
        </font>
        <numFmt numFmtId="30" formatCode="@"/>
        <fill>
          <patternFill patternType="solid">
            <bgColor indexed="50"/>
          </patternFill>
        </fill>
        <alignment horizontal="left"/>
        <border outline="0">
          <right style="thin">
            <color indexed="64"/>
          </right>
        </border>
      </dxf>
    </rfmt>
    <rfmt sheetId="18" sqref="N75" start="0" length="0">
      <dxf>
        <font>
          <b/>
          <sz val="9"/>
          <color auto="1"/>
          <name val="Arial"/>
          <family val="2"/>
          <scheme val="none"/>
        </font>
        <numFmt numFmtId="3" formatCode="#,##0"/>
        <fill>
          <patternFill patternType="solid">
            <bgColor indexed="50"/>
          </patternFill>
        </fill>
        <alignment horizontal="left"/>
        <border outline="0">
          <left style="thin">
            <color indexed="64"/>
          </left>
          <right style="thin">
            <color indexed="64"/>
          </right>
        </border>
      </dxf>
    </rfmt>
    <rfmt sheetId="18" sqref="O75" start="0" length="0">
      <dxf>
        <font>
          <b/>
          <sz val="9"/>
          <color auto="1"/>
          <name val="Arial"/>
          <family val="2"/>
          <scheme val="none"/>
        </font>
        <numFmt numFmtId="3" formatCode="#,##0"/>
        <fill>
          <patternFill patternType="solid">
            <bgColor indexed="50"/>
          </patternFill>
        </fill>
        <alignment horizontal="left"/>
      </dxf>
    </rfmt>
    <rfmt sheetId="18" sqref="P75" start="0" length="0">
      <dxf>
        <font>
          <b/>
          <sz val="9"/>
          <color auto="1"/>
          <name val="Arial"/>
          <family val="2"/>
          <scheme val="none"/>
        </font>
        <numFmt numFmtId="3" formatCode="#,##0"/>
        <fill>
          <patternFill patternType="solid">
            <bgColor indexed="50"/>
          </patternFill>
        </fill>
        <alignment horizontal="left"/>
      </dxf>
    </rfmt>
    <rfmt sheetId="18" sqref="Q75" start="0" length="0">
      <dxf>
        <font>
          <b/>
          <sz val="9"/>
          <color auto="1"/>
          <name val="Arial"/>
          <family val="2"/>
          <scheme val="none"/>
        </font>
        <numFmt numFmtId="3" formatCode="#,##0"/>
        <fill>
          <patternFill patternType="solid">
            <bgColor indexed="50"/>
          </patternFill>
        </fill>
        <alignment horizontal="left"/>
      </dxf>
    </rfmt>
    <rfmt sheetId="18" sqref="R75" start="0" length="0">
      <dxf>
        <font>
          <b/>
          <sz val="9"/>
          <color auto="1"/>
          <name val="Arial"/>
          <family val="2"/>
          <scheme val="none"/>
        </font>
        <numFmt numFmtId="3" formatCode="#,##0"/>
        <fill>
          <patternFill patternType="solid">
            <bgColor indexed="50"/>
          </patternFill>
        </fill>
        <alignment horizontal="left"/>
        <border outline="0">
          <right style="thin">
            <color indexed="64"/>
          </right>
        </border>
      </dxf>
    </rfmt>
  </rrc>
  <rrc rId="2015" sId="18" ref="A75:XFD75" action="deleteRow">
    <rfmt sheetId="18" xfDxf="1" sqref="A75:XFD75" start="0" length="0"/>
    <rcc rId="0" sId="18" dxf="1">
      <nc r="A75" t="inlineStr">
        <is>
          <t>source data</t>
        </is>
      </nc>
      <ndxf>
        <font>
          <b/>
          <sz val="9"/>
          <color auto="1"/>
          <name val="Arial"/>
          <family val="2"/>
          <scheme val="none"/>
        </font>
        <numFmt numFmtId="30" formatCode="@"/>
        <fill>
          <patternFill patternType="solid">
            <bgColor theme="0" tint="-0.14999847407452621"/>
          </patternFill>
        </fill>
        <alignment horizontal="left" vertical="bottom"/>
        <border outline="0">
          <right style="thin">
            <color indexed="64"/>
          </right>
        </border>
      </ndxf>
    </rcc>
    <rfmt sheetId="18" sqref="B75" start="0" length="0">
      <dxf>
        <numFmt numFmtId="3" formatCode="#,##0"/>
        <alignment horizontal="right"/>
      </dxf>
    </rfmt>
    <rfmt sheetId="18" sqref="C75" start="0" length="0">
      <dxf/>
    </rfmt>
    <rfmt sheetId="18" sqref="D75" start="0" length="0">
      <dxf/>
    </rfmt>
    <rfmt sheetId="18" sqref="E75" start="0" length="0">
      <dxf>
        <alignment horizontal="left"/>
        <border outline="0">
          <right style="thin">
            <color indexed="64"/>
          </right>
        </border>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border outline="0">
          <right style="thin">
            <color indexed="64"/>
          </right>
        </border>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border outline="0">
          <right style="thin">
            <color indexed="64"/>
          </right>
        </border>
      </dxf>
    </rfmt>
    <rfmt sheetId="18" sqref="N75" start="0" length="0">
      <dxf>
        <border outline="0">
          <left style="thin">
            <color indexed="64"/>
          </left>
          <right style="thin">
            <color indexed="64"/>
          </right>
        </border>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border outline="0">
          <right style="thin">
            <color indexed="64"/>
          </right>
        </border>
      </dxf>
    </rfmt>
  </rrc>
  <rrc rId="2016"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17"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18"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19"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20"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21" sId="18" ref="A75:XFD75" action="deleteRow">
    <rfmt sheetId="18" xfDxf="1" sqref="A75:XFD75" start="0" length="0"/>
    <rfmt sheetId="18" sqref="B75" start="0" length="0">
      <dxf>
        <numFmt numFmtId="3" formatCode="#,##0"/>
        <alignment horizontal="right"/>
      </dxf>
    </rfmt>
    <rfmt sheetId="18" sqref="C75" start="0" length="0">
      <dxf/>
    </rfmt>
    <rfmt sheetId="18" sqref="D75" start="0" length="0">
      <dxf/>
    </rfmt>
    <rfmt sheetId="18" sqref="E75" start="0" length="0">
      <dxf>
        <alignment horizontal="left"/>
      </dxf>
    </rfmt>
    <rfmt sheetId="18" sqref="F75" start="0" length="0">
      <dxf>
        <alignment horizontal="right"/>
      </dxf>
    </rfmt>
    <rfmt sheetId="18" sqref="G75" start="0" length="0">
      <dxf/>
    </rfmt>
    <rfmt sheetId="18" sqref="H75" start="0" length="0">
      <dxf>
        <numFmt numFmtId="30" formatCode="@"/>
        <alignment horizontal="left"/>
      </dxf>
    </rfmt>
    <rfmt sheetId="18" sqref="I75" start="0" length="0">
      <dxf>
        <numFmt numFmtId="30" formatCode="@"/>
        <alignment horizontal="left"/>
      </dxf>
    </rfmt>
    <rfmt sheetId="18" sqref="J75" start="0" length="0">
      <dxf>
        <numFmt numFmtId="30" formatCode="@"/>
        <alignment horizontal="left"/>
      </dxf>
    </rfmt>
    <rfmt sheetId="18" sqref="K75" start="0" length="0">
      <dxf>
        <numFmt numFmtId="30" formatCode="@"/>
        <alignment horizontal="left"/>
      </dxf>
    </rfmt>
    <rfmt sheetId="18" sqref="L75" start="0" length="0">
      <dxf>
        <numFmt numFmtId="30" formatCode="@"/>
        <alignment horizontal="left"/>
      </dxf>
    </rfmt>
    <rfmt sheetId="18" sqref="M75" start="0" length="0">
      <dxf>
        <numFmt numFmtId="30" formatCode="@"/>
        <alignment horizontal="left"/>
      </dxf>
    </rfmt>
    <rfmt sheetId="18" sqref="N75" start="0" length="0">
      <dxf/>
    </rfmt>
    <rfmt sheetId="18" sqref="O75" start="0" length="0">
      <dxf>
        <numFmt numFmtId="3" formatCode="#,##0"/>
        <alignment horizontal="left"/>
      </dxf>
    </rfmt>
    <rfmt sheetId="18" sqref="P75" start="0" length="0">
      <dxf>
        <numFmt numFmtId="3" formatCode="#,##0"/>
        <alignment horizontal="left"/>
      </dxf>
    </rfmt>
    <rfmt sheetId="18" sqref="Q75" start="0" length="0">
      <dxf>
        <numFmt numFmtId="3" formatCode="#,##0"/>
        <alignment horizontal="left"/>
      </dxf>
    </rfmt>
    <rfmt sheetId="18" sqref="R75" start="0" length="0">
      <dxf>
        <numFmt numFmtId="3" formatCode="#,##0"/>
        <alignment horizontal="left"/>
      </dxf>
    </rfmt>
  </rrc>
  <rrc rId="2022" sId="18" ref="A75:XFD75" action="deleteRow">
    <rfmt sheetId="18" xfDxf="1" sqref="A75:XFD75" start="0" length="0"/>
  </rrc>
  <rfmt sheetId="20" sqref="A41" start="0" length="0">
    <dxf>
      <font>
        <color theme="0"/>
        <family val="2"/>
      </font>
      <fill>
        <patternFill>
          <bgColor rgb="FF002060"/>
        </patternFill>
      </fill>
      <alignment horizontal="general" vertical="bottom"/>
    </dxf>
  </rfmt>
  <rfmt sheetId="20" sqref="B41" start="0" length="0">
    <dxf>
      <font>
        <color theme="0"/>
        <family val="2"/>
      </font>
      <fill>
        <patternFill>
          <bgColor rgb="FF002060"/>
        </patternFill>
      </fill>
      <alignment horizontal="general" vertical="bottom"/>
    </dxf>
  </rfmt>
  <rfmt sheetId="20" sqref="C41" start="0" length="0">
    <dxf>
      <font>
        <color theme="0"/>
        <family val="2"/>
      </font>
      <fill>
        <patternFill>
          <bgColor rgb="FF002060"/>
        </patternFill>
      </fill>
      <alignment horizontal="general" vertical="bottom"/>
    </dxf>
  </rfmt>
  <rfmt sheetId="20" sqref="D41" start="0" length="0">
    <dxf>
      <font>
        <color theme="0"/>
        <family val="2"/>
      </font>
      <fill>
        <patternFill>
          <bgColor rgb="FF002060"/>
        </patternFill>
      </fill>
      <alignment horizontal="general" vertical="bottom"/>
    </dxf>
  </rfmt>
  <rcc rId="2023" sId="20" odxf="1" dxf="1">
    <oc r="E41">
      <f>SUM(E38:E40)</f>
    </oc>
    <nc r="E41">
      <f>SUM(E38:E40)</f>
    </nc>
    <odxf>
      <font>
        <color theme="1"/>
        <family val="2"/>
      </font>
      <numFmt numFmtId="3" formatCode="#,##0"/>
      <fill>
        <patternFill>
          <bgColor theme="9"/>
        </patternFill>
      </fill>
    </odxf>
    <ndxf>
      <font>
        <color theme="0"/>
        <family val="2"/>
      </font>
      <numFmt numFmtId="30" formatCode="@"/>
      <fill>
        <patternFill>
          <bgColor rgb="FF002060"/>
        </patternFill>
      </fill>
    </ndxf>
  </rcc>
  <rfmt sheetId="20" sqref="F41" start="0" length="0">
    <dxf>
      <font>
        <color theme="0"/>
        <family val="2"/>
      </font>
      <numFmt numFmtId="30" formatCode="@"/>
      <fill>
        <patternFill>
          <bgColor rgb="FF002060"/>
        </patternFill>
      </fill>
      <alignment vertical="bottom"/>
    </dxf>
  </rfmt>
  <rfmt sheetId="20" sqref="G41" start="0" length="0">
    <dxf>
      <font>
        <color theme="0"/>
        <family val="2"/>
      </font>
      <fill>
        <patternFill>
          <bgColor rgb="FF002060"/>
        </patternFill>
      </fill>
      <alignment horizontal="general" vertical="bottom"/>
    </dxf>
  </rfmt>
  <rfmt sheetId="20" sqref="H41" start="0" length="0">
    <dxf>
      <font>
        <color theme="0"/>
        <family val="2"/>
      </font>
      <fill>
        <patternFill>
          <bgColor rgb="FF002060"/>
        </patternFill>
      </fill>
      <alignment horizontal="general" vertical="bottom"/>
    </dxf>
  </rfmt>
  <rfmt sheetId="20" sqref="I41" start="0" length="0">
    <dxf>
      <font>
        <color theme="0"/>
        <family val="2"/>
      </font>
      <fill>
        <patternFill>
          <bgColor rgb="FF002060"/>
        </patternFill>
      </fill>
      <alignment horizontal="general" vertical="bottom"/>
    </dxf>
  </rfmt>
  <rfmt sheetId="20" sqref="J41" start="0" length="0">
    <dxf>
      <font>
        <color theme="0"/>
        <family val="2"/>
      </font>
      <fill>
        <patternFill>
          <bgColor rgb="FF002060"/>
        </patternFill>
      </fill>
      <alignment horizontal="general" vertical="bottom"/>
    </dxf>
  </rfmt>
  <rfmt sheetId="20" sqref="K41" start="0" length="0">
    <dxf>
      <font>
        <color theme="0"/>
        <family val="2"/>
      </font>
      <fill>
        <patternFill>
          <bgColor rgb="FF002060"/>
        </patternFill>
      </fill>
      <alignment horizontal="general" vertical="bottom"/>
    </dxf>
  </rfmt>
  <rcc rId="2024" sId="20" odxf="1" dxf="1">
    <oc r="L41">
      <f>SUM(L38:L40)</f>
    </oc>
    <nc r="L41">
      <f>SUM(L38:L40)</f>
    </nc>
    <odxf>
      <font>
        <color theme="1"/>
        <family val="2"/>
      </font>
      <fill>
        <patternFill>
          <bgColor theme="9"/>
        </patternFill>
      </fill>
      <alignment horizontal="general" vertical="top"/>
    </odxf>
    <ndxf>
      <font>
        <color theme="0"/>
        <family val="2"/>
      </font>
      <fill>
        <patternFill>
          <bgColor rgb="FF002060"/>
        </patternFill>
      </fill>
      <alignment horizontal="right" vertical="bottom"/>
    </ndxf>
  </rcc>
  <rfmt sheetId="20" sqref="M41" start="0" length="0">
    <dxf>
      <font>
        <color theme="0"/>
        <family val="2"/>
      </font>
      <numFmt numFmtId="30" formatCode="@"/>
      <fill>
        <patternFill>
          <bgColor rgb="FF002060"/>
        </patternFill>
      </fill>
      <alignment vertical="bottom"/>
    </dxf>
  </rfmt>
  <rfmt sheetId="20" sqref="N41" start="0" length="0">
    <dxf>
      <font>
        <color theme="0"/>
        <family val="2"/>
      </font>
      <numFmt numFmtId="30" formatCode="@"/>
      <fill>
        <patternFill>
          <bgColor rgb="FF002060"/>
        </patternFill>
      </fill>
      <alignment vertical="bottom"/>
    </dxf>
  </rfmt>
  <rfmt sheetId="20" sqref="O41" start="0" length="0">
    <dxf>
      <font>
        <color theme="0"/>
        <family val="2"/>
      </font>
      <numFmt numFmtId="30" formatCode="@"/>
      <fill>
        <patternFill>
          <bgColor rgb="FF002060"/>
        </patternFill>
      </fill>
      <alignment vertical="bottom"/>
    </dxf>
  </rfmt>
  <rfmt sheetId="20" sqref="P41" start="0" length="0">
    <dxf>
      <font>
        <color theme="0"/>
        <family val="2"/>
      </font>
      <numFmt numFmtId="30" formatCode="@"/>
      <fill>
        <patternFill>
          <bgColor rgb="FF002060"/>
        </patternFill>
      </fill>
      <alignment vertical="bottom"/>
    </dxf>
  </rfmt>
  <rfmt sheetId="20" sqref="Q41" start="0" length="0">
    <dxf>
      <font>
        <color theme="0"/>
        <family val="2"/>
      </font>
      <numFmt numFmtId="30" formatCode="@"/>
      <fill>
        <patternFill>
          <bgColor rgb="FF002060"/>
        </patternFill>
      </fill>
      <alignment vertical="bottom"/>
    </dxf>
  </rfmt>
  <rfmt sheetId="20" sqref="R41" start="0" length="0">
    <dxf>
      <font>
        <color theme="0"/>
        <family val="2"/>
      </font>
      <numFmt numFmtId="30" formatCode="@"/>
      <fill>
        <patternFill>
          <bgColor rgb="FF002060"/>
        </patternFill>
      </fill>
      <alignment vertical="bottom"/>
    </dxf>
  </rfmt>
  <rcc rId="2025" sId="20" odxf="1" dxf="1">
    <oc r="S41">
      <f>SUM(S38:S40)</f>
    </oc>
    <nc r="S41">
      <f>SUM(S38:S40)</f>
    </nc>
    <odxf>
      <font>
        <family val="2"/>
      </font>
      <fill>
        <patternFill>
          <bgColor theme="9"/>
        </patternFill>
      </fill>
      <alignment horizontal="general"/>
    </odxf>
    <ndxf>
      <font>
        <color theme="0"/>
        <family val="2"/>
      </font>
      <fill>
        <patternFill>
          <bgColor rgb="FF002060"/>
        </patternFill>
      </fill>
      <alignment horizontal="right"/>
    </ndxf>
  </rcc>
  <rfmt sheetId="20" sqref="T41" start="0" length="0">
    <dxf>
      <font>
        <color theme="0"/>
        <family val="2"/>
      </font>
      <numFmt numFmtId="3" formatCode="#,##0"/>
      <fill>
        <patternFill>
          <bgColor rgb="FF002060"/>
        </patternFill>
      </fill>
      <alignment horizontal="right" vertical="bottom"/>
    </dxf>
  </rfmt>
  <rfmt sheetId="20" sqref="U41" start="0" length="0">
    <dxf>
      <font>
        <b/>
        <color theme="0"/>
        <family val="2"/>
      </font>
      <numFmt numFmtId="3" formatCode="#,##0"/>
      <fill>
        <patternFill>
          <bgColor rgb="FF002060"/>
        </patternFill>
      </fill>
      <alignment horizontal="right"/>
    </dxf>
  </rfmt>
  <rfmt sheetId="20" sqref="V41" start="0" length="0">
    <dxf>
      <font>
        <color theme="0"/>
        <family val="2"/>
      </font>
      <fill>
        <patternFill>
          <bgColor rgb="FF002060"/>
        </patternFill>
      </fill>
      <alignment horizontal="right"/>
    </dxf>
  </rfmt>
  <rfmt sheetId="20" sqref="W41" start="0" length="0">
    <dxf>
      <font>
        <color theme="0"/>
        <family val="2"/>
      </font>
      <numFmt numFmtId="3" formatCode="#,##0"/>
      <fill>
        <patternFill>
          <bgColor rgb="FF002060"/>
        </patternFill>
      </fill>
      <alignment horizontal="right" vertical="bottom"/>
    </dxf>
  </rfmt>
  <rfmt sheetId="20" sqref="X41" start="0" length="0">
    <dxf>
      <font>
        <b/>
        <color theme="0"/>
        <family val="2"/>
      </font>
      <numFmt numFmtId="3" formatCode="#,##0"/>
      <fill>
        <patternFill>
          <bgColor rgb="FF002060"/>
        </patternFill>
      </fill>
      <alignment horizontal="right"/>
    </dxf>
  </rfmt>
  <rfmt sheetId="20" sqref="Y41" start="0" length="0">
    <dxf>
      <font>
        <b/>
        <color theme="0"/>
        <family val="2"/>
      </font>
      <numFmt numFmtId="3" formatCode="#,##0"/>
      <fill>
        <patternFill>
          <bgColor rgb="FF002060"/>
        </patternFill>
      </fill>
      <alignment horizontal="right"/>
    </dxf>
  </rfmt>
  <rcc rId="2026" sId="20" odxf="1" dxf="1">
    <oc r="Z41">
      <f>SUM(Z38:Z40)</f>
    </oc>
    <nc r="Z41">
      <f>SUM(Z38:Z40)</f>
    </nc>
    <odxf>
      <font>
        <family val="2"/>
      </font>
      <fill>
        <patternFill>
          <bgColor theme="9"/>
        </patternFill>
      </fill>
      <alignment horizontal="general"/>
    </odxf>
    <ndxf>
      <font>
        <color theme="0"/>
        <family val="2"/>
      </font>
      <fill>
        <patternFill>
          <bgColor rgb="FF002060"/>
        </patternFill>
      </fill>
      <alignment horizontal="right"/>
    </ndxf>
  </rcc>
  <rfmt sheetId="20" sqref="AA41" start="0" length="0">
    <dxf>
      <font>
        <color theme="0"/>
        <family val="2"/>
      </font>
      <numFmt numFmtId="3" formatCode="#,##0"/>
      <fill>
        <patternFill>
          <bgColor rgb="FF002060"/>
        </patternFill>
      </fill>
      <alignment horizontal="right" vertical="bottom"/>
    </dxf>
  </rfmt>
  <rfmt sheetId="20" sqref="AB41" start="0" length="0">
    <dxf>
      <font>
        <b/>
        <color theme="0"/>
        <family val="2"/>
      </font>
      <numFmt numFmtId="3" formatCode="#,##0"/>
      <fill>
        <patternFill>
          <bgColor rgb="FF002060"/>
        </patternFill>
      </fill>
      <alignment horizontal="right"/>
    </dxf>
  </rfmt>
  <rfmt sheetId="20" sqref="AC41" start="0" length="0">
    <dxf>
      <font>
        <color theme="0"/>
        <family val="2"/>
      </font>
      <fill>
        <patternFill>
          <bgColor rgb="FF002060"/>
        </patternFill>
      </fill>
      <alignment horizontal="right" vertical="bottom"/>
    </dxf>
  </rfmt>
  <rfmt sheetId="20" sqref="AD41" start="0" length="0">
    <dxf>
      <font>
        <color theme="0"/>
        <family val="2"/>
      </font>
      <numFmt numFmtId="30" formatCode="@"/>
      <fill>
        <patternFill>
          <bgColor rgb="FF002060"/>
        </patternFill>
      </fill>
      <alignment vertical="bottom"/>
    </dxf>
  </rfmt>
  <rfmt sheetId="20" sqref="AE41" start="0" length="0">
    <dxf>
      <font>
        <color theme="0"/>
        <family val="2"/>
      </font>
      <numFmt numFmtId="30" formatCode="@"/>
      <fill>
        <patternFill>
          <bgColor rgb="FF002060"/>
        </patternFill>
      </fill>
      <alignment vertical="bottom"/>
    </dxf>
  </rfmt>
  <rfmt sheetId="20" sqref="AF41" start="0" length="0">
    <dxf>
      <font>
        <b/>
        <color theme="0"/>
        <family val="2"/>
      </font>
      <numFmt numFmtId="30" formatCode="@"/>
      <fill>
        <patternFill>
          <bgColor rgb="FF002060"/>
        </patternFill>
      </fill>
      <border outline="0">
        <right/>
      </border>
    </dxf>
  </rfmt>
  <rfmt sheetId="20" sqref="AG41" start="0" length="0">
    <dxf>
      <font>
        <sz val="9"/>
        <color auto="1"/>
        <name val="Arial"/>
        <family val="2"/>
        <scheme val="none"/>
      </font>
    </dxf>
  </rfmt>
  <rfmt sheetId="20" sqref="A41:XFD41" start="0" length="0">
    <dxf>
      <font>
        <sz val="9"/>
        <color auto="1"/>
        <name val="Arial"/>
        <family val="2"/>
        <scheme val="none"/>
      </font>
    </dxf>
  </rfmt>
  <rfmt sheetId="20" sqref="E41">
    <dxf>
      <numFmt numFmtId="35" formatCode="_(* #,##0.00_);_(* \(#,##0.00\);_(* &quot;-&quot;??_);_(@_)"/>
    </dxf>
  </rfmt>
  <rfmt sheetId="20" sqref="E41">
    <dxf>
      <numFmt numFmtId="182" formatCode="_(* #,##0.0_);_(* \(#,##0.0\);_(* &quot;-&quot;??_);_(@_)"/>
    </dxf>
  </rfmt>
  <rfmt sheetId="20" sqref="E41">
    <dxf>
      <numFmt numFmtId="181" formatCode="_(* #,##0_);_(* \(#,##0\);_(* &quot;-&quot;??_);_(@_)"/>
    </dxf>
  </rfmt>
  <rfmt sheetId="20" sqref="AA41" start="0" length="2147483647">
    <dxf>
      <font>
        <color theme="0"/>
        <family val="2"/>
      </font>
    </dxf>
  </rfmt>
  <rfmt sheetId="20" sqref="AA41">
    <dxf>
      <alignment horizontal="left"/>
    </dxf>
  </rfmt>
  <rfmt sheetId="20" sqref="T41">
    <dxf>
      <alignment horizontal="left"/>
    </dxf>
  </rfmt>
  <rfmt sheetId="20" sqref="M41">
    <dxf>
      <alignment horizontal="left"/>
    </dxf>
  </rfmt>
  <rfmt sheetId="20" sqref="M41" start="0" length="2147483647">
    <dxf>
      <font>
        <color theme="0"/>
        <family val="2"/>
      </font>
    </dxf>
  </rfmt>
  <rfmt sheetId="20" sqref="T41" start="0" length="2147483647">
    <dxf>
      <font>
        <color theme="0"/>
        <family val="2"/>
      </font>
    </dxf>
  </rfmt>
  <rfmt sheetId="20" sqref="F41" start="0" length="2147483647">
    <dxf>
      <font>
        <color theme="0"/>
        <family val="2"/>
      </font>
    </dxf>
  </rfmt>
  <rfmt sheetId="20" sqref="A43" start="0" length="0">
    <dxf>
      <font>
        <color theme="0"/>
        <family val="2"/>
      </font>
      <fill>
        <patternFill patternType="solid">
          <bgColor rgb="FF002060"/>
        </patternFill>
      </fill>
      <alignment horizontal="general"/>
    </dxf>
  </rfmt>
  <rfmt sheetId="20" sqref="B43" start="0" length="0">
    <dxf>
      <font>
        <color theme="0"/>
        <family val="2"/>
      </font>
      <fill>
        <patternFill patternType="solid">
          <bgColor rgb="FF002060"/>
        </patternFill>
      </fill>
      <alignment horizontal="general"/>
    </dxf>
  </rfmt>
  <rfmt sheetId="20" sqref="C43" start="0" length="0">
    <dxf>
      <font>
        <color theme="0"/>
        <family val="2"/>
      </font>
      <fill>
        <patternFill patternType="solid">
          <bgColor rgb="FF002060"/>
        </patternFill>
      </fill>
      <alignment horizontal="general"/>
    </dxf>
  </rfmt>
  <rfmt sheetId="20" sqref="D43" start="0" length="0">
    <dxf>
      <font>
        <color theme="0"/>
        <family val="2"/>
      </font>
      <fill>
        <patternFill patternType="solid">
          <bgColor rgb="FF002060"/>
        </patternFill>
      </fill>
      <alignment horizontal="general"/>
    </dxf>
  </rfmt>
  <rfmt sheetId="20" sqref="E43" start="0" length="0">
    <dxf>
      <font>
        <color theme="0"/>
        <family val="2"/>
      </font>
      <fill>
        <patternFill patternType="solid">
          <bgColor rgb="FF002060"/>
        </patternFill>
      </fill>
      <alignment horizontal="general"/>
    </dxf>
  </rfmt>
  <rfmt sheetId="20" sqref="F43" start="0" length="0">
    <dxf>
      <font>
        <color theme="0"/>
        <family val="2"/>
      </font>
      <fill>
        <patternFill patternType="solid">
          <bgColor rgb="FF002060"/>
        </patternFill>
      </fill>
      <alignment horizontal="general"/>
    </dxf>
  </rfmt>
  <rfmt sheetId="20" sqref="G43" start="0" length="0">
    <dxf>
      <font>
        <color theme="0"/>
        <family val="2"/>
      </font>
      <fill>
        <patternFill patternType="solid">
          <bgColor rgb="FF002060"/>
        </patternFill>
      </fill>
      <alignment horizontal="general"/>
    </dxf>
  </rfmt>
  <rfmt sheetId="20" sqref="H43" start="0" length="0">
    <dxf>
      <font>
        <color theme="0"/>
        <family val="2"/>
      </font>
      <fill>
        <patternFill patternType="solid">
          <bgColor rgb="FF002060"/>
        </patternFill>
      </fill>
      <alignment horizontal="general"/>
    </dxf>
  </rfmt>
  <rfmt sheetId="20" sqref="I43" start="0" length="0">
    <dxf>
      <font>
        <color theme="0"/>
        <family val="2"/>
      </font>
      <fill>
        <patternFill patternType="solid">
          <bgColor rgb="FF002060"/>
        </patternFill>
      </fill>
      <alignment horizontal="general"/>
    </dxf>
  </rfmt>
  <rfmt sheetId="20" sqref="J43" start="0" length="0">
    <dxf>
      <font>
        <color theme="0"/>
        <family val="2"/>
      </font>
      <fill>
        <patternFill patternType="solid">
          <bgColor rgb="FF002060"/>
        </patternFill>
      </fill>
      <alignment horizontal="general"/>
    </dxf>
  </rfmt>
  <rfmt sheetId="20" sqref="K43" start="0" length="0">
    <dxf>
      <font>
        <color theme="0"/>
        <family val="2"/>
      </font>
      <fill>
        <patternFill patternType="solid">
          <bgColor rgb="FF002060"/>
        </patternFill>
      </fill>
      <alignment horizontal="general"/>
    </dxf>
  </rfmt>
  <rfmt sheetId="20" sqref="L43" start="0" length="0">
    <dxf>
      <font>
        <color theme="0"/>
        <family val="2"/>
      </font>
      <fill>
        <patternFill patternType="solid">
          <bgColor rgb="FF002060"/>
        </patternFill>
      </fill>
    </dxf>
  </rfmt>
  <rfmt sheetId="20" sqref="M43" start="0" length="0">
    <dxf>
      <font>
        <color theme="0"/>
        <family val="2"/>
      </font>
      <fill>
        <patternFill patternType="solid">
          <bgColor rgb="FF002060"/>
        </patternFill>
      </fill>
    </dxf>
  </rfmt>
  <rfmt sheetId="20" sqref="N43" start="0" length="0">
    <dxf>
      <font>
        <color theme="0"/>
        <family val="2"/>
      </font>
      <fill>
        <patternFill patternType="solid">
          <bgColor rgb="FF002060"/>
        </patternFill>
      </fill>
    </dxf>
  </rfmt>
  <rfmt sheetId="20" sqref="O43" start="0" length="0">
    <dxf>
      <font>
        <color theme="0"/>
        <family val="2"/>
      </font>
      <fill>
        <patternFill patternType="solid">
          <bgColor rgb="FF002060"/>
        </patternFill>
      </fill>
    </dxf>
  </rfmt>
  <rfmt sheetId="20" sqref="P43" start="0" length="0">
    <dxf>
      <font>
        <color theme="0"/>
        <family val="2"/>
      </font>
      <fill>
        <patternFill patternType="solid">
          <bgColor rgb="FF002060"/>
        </patternFill>
      </fill>
    </dxf>
  </rfmt>
  <rfmt sheetId="20" sqref="Q43" start="0" length="0">
    <dxf>
      <font>
        <color theme="0"/>
        <family val="2"/>
      </font>
      <fill>
        <patternFill patternType="solid">
          <bgColor rgb="FF002060"/>
        </patternFill>
      </fill>
    </dxf>
  </rfmt>
  <rfmt sheetId="20" sqref="R43" start="0" length="0">
    <dxf>
      <font>
        <color theme="0"/>
        <family val="2"/>
      </font>
      <fill>
        <patternFill patternType="solid">
          <bgColor rgb="FF002060"/>
        </patternFill>
      </fill>
    </dxf>
  </rfmt>
  <rfmt sheetId="20" sqref="S43" start="0" length="0">
    <dxf>
      <font>
        <color theme="0"/>
        <family val="2"/>
      </font>
      <numFmt numFmtId="3" formatCode="#,##0"/>
      <fill>
        <patternFill patternType="solid">
          <bgColor rgb="FF002060"/>
        </patternFill>
      </fill>
      <alignment horizontal="right"/>
    </dxf>
  </rfmt>
  <rfmt sheetId="20" sqref="T43" start="0" length="0">
    <dxf>
      <font>
        <color theme="0"/>
        <family val="2"/>
      </font>
      <numFmt numFmtId="3" formatCode="#,##0"/>
      <fill>
        <patternFill patternType="solid">
          <bgColor rgb="FF002060"/>
        </patternFill>
      </fill>
      <alignment horizontal="right"/>
    </dxf>
  </rfmt>
  <rfmt sheetId="20" sqref="U43" start="0" length="0">
    <dxf>
      <font>
        <color theme="0"/>
        <family val="2"/>
      </font>
      <numFmt numFmtId="3" formatCode="#,##0"/>
      <fill>
        <patternFill patternType="solid">
          <bgColor rgb="FF002060"/>
        </patternFill>
      </fill>
      <alignment horizontal="right"/>
    </dxf>
  </rfmt>
  <rfmt sheetId="20" sqref="V43" start="0" length="0">
    <dxf>
      <font>
        <color theme="0"/>
        <family val="2"/>
      </font>
      <numFmt numFmtId="3" formatCode="#,##0"/>
      <fill>
        <patternFill patternType="solid">
          <bgColor rgb="FF002060"/>
        </patternFill>
      </fill>
      <alignment horizontal="right"/>
    </dxf>
  </rfmt>
  <rfmt sheetId="20" sqref="W43" start="0" length="0">
    <dxf>
      <font>
        <color theme="0"/>
        <family val="2"/>
      </font>
      <numFmt numFmtId="3" formatCode="#,##0"/>
      <fill>
        <patternFill patternType="solid">
          <bgColor rgb="FF002060"/>
        </patternFill>
      </fill>
      <alignment horizontal="right"/>
    </dxf>
  </rfmt>
  <rfmt sheetId="20" sqref="X43" start="0" length="0">
    <dxf>
      <font>
        <color theme="0"/>
        <family val="2"/>
      </font>
      <numFmt numFmtId="3" formatCode="#,##0"/>
      <fill>
        <patternFill patternType="solid">
          <bgColor rgb="FF002060"/>
        </patternFill>
      </fill>
      <alignment horizontal="right"/>
    </dxf>
  </rfmt>
  <rfmt sheetId="20" sqref="Y43" start="0" length="0">
    <dxf>
      <font>
        <color theme="0"/>
        <family val="2"/>
      </font>
      <numFmt numFmtId="3" formatCode="#,##0"/>
      <fill>
        <patternFill patternType="solid">
          <bgColor rgb="FF002060"/>
        </patternFill>
      </fill>
      <alignment horizontal="right"/>
    </dxf>
  </rfmt>
  <rfmt sheetId="20" sqref="Z43" start="0" length="0">
    <dxf>
      <font>
        <color theme="0"/>
        <family val="2"/>
      </font>
      <numFmt numFmtId="3" formatCode="#,##0"/>
      <fill>
        <patternFill patternType="solid">
          <bgColor rgb="FF002060"/>
        </patternFill>
      </fill>
      <alignment horizontal="right"/>
    </dxf>
  </rfmt>
  <rfmt sheetId="20" sqref="AA43" start="0" length="0">
    <dxf>
      <font>
        <color theme="0"/>
        <family val="2"/>
      </font>
      <numFmt numFmtId="3" formatCode="#,##0"/>
      <fill>
        <patternFill patternType="solid">
          <bgColor rgb="FF002060"/>
        </patternFill>
      </fill>
      <alignment horizontal="right"/>
    </dxf>
  </rfmt>
  <rfmt sheetId="20" sqref="AB43" start="0" length="0">
    <dxf>
      <font>
        <color theme="0"/>
        <family val="2"/>
      </font>
      <numFmt numFmtId="3" formatCode="#,##0"/>
      <fill>
        <patternFill patternType="solid">
          <bgColor rgb="FF002060"/>
        </patternFill>
      </fill>
      <alignment horizontal="right"/>
    </dxf>
  </rfmt>
  <rfmt sheetId="20" sqref="AC43" start="0" length="0">
    <dxf>
      <font>
        <color theme="0"/>
        <family val="2"/>
      </font>
      <fill>
        <patternFill patternType="solid">
          <bgColor rgb="FF002060"/>
        </patternFill>
      </fill>
    </dxf>
  </rfmt>
  <rfmt sheetId="20" sqref="AD43" start="0" length="0">
    <dxf>
      <font>
        <color theme="0"/>
        <family val="2"/>
      </font>
      <fill>
        <patternFill patternType="solid">
          <bgColor rgb="FF002060"/>
        </patternFill>
      </fill>
    </dxf>
  </rfmt>
  <rfmt sheetId="20" sqref="AE43" start="0" length="0">
    <dxf>
      <font>
        <color theme="0"/>
        <family val="2"/>
      </font>
      <fill>
        <patternFill patternType="solid">
          <bgColor rgb="FF002060"/>
        </patternFill>
      </fill>
    </dxf>
  </rfmt>
  <rfmt sheetId="20" sqref="AF43" start="0" length="0">
    <dxf>
      <font>
        <color theme="0"/>
        <family val="2"/>
      </font>
      <numFmt numFmtId="30" formatCode="@"/>
      <fill>
        <patternFill patternType="solid">
          <bgColor rgb="FF002060"/>
        </patternFill>
      </fill>
      <border outline="0">
        <right/>
      </border>
    </dxf>
  </rfmt>
  <rfmt sheetId="20" sqref="AG43" start="0" length="0">
    <dxf>
      <font>
        <b val="0"/>
        <sz val="9"/>
        <color auto="1"/>
        <name val="Arial"/>
        <family val="2"/>
        <scheme val="none"/>
      </font>
    </dxf>
  </rfmt>
  <rfmt sheetId="20" sqref="A43:XFD43" start="0" length="0">
    <dxf>
      <font>
        <b val="0"/>
        <sz val="9"/>
        <color auto="1"/>
        <name val="Arial"/>
        <family val="2"/>
        <scheme val="none"/>
      </font>
    </dxf>
  </rfmt>
  <rcc rId="2027" sId="20" odxf="1" dxf="1">
    <nc r="A44" t="inlineStr">
      <is>
        <t>source data</t>
      </is>
    </nc>
    <odxf>
      <fill>
        <patternFill patternType="none">
          <bgColor indexed="65"/>
        </patternFill>
      </fill>
      <alignment horizontal="general" vertical="top"/>
    </odxf>
    <ndxf>
      <fill>
        <patternFill patternType="solid">
          <bgColor theme="0" tint="-0.249977111117893"/>
        </patternFill>
      </fill>
      <alignment horizontal="left" vertical="bottom"/>
    </ndxf>
  </rcc>
  <rfmt sheetId="20" sqref="B44" start="0" length="0">
    <dxf>
      <alignment horizontal="left" vertical="bottom"/>
    </dxf>
  </rfmt>
  <rfmt sheetId="20" sqref="C44" start="0" length="0">
    <dxf>
      <alignment horizontal="left" vertical="bottom"/>
    </dxf>
  </rfmt>
  <rfmt sheetId="20" sqref="D44" start="0" length="0">
    <dxf>
      <alignment horizontal="left" vertical="bottom"/>
    </dxf>
  </rfmt>
  <rfmt sheetId="20" sqref="E44" start="0" length="0">
    <dxf>
      <alignment horizontal="left" vertical="bottom"/>
    </dxf>
  </rfmt>
  <rfmt sheetId="20" sqref="F44" start="0" length="0">
    <dxf>
      <alignment horizontal="left" vertical="bottom"/>
    </dxf>
  </rfmt>
  <rfmt sheetId="20" sqref="G44" start="0" length="0">
    <dxf>
      <alignment horizontal="left" vertical="bottom"/>
    </dxf>
  </rfmt>
  <rfmt sheetId="20" sqref="H44" start="0" length="0">
    <dxf>
      <alignment horizontal="left" vertical="bottom"/>
    </dxf>
  </rfmt>
  <rfmt sheetId="20" sqref="I44" start="0" length="0">
    <dxf>
      <alignment horizontal="left" vertical="bottom"/>
    </dxf>
  </rfmt>
  <rfmt sheetId="20" sqref="J44" start="0" length="0">
    <dxf>
      <alignment horizontal="left" vertical="bottom"/>
    </dxf>
  </rfmt>
  <rfmt sheetId="20" sqref="K44" start="0" length="0">
    <dxf>
      <alignment horizontal="left" vertical="bottom"/>
    </dxf>
  </rfmt>
  <rfmt sheetId="20" sqref="L44" start="0" length="0">
    <dxf>
      <alignment vertical="bottom"/>
    </dxf>
  </rfmt>
  <rfmt sheetId="20" sqref="M44" start="0" length="0">
    <dxf>
      <alignment vertical="bottom"/>
    </dxf>
  </rfmt>
  <rfmt sheetId="20" sqref="N44" start="0" length="0">
    <dxf>
      <alignment vertical="bottom"/>
    </dxf>
  </rfmt>
  <rfmt sheetId="20" sqref="O44" start="0" length="0">
    <dxf>
      <alignment vertical="bottom"/>
    </dxf>
  </rfmt>
  <rfmt sheetId="20" sqref="P44" start="0" length="0">
    <dxf>
      <alignment vertical="bottom"/>
    </dxf>
  </rfmt>
  <rfmt sheetId="20" sqref="Q44" start="0" length="0">
    <dxf>
      <alignment vertical="bottom"/>
    </dxf>
  </rfmt>
  <rfmt sheetId="20" sqref="R44" start="0" length="0">
    <dxf>
      <alignment vertical="bottom"/>
    </dxf>
  </rfmt>
  <rfmt sheetId="20" sqref="S44" start="0" length="0">
    <dxf>
      <font>
        <b/>
        <sz val="9"/>
        <color auto="1"/>
        <name val="Arial"/>
        <family val="2"/>
        <scheme val="none"/>
      </font>
      <numFmt numFmtId="0" formatCode="General"/>
      <alignment vertical="bottom"/>
    </dxf>
  </rfmt>
  <rfmt sheetId="20" sqref="T44" start="0" length="0">
    <dxf>
      <font>
        <b/>
        <sz val="9"/>
        <color auto="1"/>
        <name val="Arial"/>
        <family val="2"/>
        <scheme val="none"/>
      </font>
      <alignment vertical="bottom"/>
    </dxf>
  </rfmt>
  <rfmt sheetId="20" sqref="U44" start="0" length="0">
    <dxf>
      <font>
        <b/>
        <sz val="9"/>
        <color auto="1"/>
        <name val="Arial"/>
        <family val="2"/>
        <scheme val="none"/>
      </font>
      <alignment vertical="bottom"/>
    </dxf>
  </rfmt>
  <rfmt sheetId="20" sqref="V44" start="0" length="0">
    <dxf>
      <font>
        <b/>
        <sz val="9"/>
        <color auto="1"/>
        <name val="Arial"/>
        <family val="2"/>
        <scheme val="none"/>
      </font>
      <alignment vertical="bottom"/>
    </dxf>
  </rfmt>
  <rfmt sheetId="20" sqref="W44" start="0" length="0">
    <dxf>
      <font>
        <b/>
        <sz val="9"/>
        <color auto="1"/>
        <name val="Arial"/>
        <family val="2"/>
        <scheme val="none"/>
      </font>
      <alignment vertical="bottom"/>
    </dxf>
  </rfmt>
  <rfmt sheetId="20" sqref="X44" start="0" length="0">
    <dxf>
      <font>
        <b/>
        <sz val="9"/>
        <color auto="1"/>
        <name val="Arial"/>
        <family val="2"/>
        <scheme val="none"/>
      </font>
      <alignment vertical="bottom"/>
    </dxf>
  </rfmt>
  <rfmt sheetId="20" sqref="Y44" start="0" length="0">
    <dxf>
      <font>
        <b/>
        <sz val="9"/>
        <color auto="1"/>
        <name val="Arial"/>
        <family val="2"/>
        <scheme val="none"/>
      </font>
      <alignment vertical="bottom"/>
    </dxf>
  </rfmt>
  <rfmt sheetId="20" sqref="Z44" start="0" length="0">
    <dxf>
      <font>
        <b/>
        <sz val="9"/>
        <color auto="1"/>
        <name val="Arial"/>
        <family val="2"/>
        <scheme val="none"/>
      </font>
      <alignment vertical="bottom"/>
    </dxf>
  </rfmt>
  <rfmt sheetId="20" sqref="AA44" start="0" length="0">
    <dxf>
      <font>
        <b/>
        <sz val="9"/>
        <color auto="1"/>
        <name val="Arial"/>
        <family val="2"/>
        <scheme val="none"/>
      </font>
      <alignment vertical="bottom"/>
    </dxf>
  </rfmt>
  <rfmt sheetId="20" sqref="AB44" start="0" length="0">
    <dxf>
      <font>
        <b/>
        <sz val="9"/>
        <color auto="1"/>
        <name val="Arial"/>
        <family val="2"/>
        <scheme val="none"/>
      </font>
      <alignment vertical="bottom"/>
    </dxf>
  </rfmt>
  <rfmt sheetId="20" sqref="AC44" start="0" length="0">
    <dxf>
      <alignment vertical="bottom"/>
    </dxf>
  </rfmt>
  <rfmt sheetId="20" sqref="AD44" start="0" length="0">
    <dxf>
      <alignment vertical="bottom"/>
    </dxf>
  </rfmt>
  <rfmt sheetId="20" sqref="AE44" start="0" length="0">
    <dxf>
      <alignment vertical="bottom"/>
    </dxf>
  </rfmt>
  <rfmt sheetId="20" sqref="AF44" start="0" length="0">
    <dxf>
      <font>
        <b/>
        <sz val="9"/>
        <color auto="1"/>
        <name val="Arial"/>
        <family val="2"/>
        <scheme val="none"/>
      </font>
      <alignment vertical="bottom"/>
    </dxf>
  </rfmt>
  <rfmt sheetId="20" sqref="AG44" start="0" length="0">
    <dxf>
      <font>
        <b/>
        <sz val="9"/>
        <color auto="1"/>
        <name val="Arial"/>
        <family val="2"/>
        <scheme val="none"/>
      </font>
      <alignment vertical="bottom"/>
    </dxf>
  </rfmt>
  <rfmt sheetId="20" sqref="A44:XFD44" start="0" length="0">
    <dxf>
      <font>
        <b/>
        <sz val="9"/>
        <color auto="1"/>
        <name val="Arial"/>
        <family val="2"/>
        <scheme val="none"/>
      </font>
      <alignment vertical="bottom"/>
    </dxf>
  </rfmt>
  <rcc rId="2028" sId="20">
    <nc r="A43" t="inlineStr">
      <is>
        <t>Light Rail</t>
      </is>
    </nc>
  </rcc>
  <rcc rId="2029" sId="20">
    <nc r="A45" t="inlineStr">
      <is>
        <t>Sound transit light rail</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0" sId="20">
    <nc r="AD44" t="inlineStr">
      <is>
        <t>kWh</t>
      </is>
    </nc>
  </rcc>
  <rcc rId="2031" sId="20" numFmtId="4">
    <nc r="AC44">
      <v>12700800</v>
    </nc>
  </rcc>
  <rcc rId="2032" sId="20">
    <nc r="AE44" t="inlineStr">
      <is>
        <t>KC15-11-11_2015_Energy_consumption</t>
      </is>
    </nc>
  </rcc>
  <rfmt sheetId="20" sqref="AC44:AE45" start="0" length="2147483647">
    <dxf>
      <font>
        <b val="0"/>
        <family val="2"/>
      </font>
    </dxf>
  </rfmt>
  <rm rId="2033" sheetId="20" source="AC44:AE44" destination="AC45:AE45" sourceSheetId="20">
    <rfmt sheetId="20" sqref="AC45" start="0" length="0">
      <dxf>
        <numFmt numFmtId="3" formatCode="#,##0"/>
        <alignment horizontal="right" vertical="bottom"/>
      </dxf>
    </rfmt>
    <rfmt sheetId="20" sqref="AD45" start="0" length="0">
      <dxf>
        <numFmt numFmtId="30" formatCode="@"/>
        <alignment vertical="bottom"/>
      </dxf>
    </rfmt>
    <rfmt sheetId="20" sqref="AE45" start="0" length="0">
      <dxf>
        <numFmt numFmtId="30" formatCode="@"/>
        <alignment vertical="bottom"/>
      </dxf>
    </rfmt>
  </rm>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9" sId="20">
    <nc r="V45">
      <v>13327</v>
    </nc>
  </rcc>
  <rcc rId="2040" sId="20">
    <nc r="W45" t="inlineStr">
      <is>
        <t>kWh</t>
      </is>
    </nc>
  </rcc>
  <rfmt sheetId="20" sqref="V45">
    <dxf>
      <numFmt numFmtId="35" formatCode="_(* #,##0.00_);_(* \(#,##0.00\);_(* &quot;-&quot;??_);_(@_)"/>
    </dxf>
  </rfmt>
  <rfmt sheetId="20" sqref="V45">
    <dxf>
      <numFmt numFmtId="182" formatCode="_(* #,##0.0_);_(* \(#,##0.0\);_(* &quot;-&quot;??_);_(@_)"/>
    </dxf>
  </rfmt>
  <rfmt sheetId="20" sqref="V45">
    <dxf>
      <numFmt numFmtId="181" formatCode="_(* #,##0_);_(* \(#,##0\);_(* &quot;-&quot;??_);_(@_)"/>
    </dxf>
  </rfmt>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A46" start="0" length="0">
    <dxf>
      <font>
        <sz val="9"/>
        <color auto="1"/>
        <name val="Arial"/>
        <family val="2"/>
        <scheme val="none"/>
      </font>
    </dxf>
  </rfmt>
  <rcc rId="2041" sId="20" numFmtId="4">
    <oc r="AC45">
      <v>12700800</v>
    </oc>
    <nc r="AC45">
      <v>8594400</v>
    </nc>
  </rcc>
  <rfmt sheetId="20" sqref="A45" start="0" length="2147483647">
    <dxf>
      <font>
        <b val="0"/>
        <family val="2"/>
      </font>
    </dxf>
  </rfmt>
  <rcc rId="2042" sId="20" numFmtId="4">
    <nc r="AC46">
      <v>4106400</v>
    </nc>
  </rcc>
  <rcc rId="2043" sId="20" odxf="1" dxf="1">
    <nc r="AD46" t="inlineStr">
      <is>
        <t>kWh</t>
      </is>
    </nc>
    <odxf>
      <font>
        <family val="2"/>
      </font>
    </odxf>
    <ndxf>
      <font>
        <sz val="9"/>
        <color auto="1"/>
        <name val="Arial"/>
        <family val="2"/>
        <scheme val="none"/>
      </font>
    </ndxf>
  </rcc>
  <rfmt sheetId="20" sqref="A47" start="0" length="0">
    <dxf>
      <font>
        <sz val="9"/>
        <color auto="1"/>
        <name val="Arial"/>
        <family val="2"/>
        <scheme val="none"/>
      </font>
    </dxf>
  </rfmt>
  <rcc rId="2044" sId="20">
    <oc r="A45" t="inlineStr">
      <is>
        <t>Sound transit light rail</t>
      </is>
    </oc>
    <nc r="A45" t="inlineStr">
      <is>
        <t>Sound transit light rail electricity: SCL</t>
      </is>
    </nc>
  </rcc>
  <rcc rId="2045" sId="20">
    <nc r="A46" t="inlineStr">
      <is>
        <t>Sound transit light rail electricity: PSE</t>
      </is>
    </nc>
  </rcc>
  <rcc rId="2046" sId="20">
    <nc r="A47" t="inlineStr">
      <is>
        <t>Sound transit light rail electricity: Total</t>
      </is>
    </nc>
  </rcc>
  <rfmt sheetId="20" sqref="AC47" start="0" length="0">
    <dxf>
      <font>
        <sz val="9"/>
        <color auto="1"/>
        <name val="Arial"/>
        <family val="2"/>
        <scheme val="none"/>
      </font>
    </dxf>
  </rfmt>
  <rcc rId="2047" sId="20">
    <nc r="AC47">
      <f>SUM(AC45:AC46)</f>
    </nc>
  </rcc>
  <rcc rId="2048" sId="20" odxf="1" dxf="1">
    <nc r="AD47" t="inlineStr">
      <is>
        <t>kWh</t>
      </is>
    </nc>
    <odxf>
      <font>
        <family val="2"/>
      </font>
    </odxf>
    <ndxf>
      <font>
        <sz val="9"/>
        <color auto="1"/>
        <name val="Arial"/>
        <family val="2"/>
        <scheme val="none"/>
      </font>
    </ndxf>
  </rcc>
  <rcc rId="2049" sId="20" odxf="1" dxf="1">
    <nc r="A49" t="inlineStr">
      <is>
        <t>Emissions factors</t>
      </is>
    </nc>
    <odxf>
      <font>
        <family val="2"/>
      </font>
    </odxf>
    <ndxf>
      <font>
        <sz val="9"/>
        <color auto="1"/>
        <name val="Arial"/>
        <family val="2"/>
        <scheme val="none"/>
      </font>
    </ndxf>
  </rcc>
  <rcc rId="2050" sId="20" odxf="1" dxf="1">
    <nc r="A50" t="inlineStr">
      <is>
        <t>SCL</t>
      </is>
    </nc>
    <odxf>
      <font>
        <family val="2"/>
      </font>
    </odxf>
    <ndxf>
      <font>
        <sz val="9"/>
        <color auto="1"/>
        <name val="Arial"/>
        <family val="2"/>
        <scheme val="none"/>
      </font>
    </ndxf>
  </rcc>
  <rcc rId="2051" sId="20" odxf="1" dxf="1">
    <nc r="A51" t="inlineStr">
      <is>
        <t>PSE</t>
      </is>
    </nc>
    <odxf>
      <font>
        <family val="2"/>
      </font>
    </odxf>
    <ndxf>
      <font>
        <sz val="9"/>
        <color auto="1"/>
        <name val="Arial"/>
        <family val="2"/>
        <scheme val="none"/>
      </font>
    </ndxf>
  </rcc>
  <rrc rId="2052" sId="20" ref="A48:XFD48" action="insertRow"/>
  <rrc rId="2053" sId="20" ref="A48:XFD48" action="insertRow"/>
  <rrc rId="2054" sId="20" ref="A48:XFD48" action="insertRow"/>
  <rrc rId="2055" sId="20" ref="A46:XFD46" action="insertRow"/>
  <rrc rId="2056" sId="20" ref="A48:XFD48" action="insertRow"/>
  <rcc rId="2057" sId="20">
    <nc r="AC46">
      <f>AC45/1000</f>
    </nc>
  </rcc>
  <rcc rId="2058" sId="20">
    <nc r="AD46" t="inlineStr">
      <is>
        <t>MWh</t>
      </is>
    </nc>
  </rcc>
  <rcc rId="2059" sId="20">
    <nc r="AC48">
      <f>AC47/1000</f>
    </nc>
  </rcc>
  <rcc rId="2060" sId="20">
    <nc r="AD48" t="inlineStr">
      <is>
        <t>MWh</t>
      </is>
    </nc>
  </rcc>
  <rcc rId="2061" sId="20" odxf="1" dxf="1">
    <nc r="AC50">
      <f>AC49/1000</f>
    </nc>
    <odxf>
      <font>
        <sz val="9"/>
        <color auto="1"/>
        <name val="Arial"/>
        <family val="2"/>
        <scheme val="none"/>
      </font>
    </odxf>
    <ndxf>
      <font>
        <sz val="9"/>
        <color auto="1"/>
        <name val="Arial"/>
        <family val="2"/>
        <scheme val="none"/>
      </font>
    </ndxf>
  </rcc>
  <rcc rId="2062" sId="20">
    <nc r="AD50" t="inlineStr">
      <is>
        <t>MWh</t>
      </is>
    </nc>
  </rcc>
  <rrc rId="2063" sId="20" ref="A47:XFD47" action="insertRow"/>
  <rrc rId="2064" sId="20" ref="A50:XFD50" action="insertRow"/>
  <rrc rId="2065" sId="20" ref="A53:XFD53" action="deleteRow">
    <rfmt sheetId="20" xfDxf="1" sqref="A53:XFD53" start="0" length="0"/>
    <rfmt sheetId="20" sqref="A53" start="0" length="0">
      <dxf>
        <numFmt numFmtId="30" formatCode="@"/>
        <alignment horizontal="left" vertical="bottom"/>
        <border outline="0">
          <right style="thin">
            <color indexed="64"/>
          </right>
        </border>
      </dxf>
    </rfmt>
    <rfmt sheetId="20" sqref="B53" start="0" length="0">
      <dxf>
        <font>
          <sz val="9"/>
          <color auto="1"/>
          <name val="Arial"/>
          <family val="2"/>
          <scheme val="none"/>
        </font>
        <numFmt numFmtId="30" formatCode="@"/>
        <alignment horizontal="left" vertical="bottom"/>
      </dxf>
    </rfmt>
    <rfmt sheetId="20" sqref="C53" start="0" length="0">
      <dxf>
        <font>
          <sz val="9"/>
          <color auto="1"/>
          <name val="Arial"/>
          <family val="2"/>
          <scheme val="none"/>
        </font>
        <numFmt numFmtId="30" formatCode="@"/>
        <alignment horizontal="left" vertical="bottom"/>
      </dxf>
    </rfmt>
    <rfmt sheetId="20" sqref="D53" start="0" length="0">
      <dxf>
        <font>
          <sz val="9"/>
          <color auto="1"/>
          <name val="Arial"/>
          <family val="2"/>
          <scheme val="none"/>
        </font>
        <numFmt numFmtId="30" formatCode="@"/>
        <alignment horizontal="left" vertical="bottom"/>
        <border outline="0">
          <right style="thin">
            <color indexed="64"/>
          </right>
        </border>
      </dxf>
    </rfmt>
    <rfmt sheetId="20" sqref="E53" start="0" length="0">
      <dxf>
        <font>
          <sz val="9"/>
          <color auto="1"/>
          <name val="Arial"/>
          <family val="2"/>
          <scheme val="none"/>
        </font>
        <numFmt numFmtId="30" formatCode="@"/>
        <alignment horizontal="left" vertical="bottom"/>
      </dxf>
    </rfmt>
    <rfmt sheetId="20" sqref="F53" start="0" length="0">
      <dxf>
        <font>
          <sz val="9"/>
          <color auto="1"/>
          <name val="Arial"/>
          <family val="2"/>
          <scheme val="none"/>
        </font>
        <numFmt numFmtId="30" formatCode="@"/>
        <alignment horizontal="left" vertical="bottom"/>
      </dxf>
    </rfmt>
    <rfmt sheetId="20" sqref="G53" start="0" length="0">
      <dxf>
        <font>
          <sz val="9"/>
          <color auto="1"/>
          <name val="Arial"/>
          <family val="2"/>
          <scheme val="none"/>
        </font>
        <numFmt numFmtId="30" formatCode="@"/>
        <alignment horizontal="left" vertical="bottom"/>
      </dxf>
    </rfmt>
    <rfmt sheetId="20" sqref="H53" start="0" length="0">
      <dxf>
        <font>
          <sz val="9"/>
          <color auto="1"/>
          <name val="Arial"/>
          <family val="2"/>
          <scheme val="none"/>
        </font>
        <numFmt numFmtId="30" formatCode="@"/>
        <alignment horizontal="left" vertical="bottom"/>
      </dxf>
    </rfmt>
    <rfmt sheetId="20" sqref="I53" start="0" length="0">
      <dxf>
        <font>
          <sz val="9"/>
          <color auto="1"/>
          <name val="Arial"/>
          <family val="2"/>
          <scheme val="none"/>
        </font>
        <numFmt numFmtId="30" formatCode="@"/>
        <alignment horizontal="left" vertical="bottom"/>
      </dxf>
    </rfmt>
    <rfmt sheetId="20" sqref="J53" start="0" length="0">
      <dxf>
        <font>
          <sz val="9"/>
          <color auto="1"/>
          <name val="Arial"/>
          <family val="2"/>
          <scheme val="none"/>
        </font>
        <numFmt numFmtId="30" formatCode="@"/>
        <alignment horizontal="left" vertical="bottom"/>
      </dxf>
    </rfmt>
    <rfmt sheetId="20" sqref="K53" start="0" length="0">
      <dxf>
        <font>
          <sz val="9"/>
          <color auto="1"/>
          <name val="Arial"/>
          <family val="2"/>
          <scheme val="none"/>
        </font>
        <numFmt numFmtId="30" formatCode="@"/>
        <alignment horizontal="left" vertical="bottom"/>
        <border outline="0">
          <right style="thin">
            <color indexed="64"/>
          </right>
        </border>
      </dxf>
    </rfmt>
    <rfmt sheetId="20" sqref="L53" start="0" length="0">
      <dxf>
        <font>
          <sz val="9"/>
          <color auto="1"/>
          <name val="Arial"/>
          <family val="2"/>
          <scheme val="none"/>
        </font>
        <numFmt numFmtId="3" formatCode="#,##0"/>
        <alignment horizontal="right" vertical="bottom"/>
        <border outline="0">
          <left style="thin">
            <color indexed="64"/>
          </left>
        </border>
      </dxf>
    </rfmt>
    <rfmt sheetId="20" sqref="M53" start="0" length="0">
      <dxf>
        <font>
          <sz val="9"/>
          <color auto="1"/>
          <name val="Arial"/>
          <family val="2"/>
          <scheme val="none"/>
        </font>
        <numFmt numFmtId="30" formatCode="@"/>
        <alignment vertical="bottom"/>
      </dxf>
    </rfmt>
    <rfmt sheetId="20" sqref="N53" start="0" length="0">
      <dxf>
        <font>
          <sz val="9"/>
          <color auto="1"/>
          <name val="Arial"/>
          <family val="2"/>
          <scheme val="none"/>
        </font>
        <numFmt numFmtId="30" formatCode="@"/>
        <alignment vertical="bottom"/>
      </dxf>
    </rfmt>
    <rfmt sheetId="20" sqref="O53" start="0" length="0">
      <dxf>
        <font>
          <sz val="9"/>
          <color auto="1"/>
          <name val="Arial"/>
          <family val="2"/>
          <scheme val="none"/>
        </font>
        <numFmt numFmtId="30" formatCode="@"/>
        <alignment vertical="bottom"/>
      </dxf>
    </rfmt>
    <rfmt sheetId="20" sqref="P53" start="0" length="0">
      <dxf>
        <font>
          <sz val="9"/>
          <color auto="1"/>
          <name val="Arial"/>
          <family val="2"/>
          <scheme val="none"/>
        </font>
        <numFmt numFmtId="30" formatCode="@"/>
        <alignment vertical="bottom"/>
      </dxf>
    </rfmt>
    <rfmt sheetId="20" sqref="Q53" start="0" length="0">
      <dxf>
        <font>
          <sz val="9"/>
          <color auto="1"/>
          <name val="Arial"/>
          <family val="2"/>
          <scheme val="none"/>
        </font>
        <numFmt numFmtId="30" formatCode="@"/>
        <alignment vertical="bottom"/>
      </dxf>
    </rfmt>
    <rfmt sheetId="20" sqref="R53" start="0" length="0">
      <dxf>
        <font>
          <sz val="9"/>
          <color auto="1"/>
          <name val="Arial"/>
          <family val="2"/>
          <scheme val="none"/>
        </font>
        <numFmt numFmtId="30" formatCode="@"/>
        <alignment vertical="bottom"/>
      </dxf>
    </rfmt>
    <rfmt sheetId="20" sqref="S53" start="0" length="0">
      <dxf>
        <numFmt numFmtId="1" formatCode="0"/>
        <border outline="0">
          <left style="thin">
            <color indexed="64"/>
          </left>
        </border>
      </dxf>
    </rfmt>
    <rfmt sheetId="20" sqref="T53" start="0" length="0">
      <dxf/>
    </rfmt>
    <rfmt sheetId="20" sqref="U53" start="0" length="0">
      <dxf/>
    </rfmt>
    <rfmt sheetId="20" sqref="V53" start="0" length="0">
      <dxf/>
    </rfmt>
    <rfmt sheetId="20" sqref="W53" start="0" length="0">
      <dxf/>
    </rfmt>
    <rfmt sheetId="20" sqref="X53" start="0" length="0">
      <dxf/>
    </rfmt>
    <rfmt sheetId="20" sqref="Y53" start="0" length="0">
      <dxf>
        <border outline="0">
          <right style="thin">
            <color indexed="64"/>
          </right>
        </border>
      </dxf>
    </rfmt>
    <rfmt sheetId="20" sqref="Z53" start="0" length="0">
      <dxf/>
    </rfmt>
    <rfmt sheetId="20" sqref="AA53" start="0" length="0">
      <dxf/>
    </rfmt>
    <rfmt sheetId="20" sqref="AB53" start="0" length="0">
      <dxf/>
    </rfmt>
    <rfmt sheetId="20" sqref="AC53" start="0" length="0">
      <dxf>
        <numFmt numFmtId="3" formatCode="#,##0"/>
        <alignment horizontal="right" vertical="bottom"/>
      </dxf>
    </rfmt>
    <rfmt sheetId="20" sqref="AD53" start="0" length="0">
      <dxf>
        <numFmt numFmtId="30" formatCode="@"/>
        <alignment vertical="bottom"/>
      </dxf>
    </rfmt>
    <rfmt sheetId="20" sqref="AE53" start="0" length="0">
      <dxf>
        <font>
          <sz val="9"/>
          <color auto="1"/>
          <name val="Arial"/>
          <family val="2"/>
          <scheme val="none"/>
        </font>
        <numFmt numFmtId="30" formatCode="@"/>
        <alignment vertical="bottom"/>
      </dxf>
    </rfmt>
    <rfmt sheetId="20" sqref="AF53" start="0" length="0">
      <dxf>
        <border outline="0">
          <right style="thin">
            <color indexed="64"/>
          </right>
        </border>
      </dxf>
    </rfmt>
    <rfmt sheetId="20" sqref="AG53" start="0" length="0">
      <dxf>
        <border outline="0">
          <left style="thin">
            <color indexed="64"/>
          </left>
        </border>
      </dxf>
    </rfmt>
  </rrc>
  <rrc rId="2066" sId="20" ref="A53:XFD53" action="deleteRow">
    <rfmt sheetId="20" xfDxf="1" sqref="A53:XFD53" start="0" length="0"/>
    <rfmt sheetId="20" sqref="A53" start="0" length="0">
      <dxf>
        <numFmt numFmtId="30" formatCode="@"/>
        <alignment horizontal="left" vertical="bottom"/>
        <border outline="0">
          <right style="thin">
            <color indexed="64"/>
          </right>
        </border>
      </dxf>
    </rfmt>
    <rfmt sheetId="20" sqref="B53" start="0" length="0">
      <dxf>
        <font>
          <sz val="9"/>
          <color auto="1"/>
          <name val="Arial"/>
          <family val="2"/>
          <scheme val="none"/>
        </font>
        <numFmt numFmtId="30" formatCode="@"/>
        <alignment horizontal="left" vertical="bottom"/>
      </dxf>
    </rfmt>
    <rfmt sheetId="20" sqref="C53" start="0" length="0">
      <dxf>
        <font>
          <sz val="9"/>
          <color auto="1"/>
          <name val="Arial"/>
          <family val="2"/>
          <scheme val="none"/>
        </font>
        <numFmt numFmtId="30" formatCode="@"/>
        <alignment horizontal="left" vertical="bottom"/>
      </dxf>
    </rfmt>
    <rfmt sheetId="20" sqref="D53" start="0" length="0">
      <dxf>
        <font>
          <sz val="9"/>
          <color auto="1"/>
          <name val="Arial"/>
          <family val="2"/>
          <scheme val="none"/>
        </font>
        <numFmt numFmtId="30" formatCode="@"/>
        <alignment horizontal="left" vertical="bottom"/>
        <border outline="0">
          <right style="thin">
            <color indexed="64"/>
          </right>
        </border>
      </dxf>
    </rfmt>
    <rfmt sheetId="20" sqref="E53" start="0" length="0">
      <dxf>
        <font>
          <sz val="9"/>
          <color auto="1"/>
          <name val="Arial"/>
          <family val="2"/>
          <scheme val="none"/>
        </font>
        <numFmt numFmtId="30" formatCode="@"/>
        <alignment horizontal="left" vertical="bottom"/>
      </dxf>
    </rfmt>
    <rfmt sheetId="20" sqref="F53" start="0" length="0">
      <dxf>
        <font>
          <sz val="9"/>
          <color auto="1"/>
          <name val="Arial"/>
          <family val="2"/>
          <scheme val="none"/>
        </font>
        <numFmt numFmtId="30" formatCode="@"/>
        <alignment horizontal="left" vertical="bottom"/>
      </dxf>
    </rfmt>
    <rfmt sheetId="20" sqref="G53" start="0" length="0">
      <dxf>
        <font>
          <sz val="9"/>
          <color auto="1"/>
          <name val="Arial"/>
          <family val="2"/>
          <scheme val="none"/>
        </font>
        <numFmt numFmtId="30" formatCode="@"/>
        <alignment horizontal="left" vertical="bottom"/>
      </dxf>
    </rfmt>
    <rfmt sheetId="20" sqref="H53" start="0" length="0">
      <dxf>
        <font>
          <sz val="9"/>
          <color auto="1"/>
          <name val="Arial"/>
          <family val="2"/>
          <scheme val="none"/>
        </font>
        <numFmt numFmtId="30" formatCode="@"/>
        <alignment horizontal="left" vertical="bottom"/>
      </dxf>
    </rfmt>
    <rfmt sheetId="20" sqref="I53" start="0" length="0">
      <dxf>
        <font>
          <sz val="9"/>
          <color auto="1"/>
          <name val="Arial"/>
          <family val="2"/>
          <scheme val="none"/>
        </font>
        <numFmt numFmtId="30" formatCode="@"/>
        <alignment horizontal="left" vertical="bottom"/>
      </dxf>
    </rfmt>
    <rfmt sheetId="20" sqref="J53" start="0" length="0">
      <dxf>
        <font>
          <sz val="9"/>
          <color auto="1"/>
          <name val="Arial"/>
          <family val="2"/>
          <scheme val="none"/>
        </font>
        <numFmt numFmtId="30" formatCode="@"/>
        <alignment horizontal="left" vertical="bottom"/>
      </dxf>
    </rfmt>
    <rfmt sheetId="20" sqref="K53" start="0" length="0">
      <dxf>
        <font>
          <sz val="9"/>
          <color auto="1"/>
          <name val="Arial"/>
          <family val="2"/>
          <scheme val="none"/>
        </font>
        <numFmt numFmtId="30" formatCode="@"/>
        <alignment horizontal="left" vertical="bottom"/>
        <border outline="0">
          <right style="thin">
            <color indexed="64"/>
          </right>
        </border>
      </dxf>
    </rfmt>
    <rfmt sheetId="20" sqref="L53" start="0" length="0">
      <dxf>
        <font>
          <sz val="9"/>
          <color auto="1"/>
          <name val="Arial"/>
          <family val="2"/>
          <scheme val="none"/>
        </font>
        <numFmt numFmtId="3" formatCode="#,##0"/>
        <alignment horizontal="right" vertical="bottom"/>
        <border outline="0">
          <left style="thin">
            <color indexed="64"/>
          </left>
        </border>
      </dxf>
    </rfmt>
    <rfmt sheetId="20" sqref="M53" start="0" length="0">
      <dxf>
        <font>
          <sz val="9"/>
          <color auto="1"/>
          <name val="Arial"/>
          <family val="2"/>
          <scheme val="none"/>
        </font>
        <numFmt numFmtId="30" formatCode="@"/>
        <alignment vertical="bottom"/>
      </dxf>
    </rfmt>
    <rfmt sheetId="20" sqref="N53" start="0" length="0">
      <dxf>
        <font>
          <sz val="9"/>
          <color auto="1"/>
          <name val="Arial"/>
          <family val="2"/>
          <scheme val="none"/>
        </font>
        <numFmt numFmtId="30" formatCode="@"/>
        <alignment vertical="bottom"/>
      </dxf>
    </rfmt>
    <rfmt sheetId="20" sqref="O53" start="0" length="0">
      <dxf>
        <font>
          <sz val="9"/>
          <color auto="1"/>
          <name val="Arial"/>
          <family val="2"/>
          <scheme val="none"/>
        </font>
        <numFmt numFmtId="30" formatCode="@"/>
        <alignment vertical="bottom"/>
      </dxf>
    </rfmt>
    <rfmt sheetId="20" sqref="P53" start="0" length="0">
      <dxf>
        <font>
          <sz val="9"/>
          <color auto="1"/>
          <name val="Arial"/>
          <family val="2"/>
          <scheme val="none"/>
        </font>
        <numFmt numFmtId="30" formatCode="@"/>
        <alignment vertical="bottom"/>
      </dxf>
    </rfmt>
    <rfmt sheetId="20" sqref="Q53" start="0" length="0">
      <dxf>
        <font>
          <sz val="9"/>
          <color auto="1"/>
          <name val="Arial"/>
          <family val="2"/>
          <scheme val="none"/>
        </font>
        <numFmt numFmtId="30" formatCode="@"/>
        <alignment vertical="bottom"/>
      </dxf>
    </rfmt>
    <rfmt sheetId="20" sqref="R53" start="0" length="0">
      <dxf>
        <font>
          <sz val="9"/>
          <color auto="1"/>
          <name val="Arial"/>
          <family val="2"/>
          <scheme val="none"/>
        </font>
        <numFmt numFmtId="30" formatCode="@"/>
        <alignment vertical="bottom"/>
      </dxf>
    </rfmt>
    <rfmt sheetId="20" sqref="S53" start="0" length="0">
      <dxf>
        <numFmt numFmtId="1" formatCode="0"/>
        <border outline="0">
          <left style="thin">
            <color indexed="64"/>
          </left>
        </border>
      </dxf>
    </rfmt>
    <rfmt sheetId="20" sqref="T53" start="0" length="0">
      <dxf/>
    </rfmt>
    <rfmt sheetId="20" sqref="U53" start="0" length="0">
      <dxf/>
    </rfmt>
    <rfmt sheetId="20" sqref="V53" start="0" length="0">
      <dxf/>
    </rfmt>
    <rfmt sheetId="20" sqref="W53" start="0" length="0">
      <dxf/>
    </rfmt>
    <rfmt sheetId="20" sqref="X53" start="0" length="0">
      <dxf/>
    </rfmt>
    <rfmt sheetId="20" sqref="Y53" start="0" length="0">
      <dxf>
        <border outline="0">
          <right style="thin">
            <color indexed="64"/>
          </right>
        </border>
      </dxf>
    </rfmt>
    <rfmt sheetId="20" sqref="Z53" start="0" length="0">
      <dxf/>
    </rfmt>
    <rfmt sheetId="20" sqref="AA53" start="0" length="0">
      <dxf/>
    </rfmt>
    <rfmt sheetId="20" sqref="AB53" start="0" length="0">
      <dxf/>
    </rfmt>
    <rfmt sheetId="20" sqref="AC53" start="0" length="0">
      <dxf>
        <numFmt numFmtId="3" formatCode="#,##0"/>
        <alignment horizontal="right" vertical="bottom"/>
      </dxf>
    </rfmt>
    <rfmt sheetId="20" sqref="AD53" start="0" length="0">
      <dxf>
        <numFmt numFmtId="30" formatCode="@"/>
        <alignment vertical="bottom"/>
      </dxf>
    </rfmt>
    <rfmt sheetId="20" sqref="AE53" start="0" length="0">
      <dxf>
        <font>
          <sz val="9"/>
          <color auto="1"/>
          <name val="Arial"/>
          <family val="2"/>
          <scheme val="none"/>
        </font>
        <numFmt numFmtId="30" formatCode="@"/>
        <alignment vertical="bottom"/>
      </dxf>
    </rfmt>
    <rfmt sheetId="20" sqref="AF53" start="0" length="0">
      <dxf>
        <border outline="0">
          <right style="thin">
            <color indexed="64"/>
          </right>
        </border>
      </dxf>
    </rfmt>
    <rfmt sheetId="20" sqref="AG53" start="0" length="0">
      <dxf>
        <border outline="0">
          <left style="thin">
            <color indexed="64"/>
          </left>
        </border>
      </dxf>
    </rfmt>
  </rr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7" sId="26">
    <oc r="D63" t="inlineStr">
      <is>
        <t>KC08-102-0 Table 7-8</t>
      </is>
    </oc>
    <nc r="D63"/>
  </rcc>
  <rcc rId="2068" sId="26">
    <oc r="E63" t="inlineStr">
      <is>
        <t>from KC08-103-3 Table A-157</t>
      </is>
    </oc>
    <nc r="E63"/>
  </rcc>
  <rcc rId="2069" sId="26">
    <oc r="H63" t="inlineStr">
      <is>
        <t>KC08-102-0 Table 7-8</t>
      </is>
    </oc>
    <nc r="H63"/>
  </rcc>
  <rcc rId="2070" sId="26">
    <oc r="I63" t="inlineStr">
      <is>
        <t>from KC08-103-3 Table A-157</t>
      </is>
    </oc>
    <nc r="I63"/>
  </rcc>
  <rcc rId="2071" sId="26">
    <oc r="M63" t="inlineStr">
      <is>
        <t>KC15_102_0</t>
      </is>
    </oc>
    <nc r="M63"/>
  </rcc>
  <rcc rId="2072" sId="26">
    <oc r="D73" t="inlineStr">
      <is>
        <t>KC08-102-0  Table 7-8</t>
      </is>
    </oc>
    <nc r="D73"/>
  </rcc>
  <rcc rId="2073" sId="26">
    <oc r="E73" t="inlineStr">
      <is>
        <t>from KC08-103-3 Table A-157</t>
      </is>
    </oc>
    <nc r="E73"/>
  </rcc>
  <rcc rId="2074" sId="26">
    <oc r="H73" t="inlineStr">
      <is>
        <t>KC08-102-0 Table 7-8</t>
      </is>
    </oc>
    <nc r="H73"/>
  </rcc>
  <rcc rId="2075" sId="26">
    <oc r="I73" t="inlineStr">
      <is>
        <t>from KC08-103-3 Table A-157</t>
      </is>
    </oc>
    <nc r="I73"/>
  </rcc>
  <rcc rId="2076" sId="26">
    <oc r="M73" t="inlineStr">
      <is>
        <t>KC15_102_0</t>
      </is>
    </oc>
    <nc r="M73"/>
  </rcc>
  <rfmt sheetId="26" sqref="M63">
    <dxf>
      <fill>
        <patternFill patternType="none">
          <bgColor auto="1"/>
        </patternFill>
      </fill>
    </dxf>
  </rfmt>
  <rfmt sheetId="26" sqref="M73">
    <dxf>
      <fill>
        <patternFill patternType="none">
          <bgColor auto="1"/>
        </patternFill>
      </fill>
    </dxf>
  </rfmt>
  <rcmt sheetId="26" cell="M73" guid="{00000000-0000-0000-0000-000000000000}" action="delete" alwaysShow="1" author="Andrea Martin"/>
  <rcc rId="2077" sId="26">
    <nc r="N81" t="inlineStr">
      <is>
        <t>assumed same as goat</t>
      </is>
    </nc>
  </rcc>
  <rfmt sheetId="26" sqref="M81:N81">
    <dxf>
      <fill>
        <patternFill patternType="none">
          <bgColor auto="1"/>
        </patternFill>
      </fill>
    </dxf>
  </rfmt>
  <rcmt sheetId="26" cell="M81" guid="{00000000-0000-0000-0000-000000000000}" action="delete" alwaysShow="1" author="Andrea Martin"/>
  <rcmt sheetId="26" cell="M61" guid="{00000000-0000-0000-0000-000000000000}" action="delete" alwaysShow="1" author="Andrea Martin"/>
  <rfmt sheetId="26" sqref="M61:N61">
    <dxf>
      <fill>
        <patternFill patternType="none">
          <bgColor auto="1"/>
        </patternFill>
      </fill>
    </dxf>
  </rfmt>
  <rcmt sheetId="26" cell="M63" guid="{00000000-0000-0000-0000-000000000000}" action="delete" alwaysShow="1" author="Andrea Martin"/>
  <rrc rId="2078" sId="26" ref="A89:XFD90" action="insertRow"/>
  <rrc rId="2079" sId="26" ref="A89:XFD90" action="insertRow"/>
  <rcc rId="2080" sId="26">
    <nc r="A90" t="inlineStr">
      <is>
        <t>Dairy Deep Pit MCF</t>
      </is>
    </nc>
  </rcc>
  <rcc rId="2081" sId="26">
    <nc r="A89" t="inlineStr">
      <is>
        <t>Dairy Anaerobic MCF</t>
      </is>
    </nc>
  </rcc>
  <rcc rId="2082" sId="26">
    <nc r="A91" t="inlineStr">
      <is>
        <t>Dairy Anaerobic MCF</t>
      </is>
    </nc>
  </rcc>
  <rcc rId="2083" sId="26">
    <nc r="A92" t="inlineStr">
      <is>
        <t>Dairy Deep Pit MCF</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84" sId="20">
    <nc r="AC55">
      <f>Electricity!N8</f>
    </nc>
  </rcc>
  <rfmt sheetId="20" sqref="AC55">
    <dxf>
      <numFmt numFmtId="165" formatCode="#,##0.0"/>
    </dxf>
  </rfmt>
  <rfmt sheetId="20" sqref="AC55">
    <dxf>
      <numFmt numFmtId="4" formatCode="#,##0.00"/>
    </dxf>
  </rfmt>
  <rfmt sheetId="20" sqref="AC55">
    <dxf>
      <numFmt numFmtId="164" formatCode="#,##0.000"/>
    </dxf>
  </rfmt>
  <rfmt sheetId="20" sqref="AD55" start="0" length="0">
    <dxf>
      <font>
        <sz val="9"/>
        <color auto="1"/>
        <name val="Arial"/>
        <family val="2"/>
        <scheme val="none"/>
      </font>
    </dxf>
  </rfmt>
  <rcc rId="2085" sId="20">
    <nc r="V55">
      <f>Electricity!J8</f>
    </nc>
  </rcc>
  <rfmt sheetId="20" sqref="V55">
    <dxf>
      <numFmt numFmtId="167" formatCode="0.0000000"/>
    </dxf>
  </rfmt>
  <rfmt sheetId="20" sqref="V55">
    <dxf>
      <numFmt numFmtId="191" formatCode="0.00000000"/>
    </dxf>
  </rfmt>
  <rfmt sheetId="20" sqref="V55">
    <dxf>
      <numFmt numFmtId="167" formatCode="0.0000000"/>
    </dxf>
  </rfmt>
  <rfmt sheetId="20" sqref="V55">
    <dxf>
      <numFmt numFmtId="172" formatCode="0.000000"/>
    </dxf>
  </rfmt>
  <rfmt sheetId="20" sqref="V55">
    <dxf>
      <numFmt numFmtId="171" formatCode="0.00000"/>
    </dxf>
  </rfmt>
  <rfmt sheetId="20" sqref="V55">
    <dxf>
      <numFmt numFmtId="166" formatCode="0.0000"/>
    </dxf>
  </rfmt>
  <rfmt sheetId="20" sqref="V55">
    <dxf>
      <numFmt numFmtId="170" formatCode="0.000"/>
    </dxf>
  </rfmt>
  <rcc rId="2086" sId="20">
    <nc r="W55" t="inlineStr">
      <is>
        <t>tCO2/MWh</t>
      </is>
    </nc>
  </rcc>
  <rcc rId="2087" sId="20">
    <nc r="AD55" t="inlineStr">
      <is>
        <t>tCO2/MWh</t>
      </is>
    </nc>
  </rcc>
  <rcc rId="2088" sId="20" odxf="1" dxf="1">
    <nc r="P55" t="inlineStr">
      <is>
        <t>=Electricity!F8</t>
      </is>
    </nc>
    <odxf>
      <font>
        <family val="2"/>
      </font>
    </odxf>
    <ndxf>
      <font>
        <sz val="9"/>
        <color auto="1"/>
        <name val="Arial"/>
        <family val="2"/>
        <scheme val="none"/>
      </font>
    </ndxf>
  </rcc>
  <rcc rId="2089" sId="20" odxf="1" dxf="1">
    <nc r="Q55" t="inlineStr">
      <is>
        <t>tCO2/MWh</t>
      </is>
    </nc>
    <odxf>
      <font>
        <family val="2"/>
      </font>
      <numFmt numFmtId="30" formatCode="@"/>
      <alignment vertical="bottom"/>
    </odxf>
    <ndxf>
      <font>
        <sz val="9"/>
        <color auto="1"/>
        <name val="Arial"/>
        <family val="2"/>
        <scheme val="none"/>
      </font>
      <numFmt numFmtId="0" formatCode="General"/>
      <alignment vertical="top"/>
    </ndxf>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90" sId="20">
    <nc r="AC56">
      <f>Electricity!N48</f>
    </nc>
  </rcc>
  <rfmt sheetId="20" sqref="AC56">
    <dxf>
      <numFmt numFmtId="165" formatCode="#,##0.0"/>
    </dxf>
  </rfmt>
  <rfmt sheetId="20" sqref="AC56">
    <dxf>
      <numFmt numFmtId="4" formatCode="#,##0.00"/>
    </dxf>
  </rfmt>
  <rfmt sheetId="20" sqref="AC56">
    <dxf>
      <numFmt numFmtId="164" formatCode="#,##0.000"/>
    </dxf>
  </rfmt>
  <rfmt sheetId="20" sqref="AC56">
    <dxf>
      <numFmt numFmtId="4" formatCode="#,##0.00"/>
    </dxf>
  </rfmt>
  <rfmt sheetId="20" sqref="AC56">
    <dxf>
      <numFmt numFmtId="164" formatCode="#,##0.000"/>
    </dxf>
  </rfmt>
  <rcc rId="2091" sId="20" odxf="1" dxf="1">
    <nc r="AD56" t="inlineStr">
      <is>
        <t>tCO2/MWh</t>
      </is>
    </nc>
    <odxf>
      <font>
        <family val="2"/>
      </font>
    </odxf>
    <ndxf>
      <font>
        <sz val="9"/>
        <color auto="1"/>
        <name val="Arial"/>
        <family val="2"/>
        <scheme val="none"/>
      </font>
    </ndxf>
  </rcc>
  <rfmt sheetId="20" sqref="V56" start="0" length="0">
    <dxf>
      <numFmt numFmtId="4" formatCode="#,##0.00"/>
    </dxf>
  </rfmt>
  <rcc rId="2092" sId="20">
    <nc r="V56">
      <f>Electricity!J48</f>
    </nc>
  </rcc>
  <rcc rId="2093" sId="20" odxf="1" dxf="1">
    <nc r="W56" t="inlineStr">
      <is>
        <t>tCO2/MWh</t>
      </is>
    </nc>
    <odxf/>
    <ndxf/>
  </rcc>
  <rfmt sheetId="20" sqref="P56" start="0" length="0">
    <dxf>
      <font>
        <sz val="9"/>
        <color auto="1"/>
        <name val="Arial"/>
        <family val="2"/>
        <scheme val="none"/>
      </font>
    </dxf>
  </rfmt>
  <rfmt sheetId="20" sqref="P55" start="0" length="0">
    <dxf>
      <numFmt numFmtId="170" formatCode="0.000"/>
      <alignment vertical="top"/>
    </dxf>
  </rfmt>
  <rcc rId="2094" sId="20" odxf="1" dxf="1">
    <nc r="P56" t="inlineStr">
      <is>
        <t>=Electricity!F48</t>
      </is>
    </nc>
    <ndxf>
      <numFmt numFmtId="170" formatCode="0.000"/>
      <alignment vertical="top"/>
    </ndxf>
  </rcc>
  <rcc rId="2095" sId="20" odxf="1" dxf="1">
    <nc r="Q56" t="inlineStr">
      <is>
        <t>tCO2/MWh</t>
      </is>
    </nc>
    <odxf>
      <font>
        <family val="2"/>
      </font>
      <numFmt numFmtId="30" formatCode="@"/>
      <alignment vertical="bottom"/>
    </odxf>
    <ndxf>
      <font>
        <sz val="9"/>
        <color auto="1"/>
        <name val="Arial"/>
        <family val="2"/>
        <scheme val="none"/>
      </font>
      <numFmt numFmtId="0" formatCode="General"/>
      <alignment vertical="top"/>
    </ndxf>
  </rcc>
  <rcc rId="2096" sId="20" odxf="1" dxf="1">
    <nc r="A58" t="inlineStr">
      <is>
        <t>Light rail emissons</t>
      </is>
    </nc>
    <odxf>
      <font>
        <family val="2"/>
      </font>
    </odxf>
    <ndxf>
      <font>
        <sz val="9"/>
        <color auto="1"/>
        <name val="Arial"/>
        <family val="2"/>
        <scheme val="none"/>
      </font>
    </ndxf>
  </rcc>
  <rcc rId="2097" sId="20" odxf="1" dxf="1">
    <nc r="A59" t="inlineStr">
      <is>
        <t>SCL</t>
      </is>
    </nc>
    <odxf>
      <font>
        <family val="2"/>
      </font>
    </odxf>
    <ndxf>
      <font>
        <sz val="9"/>
        <color auto="1"/>
        <name val="Arial"/>
        <family val="2"/>
        <scheme val="none"/>
      </font>
    </ndxf>
  </rcc>
  <rrc rId="2098" sId="20" eol="1" ref="A60:XFD60" action="insertRow"/>
  <rcc rId="2099" sId="20">
    <nc r="A60" t="inlineStr">
      <is>
        <t>PSE</t>
      </is>
    </nc>
  </rcc>
  <rrc rId="2100" sId="20" eol="1" ref="A61:XFD61" action="insertRow"/>
  <rcc rId="2101" sId="20">
    <nc r="A61" t="inlineStr">
      <is>
        <t>Total</t>
      </is>
    </nc>
  </rcc>
  <rfmt sheetId="20" sqref="P59" start="0" length="0">
    <dxf>
      <font>
        <sz val="9"/>
        <color auto="1"/>
        <name val="Arial"/>
        <family val="2"/>
        <scheme val="none"/>
      </font>
    </dxf>
  </rfmt>
  <rcc rId="2102" sId="20" odxf="1" dxf="1">
    <nc r="W59" t="inlineStr">
      <is>
        <t>tCO2e</t>
      </is>
    </nc>
    <odxf>
      <numFmt numFmtId="0" formatCode="General"/>
    </odxf>
    <ndxf>
      <numFmt numFmtId="30" formatCode="@"/>
    </ndxf>
  </rcc>
  <rfmt sheetId="20" sqref="W60" start="0" length="0">
    <dxf>
      <numFmt numFmtId="30" formatCode="@"/>
    </dxf>
  </rfmt>
  <rfmt sheetId="20" sqref="Q59" start="0" length="0">
    <dxf>
      <font>
        <sz val="9"/>
        <color auto="1"/>
        <name val="Arial"/>
        <family val="2"/>
        <scheme val="none"/>
      </font>
    </dxf>
  </rfmt>
  <rcc rId="2103" sId="20">
    <nc r="W46" t="inlineStr">
      <is>
        <t>MWh</t>
      </is>
    </nc>
  </rcc>
  <rcc rId="2104" sId="20">
    <nc r="V46">
      <f>V45/1000</f>
    </nc>
  </rcc>
  <rfmt sheetId="20" sqref="V47" start="0" length="0">
    <dxf>
      <numFmt numFmtId="3" formatCode="#,##0"/>
      <alignment horizontal="right" vertical="bottom"/>
    </dxf>
  </rfmt>
  <rfmt sheetId="20" sqref="W47" start="0" length="0">
    <dxf>
      <numFmt numFmtId="30" formatCode="@"/>
      <alignment vertical="bottom"/>
    </dxf>
  </rfmt>
  <rfmt sheetId="20" sqref="V48" start="0" length="0">
    <dxf>
      <font>
        <sz val="9"/>
        <color auto="1"/>
        <name val="Arial"/>
        <family val="2"/>
        <scheme val="none"/>
      </font>
      <numFmt numFmtId="3" formatCode="#,##0"/>
      <alignment horizontal="right" vertical="bottom"/>
    </dxf>
  </rfmt>
  <rcc rId="2105" sId="20" odxf="1" dxf="1">
    <nc r="W48" t="inlineStr">
      <is>
        <t>kWh</t>
      </is>
    </nc>
    <odxf>
      <numFmt numFmtId="0" formatCode="General"/>
      <alignment vertical="top"/>
    </odxf>
    <ndxf>
      <numFmt numFmtId="30" formatCode="@"/>
      <alignment vertical="bottom"/>
    </ndxf>
  </rcc>
  <rcc rId="2106" sId="20" odxf="1" dxf="1">
    <nc r="V49">
      <f>V48/1000</f>
    </nc>
    <odxf>
      <font>
        <sz val="9"/>
        <color auto="1"/>
        <name val="Arial"/>
        <family val="2"/>
        <scheme val="none"/>
      </font>
      <numFmt numFmtId="0" formatCode="General"/>
      <alignment horizontal="general" vertical="top"/>
    </odxf>
    <ndxf>
      <font>
        <sz val="9"/>
        <color auto="1"/>
        <name val="Arial"/>
        <family val="2"/>
        <scheme val="none"/>
      </font>
      <numFmt numFmtId="3" formatCode="#,##0"/>
      <alignment horizontal="right" vertical="bottom"/>
    </ndxf>
  </rcc>
  <rcc rId="2107" sId="20" odxf="1" dxf="1">
    <nc r="W49" t="inlineStr">
      <is>
        <t>MWh</t>
      </is>
    </nc>
    <odxf>
      <numFmt numFmtId="0" formatCode="General"/>
      <alignment vertical="top"/>
    </odxf>
    <ndxf>
      <numFmt numFmtId="30" formatCode="@"/>
      <alignment vertical="bottom"/>
    </ndxf>
  </rcc>
  <rfmt sheetId="20" sqref="V50" start="0" length="0">
    <dxf>
      <font>
        <sz val="9"/>
        <color auto="1"/>
        <name val="Arial"/>
        <family val="2"/>
        <scheme val="none"/>
      </font>
      <numFmt numFmtId="3" formatCode="#,##0"/>
      <alignment horizontal="right" vertical="bottom"/>
    </dxf>
  </rfmt>
  <rfmt sheetId="20" sqref="W50" start="0" length="0">
    <dxf>
      <numFmt numFmtId="30" formatCode="@"/>
      <alignment vertical="bottom"/>
    </dxf>
  </rfmt>
  <rfmt sheetId="20" sqref="V51" start="0" length="0">
    <dxf>
      <numFmt numFmtId="3" formatCode="#,##0"/>
      <alignment horizontal="right" vertical="bottom"/>
    </dxf>
  </rfmt>
  <rcc rId="2108" sId="20" odxf="1" dxf="1">
    <nc r="W51" t="inlineStr">
      <is>
        <t>kWh</t>
      </is>
    </nc>
    <odxf>
      <numFmt numFmtId="0" formatCode="General"/>
      <alignment vertical="top"/>
    </odxf>
    <ndxf>
      <numFmt numFmtId="30" formatCode="@"/>
      <alignment vertical="bottom"/>
    </ndxf>
  </rcc>
  <rcc rId="2109" sId="20" odxf="1" dxf="1">
    <nc r="V52">
      <f>V51/1000</f>
    </nc>
    <odxf>
      <font>
        <sz val="9"/>
        <color auto="1"/>
        <name val="Arial"/>
        <family val="2"/>
        <scheme val="none"/>
      </font>
      <numFmt numFmtId="0" formatCode="General"/>
      <alignment horizontal="general" vertical="top"/>
    </odxf>
    <ndxf>
      <font>
        <sz val="9"/>
        <color auto="1"/>
        <name val="Arial"/>
        <family val="2"/>
        <scheme val="none"/>
      </font>
      <numFmt numFmtId="3" formatCode="#,##0"/>
      <alignment horizontal="right" vertical="bottom"/>
    </ndxf>
  </rcc>
  <rcc rId="2110" sId="20" odxf="1" dxf="1">
    <nc r="W52" t="inlineStr">
      <is>
        <t>MWh</t>
      </is>
    </nc>
    <odxf>
      <numFmt numFmtId="0" formatCode="General"/>
      <alignment vertical="top"/>
    </odxf>
    <ndxf>
      <numFmt numFmtId="30" formatCode="@"/>
      <alignment vertical="bottom"/>
    </ndxf>
  </rcc>
  <rcc rId="2111" sId="20" numFmtId="4">
    <nc r="V48">
      <v>0</v>
    </nc>
  </rcc>
  <rcc rId="2112" sId="20">
    <oc r="AC51">
      <f>SUM(AC45:AC48)</f>
    </oc>
    <nc r="AC51">
      <f>SUM(AC45,AC48)</f>
    </nc>
  </rcc>
  <rcc rId="2113" sId="20">
    <nc r="V51">
      <f>SUM(V45,V48)</f>
    </nc>
  </rcc>
  <rcc rId="2114" sId="20" odxf="1" dxf="1">
    <nc r="W60" t="inlineStr">
      <is>
        <t>tCO2e</t>
      </is>
    </nc>
    <ndxf/>
  </rcc>
  <rcc rId="2115" sId="20" odxf="1" dxf="1">
    <nc r="W61" t="inlineStr">
      <is>
        <t>tCO2e</t>
      </is>
    </nc>
    <odxf>
      <numFmt numFmtId="0" formatCode="General"/>
    </odxf>
    <ndxf>
      <numFmt numFmtId="30" formatCode="@"/>
    </ndxf>
  </rcc>
  <rrc rId="2116" sId="20" eol="1" ref="A62:XFD62" action="insertRow"/>
  <rcc rId="2117" sId="20">
    <nc r="W62" t="inlineStr">
      <is>
        <t>MgCO2e</t>
      </is>
    </nc>
  </rcc>
  <rfmt sheetId="20" sqref="W62">
    <dxf>
      <font>
        <b val="0"/>
        <i val="0"/>
        <strike val="0"/>
        <condense val="0"/>
        <extend val="0"/>
        <outline val="0"/>
        <shadow val="0"/>
        <u val="none"/>
        <vertAlign val="baseline"/>
        <sz val="9"/>
        <color auto="1"/>
        <name val="Arial"/>
        <family val="2"/>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right/>
        <top/>
        <bottom/>
      </border>
    </dxf>
  </rfmt>
  <rcc rId="2118" sId="20" odxf="1" dxf="1">
    <nc r="V59">
      <f>V55*V46</f>
    </nc>
    <odxf>
      <numFmt numFmtId="0" formatCode="General"/>
    </odxf>
    <ndxf>
      <numFmt numFmtId="189" formatCode="_(* #,##0.000_);_(* \(#,##0.000\);_(* &quot;-&quot;???_);_(@_)"/>
    </ndxf>
  </rcc>
  <rcc rId="2119" sId="20">
    <nc r="V60">
      <f>V56*V48</f>
    </nc>
  </rcc>
  <rcc rId="2120" sId="20" odxf="1" dxf="1">
    <nc r="V61">
      <f>SUM(V59:V60)</f>
    </nc>
    <odxf>
      <numFmt numFmtId="0" formatCode="General"/>
    </odxf>
    <ndxf>
      <numFmt numFmtId="35" formatCode="_(* #,##0.00_);_(* \(#,##0.00\);_(* &quot;-&quot;??_);_(@_)"/>
    </ndxf>
  </rcc>
  <rfmt sheetId="20" sqref="A61:XFD61" start="0" length="2147483647">
    <dxf>
      <font>
        <b/>
        <family val="2"/>
      </font>
    </dxf>
  </rfmt>
  <rfmt sheetId="20" sqref="A51:XFD52" start="0" length="2147483647">
    <dxf>
      <font>
        <b/>
        <family val="2"/>
      </font>
    </dxf>
  </rfmt>
  <rcc rId="2121" sId="20" odxf="1" dxf="1">
    <nc r="V62">
      <f>V61*tonTOMg</f>
    </nc>
    <odxf>
      <numFmt numFmtId="0" formatCode="General"/>
    </odxf>
    <ndxf>
      <numFmt numFmtId="35" formatCode="_(* #,##0.00_);_(* \(#,##0.00\);_(* &quot;-&quot;??_);_(@_)"/>
    </ndxf>
  </rcc>
  <rfmt sheetId="20" sqref="A62:XFD62">
    <dxf>
      <fill>
        <patternFill patternType="solid">
          <bgColor theme="9"/>
        </patternFill>
      </fill>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A7" guid="{00000000-0000-0000-0000-000000000000}" action="delete" alwaysShow="1" author="Andrea Martin"/>
  <rrc rId="37" sId="9" ref="A7:XFD7" action="deleteRow">
    <undo index="4" exp="ref" v="1" dr="J7" r="M37" sId="9"/>
    <undo index="4" exp="ref" v="1" dr="F7" r="I37" sId="9"/>
    <undo index="4" exp="ref" v="1" dr="B7" r="E37" sId="9"/>
    <rfmt sheetId="9" xfDxf="1" sqref="A7:XFD7" start="0" length="0"/>
    <rcc rId="0" sId="9" dxf="1">
      <nc r="A7" t="inlineStr">
        <is>
          <t>GHGs associated with KC load</t>
        </is>
      </nc>
      <ndxf>
        <numFmt numFmtId="30" formatCode="@"/>
        <fill>
          <patternFill patternType="solid">
            <bgColor rgb="FFFFFF00"/>
          </patternFill>
        </fill>
        <border outline="0">
          <right style="thin">
            <color indexed="64"/>
          </right>
        </border>
      </ndxf>
    </rcc>
    <rfmt sheetId="9" sqref="B7" start="0" length="0">
      <dxf>
        <font>
          <b/>
          <sz val="9"/>
          <color auto="1"/>
          <name val="Arial"/>
          <scheme val="none"/>
        </font>
        <numFmt numFmtId="3" formatCode="#,##0"/>
        <alignment horizontal="right" readingOrder="0"/>
      </dxf>
    </rfmt>
    <rfmt sheetId="9" sqref="C7" start="0" length="0">
      <dxf>
        <font>
          <b/>
          <sz val="9"/>
          <color auto="1"/>
          <name val="Arial"/>
          <scheme val="none"/>
        </font>
      </dxf>
    </rfmt>
    <rfmt sheetId="9" sqref="D7" start="0" length="0">
      <dxf>
        <numFmt numFmtId="30" formatCode="@"/>
      </dxf>
    </rfmt>
    <rfmt sheetId="9" sqref="E7" start="0" length="0">
      <dxf>
        <numFmt numFmtId="30" formatCode="@"/>
        <border outline="0">
          <right style="thin">
            <color indexed="64"/>
          </right>
        </border>
      </dxf>
    </rfmt>
    <rfmt sheetId="9" sqref="F7" start="0" length="0">
      <dxf>
        <font>
          <b/>
          <sz val="9"/>
          <color auto="1"/>
          <name val="Arial"/>
          <scheme val="none"/>
        </font>
        <numFmt numFmtId="3" formatCode="#,##0"/>
        <alignment horizontal="right" readingOrder="0"/>
      </dxf>
    </rfmt>
    <rfmt sheetId="9" sqref="G7" start="0" length="0">
      <dxf>
        <font>
          <b/>
          <sz val="9"/>
          <color auto="1"/>
          <name val="Arial"/>
          <scheme val="none"/>
        </font>
      </dxf>
    </rfmt>
    <rfmt sheetId="9" sqref="H7" start="0" length="0">
      <dxf>
        <numFmt numFmtId="30" formatCode="@"/>
      </dxf>
    </rfmt>
    <rfmt sheetId="9" sqref="I7" start="0" length="0">
      <dxf>
        <numFmt numFmtId="30" formatCode="@"/>
        <border outline="0">
          <right style="thin">
            <color indexed="64"/>
          </right>
        </border>
      </dxf>
    </rfmt>
    <rfmt sheetId="9" sqref="J7" start="0" length="0">
      <dxf>
        <font>
          <b/>
          <sz val="9"/>
          <color auto="1"/>
          <name val="Arial"/>
          <scheme val="none"/>
        </font>
        <numFmt numFmtId="3" formatCode="#,##0"/>
        <alignment horizontal="right" readingOrder="0"/>
      </dxf>
    </rfmt>
    <rfmt sheetId="9" sqref="K7" start="0" length="0">
      <dxf>
        <font>
          <b/>
          <sz val="9"/>
          <color auto="1"/>
          <name val="Arial"/>
          <scheme val="none"/>
        </font>
      </dxf>
    </rfmt>
    <rfmt sheetId="9" sqref="L7" start="0" length="0">
      <dxf>
        <numFmt numFmtId="30" formatCode="@"/>
      </dxf>
    </rfmt>
    <rfmt sheetId="9" sqref="M7" start="0" length="0">
      <dxf>
        <numFmt numFmtId="30" formatCode="@"/>
        <border outline="0">
          <right style="thin">
            <color indexed="64"/>
          </right>
        </border>
      </dxf>
    </rfmt>
    <rfmt sheetId="9" s="1" sqref="N7" start="0" length="0">
      <dxf>
        <font>
          <b/>
          <sz val="9"/>
          <color auto="1"/>
          <name val="Arial"/>
          <scheme val="none"/>
        </font>
        <numFmt numFmtId="187" formatCode="_(* #,##0.00000_);_(* \(#,##0.00000\);_(* &quot;-&quot;??_);_(@_)"/>
        <alignment horizontal="right" readingOrder="0"/>
      </dxf>
    </rfmt>
    <rfmt sheetId="9" sqref="O7" start="0" length="0">
      <dxf>
        <font>
          <b/>
          <sz val="9"/>
          <color auto="1"/>
          <name val="Arial"/>
          <scheme val="none"/>
        </font>
      </dxf>
    </rfmt>
    <rfmt sheetId="9" sqref="Q7" start="0" length="0">
      <dxf>
        <border outline="0">
          <right style="thin">
            <color indexed="64"/>
          </right>
        </border>
      </dxf>
    </rfmt>
  </rrc>
  <rcc rId="38" sId="9">
    <oc r="H11" t="inlineStr">
      <is>
        <t>08-60-4</t>
      </is>
    </oc>
    <nc r="H11" t="inlineStr">
      <is>
        <t>08-60-4 - Data missing</t>
      </is>
    </nc>
  </rcc>
  <rcc rId="39" sId="9" odxf="1" dxf="1">
    <oc r="H12" t="inlineStr">
      <is>
        <t>08-60-4</t>
      </is>
    </oc>
    <nc r="H12" t="inlineStr">
      <is>
        <t>08-60-4 - Data missing</t>
      </is>
    </nc>
    <odxf>
      <font/>
    </odxf>
    <ndxf>
      <font>
        <sz val="9"/>
        <color auto="1"/>
        <name val="Arial"/>
        <scheme val="none"/>
      </font>
    </ndxf>
  </rcc>
  <rcc rId="40" sId="9" odxf="1" dxf="1">
    <oc r="H13" t="inlineStr">
      <is>
        <t>08-60-4</t>
      </is>
    </oc>
    <nc r="H13" t="inlineStr">
      <is>
        <t>08-60-4 - Data missing</t>
      </is>
    </nc>
    <odxf>
      <font/>
    </odxf>
    <ndxf>
      <font>
        <sz val="9"/>
        <color auto="1"/>
        <name val="Arial"/>
        <scheme val="none"/>
      </font>
    </ndxf>
  </rcc>
  <rcc rId="41" sId="9" odxf="1" dxf="1">
    <oc r="H14" t="inlineStr">
      <is>
        <t>08-60-4</t>
      </is>
    </oc>
    <nc r="H14" t="inlineStr">
      <is>
        <t>08-60-4 - Data missing</t>
      </is>
    </nc>
    <odxf>
      <font/>
    </odxf>
    <ndxf>
      <font>
        <sz val="9"/>
        <color auto="1"/>
        <name val="Arial"/>
        <scheme val="none"/>
      </font>
    </ndxf>
  </rcc>
  <rcmt sheetId="9" cell="H12" guid="{00000000-0000-0000-0000-000000000000}" action="delete" alwaysShow="1" author="Andrea Martin"/>
  <rcmt sheetId="9" cell="H13" guid="{00000000-0000-0000-0000-000000000000}" action="delete" alwaysShow="1" author="Andrea Martin"/>
  <rcmt sheetId="9" cell="H14" guid="{00000000-0000-0000-0000-000000000000}" action="delete" alwaysShow="1" author="Andrea Martin"/>
  <rcmt sheetId="9" cell="H11" guid="{00000000-0000-0000-0000-000000000000}" action="delete" alwaysShow="1" author="Andrea Martin"/>
  <rcmt sheetId="9" cell="I16" guid="{00000000-0000-0000-0000-000000000000}" action="delete" alwaysShow="1" author="Andrea Martin"/>
  <rcmt sheetId="9" cell="I17" guid="{00000000-0000-0000-0000-000000000000}" action="delete" alwaysShow="1" author="Andrea Martin"/>
  <rcc rId="42" sId="9" quotePrefix="1">
    <oc r="M17" t="inlineStr">
      <is>
        <t>cell AV10</t>
      </is>
    </oc>
    <nc r="M17" t="inlineStr">
      <is>
        <t>Cell P10</t>
      </is>
    </nc>
  </rcc>
  <rcc rId="43" sId="9" quotePrefix="1">
    <oc r="M16" t="inlineStr">
      <is>
        <t>cell AV9</t>
      </is>
    </oc>
    <nc r="M16" t="inlineStr">
      <is>
        <t>Cell P09</t>
      </is>
    </nc>
  </rcc>
  <rcc rId="44" sId="9">
    <oc r="M36">
      <f>SUM(J26,J31,J36)=#REF!</f>
    </oc>
    <nc r="M36"/>
  </rcc>
  <rcmt sheetId="9" cell="M36" guid="{00000000-0000-0000-0000-000000000000}" action="delete" alwaysShow="1" author="Andrea Martin"/>
  <rfmt sheetId="9" sqref="M36">
    <dxf>
      <fill>
        <patternFill patternType="none">
          <bgColor auto="1"/>
        </patternFill>
      </fill>
    </dxf>
  </rfmt>
  <rfmt sheetId="9" sqref="A75:A77" start="0" length="0">
    <dxf>
      <alignment relativeIndent="-1" readingOrder="0"/>
    </dxf>
  </rfmt>
  <rfmt sheetId="9" sqref="A75:A77" start="0" length="0">
    <dxf>
      <alignment relativeIndent="-1" readingOrder="0"/>
    </dxf>
  </rfmt>
  <rfmt sheetId="9" sqref="A75:A77" start="0" length="0">
    <dxf>
      <alignment relativeIndent="-1" readingOrder="0"/>
    </dxf>
  </rfmt>
  <rrc rId="45" sId="9" ref="A75:XFD75" action="insertRow"/>
  <rfmt sheetId="9" sqref="A75:XFD75">
    <dxf>
      <fill>
        <patternFill patternType="none">
          <bgColor auto="1"/>
        </patternFill>
      </fill>
    </dxf>
  </rfmt>
  <rcmt sheetId="9" cell="B78" guid="{00000000-0000-0000-0000-000000000000}" action="delete" alwaysShow="1" author="Andrea Martin"/>
  <rfmt sheetId="9" sqref="B77:B78">
    <dxf>
      <fill>
        <patternFill patternType="none">
          <bgColor auto="1"/>
        </patternFill>
      </fill>
    </dxf>
  </rfmt>
  <rcc rId="46" sId="9">
    <oc r="B76">
      <f>B74/popKC03</f>
    </oc>
    <nc r="B76">
      <f>(B74+B43)/popKC03</f>
    </nc>
  </rcc>
  <rcc rId="47" sId="9">
    <oc r="F76">
      <f>F74/popKC08</f>
    </oc>
    <nc r="F76">
      <f>(F74+F43)/popKC08</f>
    </nc>
  </rcc>
  <rcmt sheetId="9" cell="F77" guid="{00000000-0000-0000-0000-000000000000}" action="delete" alwaysShow="1" author="Andrea Martin"/>
  <rfmt sheetId="9" sqref="F76:F78">
    <dxf>
      <fill>
        <patternFill patternType="none">
          <bgColor auto="1"/>
        </patternFill>
      </fill>
    </dxf>
  </rfmt>
  <rcc rId="48" sId="9">
    <oc r="J76">
      <f>J74/popKC10</f>
    </oc>
    <nc r="J76">
      <f>(J74+J43)/popKC10</f>
    </nc>
  </rcc>
  <rcmt sheetId="9" cell="N76" guid="{00000000-0000-0000-0000-000000000000}" action="delete" alwaysShow="1" author="Andrea Martin"/>
  <rcc rId="49" sId="9">
    <oc r="N76">
      <f>N74/popKC15</f>
    </oc>
    <nc r="N76">
      <f>(N74+N43)/popKC15</f>
    </nc>
  </rcc>
  <rfmt sheetId="9" sqref="N76">
    <dxf>
      <fill>
        <patternFill patternType="none">
          <bgColor auto="1"/>
        </patternFill>
      </fill>
    </dxf>
  </rfmt>
  <rcmt sheetId="9" cell="P18" guid="{00000000-0000-0000-0000-000000000000}" action="delete" alwaysShow="1" author="Andrea Martin"/>
  <rfmt sheetId="9" sqref="P18">
    <dxf>
      <fill>
        <patternFill patternType="none">
          <bgColor auto="1"/>
        </patternFill>
      </fill>
    </dxf>
  </rfmt>
  <rcc rId="50" sId="9">
    <oc r="I36">
      <f>SUM(F26,F31,F36)=#REF!</f>
    </oc>
    <nc r="I36"/>
  </rcc>
  <rfmt sheetId="9" sqref="I30:I39">
    <dxf>
      <fill>
        <patternFill patternType="none">
          <bgColor auto="1"/>
        </patternFill>
      </fill>
    </dxf>
  </rfmt>
  <rcmt sheetId="9" cell="I36" guid="{00000000-0000-0000-0000-000000000000}" action="delete" alwaysShow="1" author="Andrea Martin"/>
  <rcc rId="51" sId="9">
    <oc r="E36">
      <f>SUM(B26,B31,B36)=#REF!</f>
    </oc>
    <nc r="E36"/>
  </rcc>
  <rcmt sheetId="9" cell="N6" guid="{75A78988-A6A6-475C-B749-A6442B2B314C}" alwaysShow="1" author="Andrea Martin" oldLength="272" newLength="14"/>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A62:XFD62" start="0" length="2147483647">
    <dxf>
      <font>
        <b/>
        <family val="2"/>
      </font>
    </dxf>
  </rfmt>
  <rcc rId="2122" sId="20">
    <nc r="A62" t="inlineStr">
      <is>
        <t>Light rail electricity emissions</t>
      </is>
    </nc>
  </rcc>
  <rfmt sheetId="20" sqref="AC59" start="0" length="0">
    <dxf>
      <font>
        <sz val="9"/>
        <color auto="1"/>
        <name val="Arial"/>
        <family val="2"/>
        <scheme val="none"/>
      </font>
      <numFmt numFmtId="35" formatCode="_(* #,##0.00_);_(* \(#,##0.00\);_(* &quot;-&quot;??_);_(@_)"/>
      <alignment horizontal="general"/>
    </dxf>
  </rfmt>
  <rfmt sheetId="20" sqref="AD59" start="0" length="0">
    <dxf>
      <font>
        <sz val="9"/>
        <color auto="1"/>
        <name val="Arial"/>
        <family val="2"/>
        <scheme val="none"/>
      </font>
    </dxf>
  </rfmt>
  <rfmt sheetId="20" sqref="AC60" start="0" length="0">
    <dxf>
      <numFmt numFmtId="0" formatCode="General"/>
      <alignment horizontal="general"/>
    </dxf>
  </rfmt>
  <rfmt sheetId="20" sqref="AD60" start="0" length="0">
    <dxf/>
  </rfmt>
  <rfmt sheetId="20" sqref="AC61" start="0" length="0">
    <dxf>
      <numFmt numFmtId="35" formatCode="_(* #,##0.00_);_(* \(#,##0.00\);_(* &quot;-&quot;??_);_(@_)"/>
      <alignment horizontal="general"/>
    </dxf>
  </rfmt>
  <rfmt sheetId="20" sqref="AD61" start="0" length="0">
    <dxf/>
  </rfmt>
  <rfmt sheetId="20" sqref="AC62" start="0" length="0">
    <dxf>
      <numFmt numFmtId="35" formatCode="_(* #,##0.00_);_(* \(#,##0.00\);_(* &quot;-&quot;??_);_(@_)"/>
      <alignment horizontal="general"/>
    </dxf>
  </rfmt>
  <rfmt sheetId="20" sqref="AC59:AC62">
    <dxf>
      <numFmt numFmtId="183" formatCode="_(* #,##0.000_);_(* \(#,##0.000\);_(* &quot;-&quot;??_);_(@_)"/>
    </dxf>
  </rfmt>
  <rfmt sheetId="20" sqref="AC59:AC62">
    <dxf>
      <numFmt numFmtId="188" formatCode="_(* #,##0.0000_);_(* \(#,##0.0000\);_(* &quot;-&quot;??_);_(@_)"/>
    </dxf>
  </rfmt>
  <rfmt sheetId="20" sqref="AC59:AC62">
    <dxf>
      <numFmt numFmtId="183" formatCode="_(* #,##0.000_);_(* \(#,##0.000\);_(* &quot;-&quot;??_);_(@_)"/>
    </dxf>
  </rfmt>
  <rfmt sheetId="20" sqref="AC59:AC62">
    <dxf>
      <numFmt numFmtId="35" formatCode="_(* #,##0.00_);_(* \(#,##0.00\);_(* &quot;-&quot;??_);_(@_)"/>
    </dxf>
  </rfmt>
  <rfmt sheetId="20" sqref="AC59:AC62">
    <dxf>
      <numFmt numFmtId="182" formatCode="_(* #,##0.0_);_(* \(#,##0.0\);_(* &quot;-&quot;??_);_(@_)"/>
    </dxf>
  </rfmt>
  <rfmt sheetId="20" sqref="AC59:AC62">
    <dxf>
      <numFmt numFmtId="181" formatCode="_(* #,##0_);_(* \(#,##0\);_(* &quot;-&quot;??_);_(@_)"/>
    </dxf>
  </rfmt>
  <rcc rId="2123" sId="20">
    <oc r="V60">
      <f>V56*V48</f>
    </oc>
    <nc r="V60">
      <f>V56*V49</f>
    </nc>
  </rcc>
  <rcc rId="2124" sId="20" odxf="1" dxf="1">
    <nc r="AC59">
      <f>AC55*AC46</f>
    </nc>
    <ndxf>
      <numFmt numFmtId="35" formatCode="_(* #,##0.00_);_(* \(#,##0.00\);_(* &quot;-&quot;??_);_(@_)"/>
    </ndxf>
  </rcc>
  <rcc rId="2125" sId="20">
    <nc r="AD59" t="inlineStr">
      <is>
        <t>tCO2e</t>
      </is>
    </nc>
  </rcc>
  <rcc rId="2126" sId="20" odxf="1" dxf="1">
    <nc r="AC60">
      <f>AC56*AC49</f>
    </nc>
    <ndxf>
      <numFmt numFmtId="0" formatCode="General"/>
    </ndxf>
  </rcc>
  <rcc rId="2127" sId="20">
    <nc r="AD60" t="inlineStr">
      <is>
        <t>tCO2e</t>
      </is>
    </nc>
  </rcc>
  <rcc rId="2128" sId="20" odxf="1" dxf="1">
    <nc r="AC61">
      <f>SUM(AC59:AC60)</f>
    </nc>
    <ndxf>
      <numFmt numFmtId="35" formatCode="_(* #,##0.00_);_(* \(#,##0.00\);_(* &quot;-&quot;??_);_(@_)"/>
    </ndxf>
  </rcc>
  <rcc rId="2129" sId="20">
    <nc r="AD61" t="inlineStr">
      <is>
        <t>tCO2e</t>
      </is>
    </nc>
  </rcc>
  <rcc rId="2130" sId="20" odxf="1" dxf="1">
    <nc r="AC62">
      <f>AC61*tonTOMg</f>
    </nc>
    <ndxf>
      <numFmt numFmtId="35" formatCode="_(* #,##0.00_);_(* \(#,##0.00\);_(* &quot;-&quot;??_);_(@_)"/>
    </ndxf>
  </rcc>
  <rcc rId="2131" sId="20">
    <nc r="AD62" t="inlineStr">
      <is>
        <t>MgCO2e</t>
      </is>
    </nc>
  </rcc>
  <rfmt sheetId="20" sqref="AC59:AC62">
    <dxf>
      <numFmt numFmtId="183" formatCode="_(* #,##0.000_);_(* \(#,##0.000\);_(* &quot;-&quot;??_);_(@_)"/>
    </dxf>
  </rfmt>
  <rfmt sheetId="20" sqref="AC59:AC62">
    <dxf>
      <numFmt numFmtId="188" formatCode="_(* #,##0.0000_);_(* \(#,##0.0000\);_(* &quot;-&quot;??_);_(@_)"/>
    </dxf>
  </rfmt>
  <rfmt sheetId="20" sqref="AC59:AC62">
    <dxf>
      <numFmt numFmtId="183" formatCode="_(* #,##0.000_);_(* \(#,##0.000\);_(* &quot;-&quot;??_);_(@_)"/>
    </dxf>
  </rfmt>
  <rfmt sheetId="20" sqref="AC59:AC62">
    <dxf>
      <numFmt numFmtId="35" formatCode="_(* #,##0.00_);_(* \(#,##0.00\);_(* &quot;-&quot;??_);_(@_)"/>
    </dxf>
  </rfmt>
  <rfmt sheetId="20" sqref="AC59:AC62">
    <dxf>
      <numFmt numFmtId="182" formatCode="_(* #,##0.0_);_(* \(#,##0.0\);_(* &quot;-&quot;??_);_(@_)"/>
    </dxf>
  </rfmt>
  <rfmt sheetId="20" sqref="AC59:AC62">
    <dxf>
      <numFmt numFmtId="181" formatCode="_(* #,##0_);_(* \(#,##0\);_(* &quot;-&quot;??_);_(@_)"/>
    </dxf>
  </rfmt>
  <rcc rId="2132" sId="20" odxf="1" dxf="1">
    <nc r="P59">
      <f>P55*P46</f>
    </nc>
    <odxf>
      <numFmt numFmtId="30" formatCode="@"/>
    </odxf>
    <ndxf>
      <numFmt numFmtId="35" formatCode="_(* #,##0.00_);_(* \(#,##0.00\);_(* &quot;-&quot;??_);_(@_)"/>
    </ndxf>
  </rcc>
  <rcc rId="2133" sId="20">
    <nc r="Q59" t="inlineStr">
      <is>
        <t>tCO2e</t>
      </is>
    </nc>
  </rcc>
  <rcc rId="2134" sId="20" odxf="1" dxf="1">
    <nc r="P60">
      <f>P56*P49</f>
    </nc>
    <odxf>
      <numFmt numFmtId="30" formatCode="@"/>
    </odxf>
    <ndxf>
      <numFmt numFmtId="0" formatCode="General"/>
    </ndxf>
  </rcc>
  <rcc rId="2135" sId="20" odxf="1" dxf="1">
    <nc r="Q60" t="inlineStr">
      <is>
        <t>tCO2e</t>
      </is>
    </nc>
    <odxf/>
    <ndxf/>
  </rcc>
  <rcc rId="2136" sId="20" odxf="1" dxf="1">
    <nc r="P61">
      <f>SUM(P59:P60)</f>
    </nc>
    <odxf>
      <numFmt numFmtId="30" formatCode="@"/>
    </odxf>
    <ndxf>
      <numFmt numFmtId="35" formatCode="_(* #,##0.00_);_(* \(#,##0.00\);_(* &quot;-&quot;??_);_(@_)"/>
    </ndxf>
  </rcc>
  <rcc rId="2137" sId="20" odxf="1" dxf="1">
    <nc r="Q61" t="inlineStr">
      <is>
        <t>tCO2e</t>
      </is>
    </nc>
    <odxf/>
    <ndxf/>
  </rcc>
  <rcc rId="2138" sId="20" odxf="1" dxf="1">
    <nc r="P62">
      <f>P61*tonTOMg</f>
    </nc>
    <odxf>
      <numFmt numFmtId="30" formatCode="@"/>
    </odxf>
    <ndxf>
      <numFmt numFmtId="35" formatCode="_(* #,##0.00_);_(* \(#,##0.00\);_(* &quot;-&quot;??_);_(@_)"/>
    </ndxf>
  </rcc>
  <rcc rId="2139" sId="20">
    <nc r="Q62" t="inlineStr">
      <is>
        <t>MgCO2e</t>
      </is>
    </nc>
  </rcc>
  <rfmt sheetId="20" sqref="P55">
    <dxf>
      <numFmt numFmtId="0" formatCode="General"/>
    </dxf>
  </rfmt>
  <rcc rId="2140" sId="20">
    <oc r="P55" t="inlineStr">
      <is>
        <t>=Electricity!F8</t>
      </is>
    </oc>
    <nc r="P55">
      <f>Electricity!F8</f>
    </nc>
  </rcc>
  <rcc rId="2141" sId="20">
    <oc r="P56" t="inlineStr">
      <is>
        <t>=Electricity!F48</t>
      </is>
    </oc>
    <nc r="P56">
      <f>Electricity!F48</f>
    </nc>
  </rcc>
  <rfmt sheetId="20" sqref="P55:P56">
    <dxf>
      <numFmt numFmtId="167" formatCode="0.0000000"/>
    </dxf>
  </rfmt>
  <rfmt sheetId="20" sqref="P55:P56">
    <dxf>
      <numFmt numFmtId="172" formatCode="0.000000"/>
    </dxf>
  </rfmt>
  <rfmt sheetId="20" sqref="P55:P56">
    <dxf>
      <numFmt numFmtId="171" formatCode="0.00000"/>
    </dxf>
  </rfmt>
  <rfmt sheetId="20" sqref="P55:P56">
    <dxf>
      <numFmt numFmtId="166" formatCode="0.0000"/>
    </dxf>
  </rfmt>
  <rfmt sheetId="20" sqref="P55:P56">
    <dxf>
      <numFmt numFmtId="170" formatCode="0.000"/>
    </dxf>
  </rfmt>
  <rfmt sheetId="20" sqref="V55:V56">
    <dxf>
      <numFmt numFmtId="35" formatCode="_(* #,##0.00_);_(* \(#,##0.00\);_(* &quot;-&quot;??_);_(@_)"/>
    </dxf>
  </rfmt>
  <rfmt sheetId="20" sqref="V55:V56">
    <dxf>
      <numFmt numFmtId="182" formatCode="_(* #,##0.0_);_(* \(#,##0.0\);_(* &quot;-&quot;??_);_(@_)"/>
    </dxf>
  </rfmt>
  <rfmt sheetId="20" sqref="V55:V56">
    <dxf>
      <numFmt numFmtId="35" formatCode="_(* #,##0.00_);_(* \(#,##0.00\);_(* &quot;-&quot;??_);_(@_)"/>
    </dxf>
  </rfmt>
  <rfmt sheetId="20" sqref="V55:V56">
    <dxf>
      <numFmt numFmtId="183" formatCode="_(* #,##0.000_);_(* \(#,##0.000\);_(* &quot;-&quot;??_);_(@_)"/>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7" sId="20">
    <oc r="AE45" t="inlineStr">
      <is>
        <t>KC15-11-11_2015_Energy_consumption</t>
      </is>
    </oc>
    <nc r="AE45" t="inlineStr">
      <is>
        <t>KC15-12-03_SoundTransitElectricity</t>
      </is>
    </nc>
  </rcc>
  <rcc rId="2148" sId="20" odxf="1" dxf="1">
    <nc r="AE48" t="inlineStr">
      <is>
        <t>KC15-12-03_SoundTransitElectricity</t>
      </is>
    </nc>
    <odxf>
      <font>
        <family val="2"/>
      </font>
    </odxf>
    <ndxf>
      <font>
        <sz val="9"/>
        <color auto="1"/>
        <name val="Arial"/>
        <family val="2"/>
        <scheme val="none"/>
      </font>
    </ndxf>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P45" start="0" length="0">
    <dxf>
      <font>
        <b val="0"/>
        <sz val="9"/>
        <color auto="1"/>
        <name val="Arial"/>
        <family val="2"/>
        <scheme val="none"/>
      </font>
      <numFmt numFmtId="181" formatCode="_(* #,##0_);_(* \(#,##0\);_(* &quot;-&quot;??_);_(@_)"/>
      <alignment vertical="top"/>
    </dxf>
  </rfmt>
  <rcc rId="2149" sId="20" odxf="1" dxf="1">
    <nc r="Q45" t="inlineStr">
      <is>
        <t>kWh</t>
      </is>
    </nc>
    <odxf>
      <font>
        <b/>
        <family val="2"/>
      </font>
      <numFmt numFmtId="30" formatCode="@"/>
      <alignment vertical="bottom"/>
    </odxf>
    <ndxf>
      <font>
        <b val="0"/>
        <sz val="9"/>
        <color auto="1"/>
        <name val="Arial"/>
        <family val="2"/>
        <scheme val="none"/>
      </font>
      <numFmt numFmtId="0" formatCode="General"/>
      <alignment vertical="top"/>
    </ndxf>
  </rcc>
  <rcc rId="2150" sId="20" odxf="1" dxf="1">
    <nc r="P46">
      <f>P45/1000</f>
    </nc>
    <odxf>
      <font>
        <b/>
        <family val="2"/>
      </font>
      <numFmt numFmtId="30" formatCode="@"/>
      <alignment vertical="bottom"/>
    </odxf>
    <ndxf>
      <font>
        <b val="0"/>
        <sz val="9"/>
        <color auto="1"/>
        <name val="Arial"/>
        <family val="2"/>
        <scheme val="none"/>
      </font>
      <numFmt numFmtId="35" formatCode="_(* #,##0.00_);_(* \(#,##0.00\);_(* &quot;-&quot;??_);_(@_)"/>
      <alignment vertical="top"/>
    </ndxf>
  </rcc>
  <rcc rId="2151" sId="20" odxf="1" dxf="1">
    <nc r="Q46" t="inlineStr">
      <is>
        <t>MWh</t>
      </is>
    </nc>
    <odxf>
      <font>
        <b/>
        <family val="2"/>
      </font>
      <numFmt numFmtId="30" formatCode="@"/>
      <alignment vertical="bottom"/>
    </odxf>
    <ndxf>
      <font>
        <b val="0"/>
        <sz val="9"/>
        <color auto="1"/>
        <name val="Arial"/>
        <family val="2"/>
        <scheme val="none"/>
      </font>
      <numFmt numFmtId="0" formatCode="General"/>
      <alignment vertical="top"/>
    </ndxf>
  </rcc>
  <rfmt sheetId="20" sqref="P47" start="0" length="0">
    <dxf>
      <font>
        <b val="0"/>
        <sz val="9"/>
        <color auto="1"/>
        <name val="Arial"/>
        <family val="2"/>
        <scheme val="none"/>
      </font>
      <numFmt numFmtId="3" formatCode="#,##0"/>
      <alignment horizontal="right"/>
    </dxf>
  </rfmt>
  <rfmt sheetId="20" sqref="Q47" start="0" length="0">
    <dxf>
      <font>
        <b val="0"/>
        <sz val="9"/>
        <color auto="1"/>
        <name val="Arial"/>
        <family val="2"/>
        <scheme val="none"/>
      </font>
    </dxf>
  </rfmt>
  <rfmt sheetId="20" sqref="P48" start="0" length="0">
    <dxf>
      <numFmt numFmtId="3" formatCode="#,##0"/>
      <alignment horizontal="right"/>
    </dxf>
  </rfmt>
  <rcc rId="2152" sId="20" odxf="1" dxf="1">
    <nc r="Q48" t="inlineStr">
      <is>
        <t>kWh</t>
      </is>
    </nc>
    <odxf>
      <font>
        <family val="2"/>
      </font>
    </odxf>
    <ndxf>
      <font>
        <sz val="9"/>
        <color auto="1"/>
        <name val="Arial"/>
        <family val="2"/>
        <scheme val="none"/>
      </font>
    </ndxf>
  </rcc>
  <rcc rId="2153" sId="20" odxf="1" dxf="1">
    <nc r="P49">
      <f>P48/1000</f>
    </nc>
    <odxf>
      <numFmt numFmtId="30" formatCode="@"/>
      <alignment horizontal="general"/>
    </odxf>
    <ndxf>
      <numFmt numFmtId="3" formatCode="#,##0"/>
      <alignment horizontal="right"/>
    </ndxf>
  </rcc>
  <rcc rId="2154" sId="20" odxf="1" dxf="1">
    <nc r="Q49" t="inlineStr">
      <is>
        <t>MWh</t>
      </is>
    </nc>
    <odxf>
      <font>
        <family val="2"/>
      </font>
    </odxf>
    <ndxf>
      <font>
        <sz val="9"/>
        <color auto="1"/>
        <name val="Arial"/>
        <family val="2"/>
        <scheme val="none"/>
      </font>
    </ndxf>
  </rcc>
  <rfmt sheetId="20" sqref="P50" start="0" length="0">
    <dxf>
      <numFmt numFmtId="3" formatCode="#,##0"/>
      <alignment horizontal="right"/>
    </dxf>
  </rfmt>
  <rfmt sheetId="20" sqref="Q50" start="0" length="0">
    <dxf>
      <font>
        <sz val="9"/>
        <color auto="1"/>
        <name val="Arial"/>
        <family val="2"/>
        <scheme val="none"/>
      </font>
    </dxf>
  </rfmt>
  <rcc rId="2155" sId="20" odxf="1" dxf="1">
    <nc r="P51">
      <f>SUM(P45,P48)</f>
    </nc>
    <odxf>
      <numFmt numFmtId="30" formatCode="@"/>
      <alignment horizontal="general"/>
    </odxf>
    <ndxf>
      <numFmt numFmtId="3" formatCode="#,##0"/>
      <alignment horizontal="right"/>
    </ndxf>
  </rcc>
  <rcc rId="2156" sId="20">
    <nc r="Q51" t="inlineStr">
      <is>
        <t>kWh</t>
      </is>
    </nc>
  </rcc>
  <rcc rId="2157" sId="20" odxf="1" dxf="1">
    <nc r="P52">
      <f>P51/1000</f>
    </nc>
    <odxf>
      <numFmt numFmtId="30" formatCode="@"/>
      <alignment horizontal="general"/>
    </odxf>
    <ndxf>
      <numFmt numFmtId="3" formatCode="#,##0"/>
      <alignment horizontal="right"/>
    </ndxf>
  </rcc>
  <rcc rId="2158" sId="20">
    <nc r="Q52" t="inlineStr">
      <is>
        <t>MWh</t>
      </is>
    </nc>
  </rcc>
  <rrc rId="2159" sId="20" ref="A53:XFD53" action="insertRow"/>
  <rcc rId="2160" sId="20">
    <nc r="A53" t="inlineStr">
      <is>
        <t>Proportion SCL</t>
      </is>
    </nc>
  </rcc>
  <rrc rId="2161" sId="20" ref="A53:XFD53" action="insertRow"/>
  <rcc rId="2162" sId="20">
    <nc r="AC54">
      <f>AC45/(AC45+AC48)</f>
    </nc>
  </rcc>
  <rfmt sheetId="20" sqref="AC54">
    <dxf>
      <numFmt numFmtId="165" formatCode="#,##0.0"/>
    </dxf>
  </rfmt>
  <rfmt sheetId="20" sqref="AC54">
    <dxf>
      <numFmt numFmtId="4" formatCode="#,##0.00"/>
    </dxf>
  </rfmt>
  <rcc rId="2163" sId="20">
    <nc r="P45">
      <f>418.4*1000*AC54</f>
    </nc>
  </rcc>
  <rcc rId="2164" sId="20">
    <nc r="P48">
      <f>418.4*1000-P45</f>
    </nc>
  </rcc>
  <rcc rId="2165" sId="20">
    <oc r="V45">
      <v>13327</v>
    </oc>
    <nc r="V45">
      <f>13327.9*1000*AC54</f>
    </nc>
  </rcc>
  <rcc rId="2166" sId="20">
    <oc r="V48">
      <v>0</v>
    </oc>
    <nc r="V48">
      <f>13327.9*1000-V45</f>
    </nc>
  </rcc>
  <rfmt sheetId="20" sqref="V64">
    <dxf>
      <numFmt numFmtId="183" formatCode="_(* #,##0.000_);_(* \(#,##0.000\);_(* &quot;-&quot;??_);_(@_)"/>
    </dxf>
  </rfmt>
  <rfmt sheetId="20" sqref="V64">
    <dxf>
      <numFmt numFmtId="35" formatCode="_(* #,##0.00_);_(* \(#,##0.00\);_(* &quot;-&quot;??_);_(@_)"/>
    </dxf>
  </rfmt>
  <rfmt sheetId="20" sqref="V64">
    <dxf>
      <numFmt numFmtId="182" formatCode="_(* #,##0.0_);_(* \(#,##0.0\);_(* &quot;-&quot;??_);_(@_)"/>
    </dxf>
  </rfmt>
  <rfmt sheetId="20" sqref="V61:V63">
    <dxf>
      <numFmt numFmtId="182" formatCode="_(* #,##0.0_);_(* \(#,##0.0\);_(* &quot;-&quot;??_);_(@_)"/>
    </dxf>
  </rfmt>
  <rfmt sheetId="20" sqref="V61:V63">
    <dxf>
      <numFmt numFmtId="181" formatCode="_(* #,##0_);_(* \(#,##0\);_(* &quot;-&quot;??_);_(@_)"/>
    </dxf>
  </rfmt>
  <rfmt sheetId="20" sqref="P61:P64">
    <dxf>
      <numFmt numFmtId="182" formatCode="_(* #,##0.0_);_(* \(#,##0.0\);_(* &quot;-&quot;??_);_(@_)"/>
    </dxf>
  </rfmt>
  <rfmt sheetId="20" sqref="P61:P64">
    <dxf>
      <numFmt numFmtId="181" formatCode="_(* #,##0_);_(* \(#,##0\);_(* &quot;-&quot;??_);_(@_)"/>
    </dxf>
  </rfmt>
  <rcc rId="2167" sId="20" odxf="1" dxf="1">
    <nc r="R45" t="inlineStr">
      <is>
        <t>KC08-11-4_T17EnergyCons</t>
      </is>
    </nc>
    <odxf>
      <font>
        <b/>
        <family val="2"/>
      </font>
      <alignment horizontal="general" vertical="bottom"/>
    </odxf>
    <ndxf>
      <font>
        <b val="0"/>
        <sz val="9"/>
        <color auto="1"/>
        <name val="Arial"/>
        <family val="2"/>
        <scheme val="none"/>
      </font>
      <alignment horizontal="left" vertical="top"/>
    </ndxf>
  </rcc>
  <rcc rId="2168" sId="20" odxf="1" dxf="1">
    <nc r="R48" t="inlineStr">
      <is>
        <t>KC08-11-4_T17EnergyCons</t>
      </is>
    </nc>
    <odxf>
      <font>
        <family val="2"/>
      </font>
      <alignment horizontal="general" vertical="bottom"/>
    </odxf>
    <ndxf>
      <font>
        <sz val="9"/>
        <color auto="1"/>
        <name val="Arial"/>
        <family val="2"/>
        <scheme val="none"/>
      </font>
      <alignment horizontal="left" vertical="top"/>
    </ndxf>
  </rcc>
  <rcc rId="2169" sId="20" odxf="1" dxf="1">
    <nc r="X45" t="inlineStr">
      <is>
        <t>KC08-11-16_T17EnergyCons10</t>
      </is>
    </nc>
    <odxf>
      <numFmt numFmtId="0" formatCode="General"/>
      <alignment horizontal="general"/>
    </odxf>
    <ndxf>
      <numFmt numFmtId="30" formatCode="@"/>
      <alignment horizontal="left"/>
    </ndxf>
  </rcc>
  <rcc rId="2170" sId="20" odxf="1" dxf="1">
    <nc r="X48" t="inlineStr">
      <is>
        <t>KC08-11-16_T17EnergyCons10</t>
      </is>
    </nc>
    <odxf>
      <numFmt numFmtId="0" formatCode="General"/>
      <alignment horizontal="general"/>
    </odxf>
    <ndxf>
      <numFmt numFmtId="30" formatCode="@"/>
      <alignment horizontal="left"/>
    </ndxf>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V64">
    <dxf>
      <numFmt numFmtId="35" formatCode="_(* #,##0.00_);_(* \(#,##0.00\);_(* &quot;-&quot;??_);_(@_)"/>
    </dxf>
  </rfmt>
  <rfmt sheetId="20" sqref="V64">
    <dxf>
      <numFmt numFmtId="182" formatCode="_(* #,##0.0_);_(* \(#,##0.0\);_(* &quot;-&quot;??_);_(@_)"/>
    </dxf>
  </rfmt>
  <rfmt sheetId="20" sqref="V64">
    <dxf>
      <numFmt numFmtId="181" formatCode="_(* #,##0_);_(* \(#,##0\);_(* &quot;-&quot;??_);_(@_)"/>
    </dxf>
  </rfmt>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S30:S35">
    <dxf>
      <numFmt numFmtId="35" formatCode="_(* #,##0.00_);_(* \(#,##0.00\);_(* &quot;-&quot;??_);_(@_)"/>
    </dxf>
  </rfmt>
  <rfmt sheetId="20" sqref="S30:S35">
    <dxf>
      <numFmt numFmtId="182" formatCode="_(* #,##0.0_);_(* \(#,##0.0\);_(* &quot;-&quot;??_);_(@_)"/>
    </dxf>
  </rfmt>
  <rfmt sheetId="20" sqref="S30:S35">
    <dxf>
      <numFmt numFmtId="181" formatCode="_(* #,##0_);_(* \(#,##0\);_(* &quot;-&quot;??_);_(@_)"/>
    </dxf>
  </rfmt>
  <rfmt sheetId="20" sqref="Z30:Z37">
    <dxf>
      <numFmt numFmtId="35" formatCode="_(* #,##0.00_);_(* \(#,##0.00\);_(* &quot;-&quot;??_);_(@_)"/>
    </dxf>
  </rfmt>
  <rfmt sheetId="20" sqref="Z30:Z37">
    <dxf>
      <numFmt numFmtId="182" formatCode="_(* #,##0.0_);_(* \(#,##0.0\);_(* &quot;-&quot;??_);_(@_)"/>
    </dxf>
  </rfmt>
  <rfmt sheetId="20" sqref="Z30:Z37">
    <dxf>
      <numFmt numFmtId="181" formatCode="_(* #,##0_);_(* \(#,##0\);_(* &quot;-&quot;??_);_(@_)"/>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V46">
    <dxf>
      <numFmt numFmtId="183" formatCode="_(* #,##0.000_);_(* \(#,##0.000\);_(* &quot;-&quot;??_);_(@_)"/>
    </dxf>
  </rfmt>
  <rfmt sheetId="20" sqref="V46">
    <dxf>
      <numFmt numFmtId="35" formatCode="_(* #,##0.00_);_(* \(#,##0.00\);_(* &quot;-&quot;??_);_(@_)"/>
    </dxf>
  </rfmt>
  <rfmt sheetId="20" sqref="V46">
    <dxf>
      <numFmt numFmtId="182" formatCode="_(* #,##0.0_);_(* \(#,##0.0\);_(* &quot;-&quot;??_);_(@_)"/>
    </dxf>
  </rfmt>
  <rfmt sheetId="20" sqref="V46">
    <dxf>
      <numFmt numFmtId="181" formatCode="_(* #,##0_);_(* \(#,##0\);_(* &quot;-&quot;??_);_(@_)"/>
    </dxf>
  </rfmt>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6" sId="20">
    <nc r="Y45" t="inlineStr">
      <is>
        <t>assumes LR DO is Tacoma Link</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77" sId="9" ref="A68:XFD68" action="insertRow"/>
  <rcc rId="2178" sId="9">
    <nc r="A68" t="inlineStr">
      <is>
        <t>less light rail</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9" sId="9">
    <nc r="C68" t="inlineStr">
      <is>
        <t>MWh</t>
      </is>
    </nc>
  </rcc>
  <rcc rId="2180" sId="9">
    <nc r="B68">
      <f>B67-'Trans-Rail'!E49</f>
    </nc>
  </rcc>
  <rfmt sheetId="20" sqref="E45" start="0" length="0">
    <dxf>
      <font>
        <b val="0"/>
        <sz val="9"/>
        <color auto="1"/>
        <name val="Arial"/>
        <family val="2"/>
        <scheme val="none"/>
      </font>
      <numFmt numFmtId="181" formatCode="_(* #,##0_);_(* \(#,##0\);_(* &quot;-&quot;??_);_(@_)"/>
      <alignment horizontal="general" vertical="top"/>
    </dxf>
  </rfmt>
  <rcc rId="2181" sId="20" odxf="1" dxf="1">
    <nc r="F45" t="inlineStr">
      <is>
        <t>kWh</t>
      </is>
    </nc>
    <odxf>
      <font>
        <b/>
        <family val="2"/>
      </font>
      <numFmt numFmtId="30" formatCode="@"/>
      <alignment horizontal="left" vertical="bottom"/>
    </odxf>
    <ndxf>
      <font>
        <b val="0"/>
        <sz val="9"/>
        <color auto="1"/>
        <name val="Arial"/>
        <family val="2"/>
        <scheme val="none"/>
      </font>
      <numFmt numFmtId="0" formatCode="General"/>
      <alignment horizontal="general" vertical="top"/>
    </ndxf>
  </rcc>
  <rcc rId="2182" sId="20" odxf="1" dxf="1">
    <nc r="E46">
      <f>E45/1000</f>
    </nc>
    <odxf>
      <font>
        <b/>
        <family val="2"/>
      </font>
      <numFmt numFmtId="30" formatCode="@"/>
      <alignment horizontal="left" vertical="bottom"/>
    </odxf>
    <ndxf>
      <font>
        <b val="0"/>
        <sz val="9"/>
        <color auto="1"/>
        <name val="Arial"/>
        <family val="2"/>
        <scheme val="none"/>
      </font>
      <numFmt numFmtId="35" formatCode="_(* #,##0.00_);_(* \(#,##0.00\);_(* &quot;-&quot;??_);_(@_)"/>
      <alignment horizontal="general" vertical="top"/>
    </ndxf>
  </rcc>
  <rcc rId="2183" sId="20" odxf="1" dxf="1">
    <nc r="F46" t="inlineStr">
      <is>
        <t>MWh</t>
      </is>
    </nc>
    <odxf>
      <font>
        <b/>
        <family val="2"/>
      </font>
      <numFmt numFmtId="30" formatCode="@"/>
      <alignment horizontal="left" vertical="bottom"/>
    </odxf>
    <ndxf>
      <font>
        <b val="0"/>
        <sz val="9"/>
        <color auto="1"/>
        <name val="Arial"/>
        <family val="2"/>
        <scheme val="none"/>
      </font>
      <numFmt numFmtId="0" formatCode="General"/>
      <alignment horizontal="general" vertical="top"/>
    </ndxf>
  </rcc>
  <rfmt sheetId="20" sqref="E47" start="0" length="0">
    <dxf>
      <font>
        <b val="0"/>
        <sz val="9"/>
        <color auto="1"/>
        <name val="Arial"/>
        <family val="2"/>
        <scheme val="none"/>
      </font>
      <numFmt numFmtId="3" formatCode="#,##0"/>
      <alignment horizontal="right"/>
    </dxf>
  </rfmt>
  <rfmt sheetId="20" sqref="F47" start="0" length="0">
    <dxf>
      <font>
        <b val="0"/>
        <sz val="9"/>
        <color auto="1"/>
        <name val="Arial"/>
        <family val="2"/>
        <scheme val="none"/>
      </font>
      <alignment horizontal="general"/>
    </dxf>
  </rfmt>
  <rfmt sheetId="20" sqref="E48" start="0" length="0">
    <dxf>
      <numFmt numFmtId="3" formatCode="#,##0"/>
      <alignment horizontal="right"/>
    </dxf>
  </rfmt>
  <rcc rId="2184" sId="20" odxf="1" dxf="1">
    <nc r="F48" t="inlineStr">
      <is>
        <t>kWh</t>
      </is>
    </nc>
    <odxf>
      <font>
        <family val="2"/>
      </font>
      <alignment horizontal="left"/>
    </odxf>
    <ndxf>
      <font>
        <sz val="9"/>
        <color auto="1"/>
        <name val="Arial"/>
        <family val="2"/>
        <scheme val="none"/>
      </font>
      <alignment horizontal="general"/>
    </ndxf>
  </rcc>
  <rcc rId="2185" sId="20" odxf="1" dxf="1">
    <nc r="E49">
      <f>E48/1000</f>
    </nc>
    <odxf>
      <numFmt numFmtId="30" formatCode="@"/>
      <alignment horizontal="left"/>
    </odxf>
    <ndxf>
      <numFmt numFmtId="3" formatCode="#,##0"/>
      <alignment horizontal="right"/>
    </ndxf>
  </rcc>
  <rcc rId="2186" sId="20" odxf="1" dxf="1">
    <nc r="F49" t="inlineStr">
      <is>
        <t>MWh</t>
      </is>
    </nc>
    <odxf>
      <font>
        <family val="2"/>
      </font>
      <alignment horizontal="left"/>
    </odxf>
    <ndxf>
      <font>
        <sz val="9"/>
        <color auto="1"/>
        <name val="Arial"/>
        <family val="2"/>
        <scheme val="none"/>
      </font>
      <alignment horizontal="general"/>
    </ndxf>
  </rcc>
  <rfmt sheetId="20" sqref="E50" start="0" length="0">
    <dxf>
      <numFmt numFmtId="3" formatCode="#,##0"/>
      <alignment horizontal="right"/>
    </dxf>
  </rfmt>
  <rfmt sheetId="20" sqref="F50" start="0" length="0">
    <dxf>
      <font>
        <sz val="9"/>
        <color auto="1"/>
        <name val="Arial"/>
        <family val="2"/>
        <scheme val="none"/>
      </font>
      <alignment horizontal="general"/>
    </dxf>
  </rfmt>
  <rcc rId="2187" sId="20" odxf="1" dxf="1">
    <nc r="E51">
      <f>SUM(E45,E48)</f>
    </nc>
    <odxf>
      <numFmt numFmtId="30" formatCode="@"/>
      <alignment horizontal="left"/>
    </odxf>
    <ndxf>
      <numFmt numFmtId="3" formatCode="#,##0"/>
      <alignment horizontal="right"/>
    </ndxf>
  </rcc>
  <rcc rId="2188" sId="20" odxf="1" dxf="1">
    <nc r="F51" t="inlineStr">
      <is>
        <t>kWh</t>
      </is>
    </nc>
    <odxf>
      <alignment horizontal="left"/>
    </odxf>
    <ndxf>
      <alignment horizontal="general"/>
    </ndxf>
  </rcc>
  <rcc rId="2189" sId="20" odxf="1" dxf="1">
    <nc r="E52">
      <f>E51/1000</f>
    </nc>
    <odxf>
      <numFmt numFmtId="30" formatCode="@"/>
      <alignment horizontal="left"/>
    </odxf>
    <ndxf>
      <numFmt numFmtId="3" formatCode="#,##0"/>
      <alignment horizontal="right"/>
    </ndxf>
  </rcc>
  <rcc rId="2190" sId="20" odxf="1" dxf="1">
    <nc r="F52" t="inlineStr">
      <is>
        <t>MWh</t>
      </is>
    </nc>
    <odxf>
      <alignment horizontal="left"/>
    </odxf>
    <ndxf>
      <alignment horizontal="general"/>
    </ndxf>
  </rcc>
  <rfmt sheetId="20" sqref="E53" start="0" length="0">
    <dxf>
      <numFmt numFmtId="3" formatCode="#,##0"/>
      <alignment horizontal="right"/>
    </dxf>
  </rfmt>
  <rfmt sheetId="20" sqref="F53" start="0" length="0">
    <dxf>
      <alignment horizontal="general"/>
    </dxf>
  </rfmt>
  <rfmt sheetId="20" sqref="E54" start="0" length="0">
    <dxf>
      <numFmt numFmtId="3" formatCode="#,##0"/>
      <alignment horizontal="right"/>
    </dxf>
  </rfmt>
  <rfmt sheetId="20" sqref="F54" start="0" length="0">
    <dxf>
      <alignment horizontal="general"/>
    </dxf>
  </rfmt>
  <rfmt sheetId="20" sqref="E55" start="0" length="0">
    <dxf>
      <alignment horizontal="general"/>
    </dxf>
  </rfmt>
  <rfmt sheetId="20" sqref="F55" start="0" length="0">
    <dxf>
      <alignment horizontal="general"/>
    </dxf>
  </rfmt>
  <rfmt sheetId="20" sqref="E56" start="0" length="0">
    <dxf>
      <alignment horizontal="general"/>
    </dxf>
  </rfmt>
  <rfmt sheetId="20" sqref="F56" start="0" length="0">
    <dxf>
      <alignment horizontal="general"/>
    </dxf>
  </rfmt>
  <rfmt sheetId="20" sqref="E57" start="0" length="0">
    <dxf>
      <font>
        <sz val="9"/>
        <color auto="1"/>
        <name val="Arial"/>
        <family val="2"/>
        <scheme val="none"/>
      </font>
      <numFmt numFmtId="170" formatCode="0.000"/>
      <alignment horizontal="general" vertical="top"/>
    </dxf>
  </rfmt>
  <rcc rId="2191" sId="20" odxf="1" dxf="1">
    <nc r="F57" t="inlineStr">
      <is>
        <t>tCO2/MWh</t>
      </is>
    </nc>
    <odxf>
      <font>
        <family val="2"/>
      </font>
      <numFmt numFmtId="30" formatCode="@"/>
      <alignment horizontal="left" vertical="bottom"/>
    </odxf>
    <ndxf>
      <font>
        <sz val="9"/>
        <color auto="1"/>
        <name val="Arial"/>
        <family val="2"/>
        <scheme val="none"/>
      </font>
      <numFmt numFmtId="0" formatCode="General"/>
      <alignment horizontal="general" vertical="top"/>
    </ndxf>
  </rcc>
  <rfmt sheetId="20" sqref="E58" start="0" length="0">
    <dxf>
      <font>
        <sz val="9"/>
        <color auto="1"/>
        <name val="Arial"/>
        <family val="2"/>
        <scheme val="none"/>
      </font>
      <numFmt numFmtId="170" formatCode="0.000"/>
      <alignment horizontal="general" vertical="top"/>
    </dxf>
  </rfmt>
  <rcc rId="2192" sId="20" odxf="1" dxf="1">
    <nc r="F58" t="inlineStr">
      <is>
        <t>tCO2/MWh</t>
      </is>
    </nc>
    <odxf>
      <font>
        <family val="2"/>
      </font>
      <numFmt numFmtId="30" formatCode="@"/>
      <alignment horizontal="left" vertical="bottom"/>
    </odxf>
    <ndxf>
      <font>
        <sz val="9"/>
        <color auto="1"/>
        <name val="Arial"/>
        <family val="2"/>
        <scheme val="none"/>
      </font>
      <numFmt numFmtId="0" formatCode="General"/>
      <alignment horizontal="general" vertical="top"/>
    </ndxf>
  </rcc>
  <rfmt sheetId="20" sqref="E59" start="0" length="0">
    <dxf>
      <alignment horizontal="general"/>
    </dxf>
  </rfmt>
  <rfmt sheetId="20" sqref="F59" start="0" length="0">
    <dxf>
      <alignment horizontal="general"/>
    </dxf>
  </rfmt>
  <rfmt sheetId="20" sqref="E60" start="0" length="0">
    <dxf>
      <alignment horizontal="general"/>
    </dxf>
  </rfmt>
  <rfmt sheetId="20" sqref="F60" start="0" length="0">
    <dxf>
      <alignment horizontal="general"/>
    </dxf>
  </rfmt>
  <rcc rId="2193" sId="20" odxf="1" dxf="1">
    <nc r="E61">
      <f>E57*E46</f>
    </nc>
    <odxf>
      <font>
        <family val="2"/>
      </font>
      <numFmt numFmtId="30" formatCode="@"/>
      <alignment horizontal="left"/>
    </odxf>
    <ndxf>
      <font>
        <sz val="9"/>
        <color auto="1"/>
        <name val="Arial"/>
        <family val="2"/>
        <scheme val="none"/>
      </font>
      <numFmt numFmtId="181" formatCode="_(* #,##0_);_(* \(#,##0\);_(* &quot;-&quot;??_);_(@_)"/>
      <alignment horizontal="general"/>
    </ndxf>
  </rcc>
  <rcc rId="2194" sId="20" odxf="1" dxf="1">
    <nc r="F61" t="inlineStr">
      <is>
        <t>tCO2e</t>
      </is>
    </nc>
    <odxf>
      <font>
        <family val="2"/>
      </font>
      <alignment horizontal="left"/>
    </odxf>
    <ndxf>
      <font>
        <sz val="9"/>
        <color auto="1"/>
        <name val="Arial"/>
        <family val="2"/>
        <scheme val="none"/>
      </font>
      <alignment horizontal="general"/>
    </ndxf>
  </rcc>
  <rcc rId="2195" sId="20" odxf="1" dxf="1">
    <nc r="E62">
      <f>E58*E49</f>
    </nc>
    <odxf>
      <numFmt numFmtId="30" formatCode="@"/>
    </odxf>
    <ndxf>
      <numFmt numFmtId="181" formatCode="_(* #,##0_);_(* \(#,##0\);_(* &quot;-&quot;??_);_(@_)"/>
    </ndxf>
  </rcc>
  <rcc rId="2196" sId="20" odxf="1" dxf="1">
    <nc r="F62" t="inlineStr">
      <is>
        <t>tCO2e</t>
      </is>
    </nc>
    <odxf/>
    <ndxf/>
  </rcc>
  <rcc rId="2197" sId="20" odxf="1" dxf="1">
    <nc r="E63">
      <f>SUM(E61:E62)</f>
    </nc>
    <odxf>
      <numFmt numFmtId="30" formatCode="@"/>
    </odxf>
    <ndxf>
      <numFmt numFmtId="181" formatCode="_(* #,##0_);_(* \(#,##0\);_(* &quot;-&quot;??_);_(@_)"/>
    </ndxf>
  </rcc>
  <rcc rId="2198" sId="20" odxf="1" dxf="1">
    <nc r="F63" t="inlineStr">
      <is>
        <t>tCO2e</t>
      </is>
    </nc>
    <odxf/>
    <ndxf/>
  </rcc>
  <rcc rId="2199" sId="20" odxf="1" dxf="1">
    <nc r="E64">
      <f>E63*tonTOMg</f>
    </nc>
    <odxf>
      <numFmt numFmtId="30" formatCode="@"/>
    </odxf>
    <ndxf>
      <numFmt numFmtId="181" formatCode="_(* #,##0_);_(* \(#,##0\);_(* &quot;-&quot;??_);_(@_)"/>
    </ndxf>
  </rcc>
  <rcc rId="2200" sId="20" odxf="1" dxf="1">
    <nc r="F64" t="inlineStr">
      <is>
        <t>MgCO2e</t>
      </is>
    </nc>
    <odxf/>
    <ndxf/>
  </rcc>
  <rcc rId="2201" sId="20" numFmtId="34">
    <nc r="E45">
      <v>0</v>
    </nc>
  </rcc>
  <rcc rId="2202" sId="20" numFmtId="4">
    <nc r="E48">
      <v>0</v>
    </nc>
  </rcc>
  <rcc rId="2203" sId="20">
    <nc r="E57">
      <f>Electricity!B8</f>
    </nc>
  </rcc>
  <rcc rId="2204" sId="20">
    <nc r="E58">
      <f>Electricity!B48</f>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A68" start="0" length="0">
    <dxf>
      <alignment horizontal="left" relativeIndent="1"/>
    </dxf>
  </rfmt>
  <rcc rId="2205" sId="9">
    <nc r="F68">
      <f>F67-'Trans-Rail'!P49</f>
    </nc>
  </rcc>
  <rcc rId="2206" sId="9">
    <nc r="G68" t="inlineStr">
      <is>
        <t>MWh</t>
      </is>
    </nc>
  </rcc>
  <rcc rId="2207" sId="9">
    <nc r="J68">
      <f>J67-'Trans-Rail'!V49</f>
    </nc>
  </rcc>
  <rcc rId="2208" sId="9">
    <nc r="K68" t="inlineStr">
      <is>
        <t>MWh</t>
      </is>
    </nc>
  </rcc>
  <rcc rId="2209" sId="9">
    <nc r="N68">
      <f>N67-'Trans-Rail'!AC49</f>
    </nc>
  </rcc>
  <rcc rId="2210" sId="9">
    <nc r="O68" t="inlineStr">
      <is>
        <t>MWh</t>
      </is>
    </nc>
  </rcc>
  <rcc rId="2211" sId="9">
    <oc r="B69">
      <f>B$48*B67</f>
    </oc>
    <nc r="B69">
      <f>B$48*B68</f>
    </nc>
  </rcc>
  <rcc rId="2212" sId="9">
    <oc r="F69">
      <f>F$48*F67</f>
    </oc>
    <nc r="F69">
      <f>F$48*F68</f>
    </nc>
  </rcc>
  <rcc rId="2213" sId="9">
    <oc r="J69">
      <f>J$48*J67</f>
    </oc>
    <nc r="J69">
      <f>J$48*J68</f>
    </nc>
  </rcc>
  <rcc rId="2214" sId="9">
    <oc r="N69">
      <f>N67*N48</f>
    </oc>
    <nc r="N69">
      <f>N68*N48</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I16:I17">
    <dxf>
      <fill>
        <patternFill>
          <bgColor theme="0"/>
        </patternFill>
      </fill>
    </dxf>
  </rfmt>
  <rfmt sheetId="9" sqref="I16" start="0" length="0">
    <dxf>
      <fill>
        <patternFill patternType="none">
          <bgColor indexed="65"/>
        </patternFill>
      </fill>
    </dxf>
  </rfmt>
  <rfmt sheetId="9" sqref="I17" start="0" length="0">
    <dxf>
      <fill>
        <patternFill patternType="none">
          <bgColor indexed="65"/>
        </patternFill>
      </fill>
    </dxf>
  </rfmt>
  <rfmt sheetId="9" sqref="I18" start="0" length="0">
    <dxf/>
  </rfmt>
  <rfmt sheetId="9" sqref="I19" start="0" length="0">
    <dxf/>
  </rfmt>
  <rcmt sheetId="9" cell="N6" guid="{00000000-0000-0000-0000-000000000000}" action="delete" alwaysShow="1" author="Andrea Martin"/>
  <rfmt sheetId="9" sqref="N6">
    <dxf>
      <numFmt numFmtId="183" formatCode="_(* #,##0.000_);_(* \(#,##0.000\);_(* &quot;-&quot;??_);_(@_)"/>
    </dxf>
  </rfmt>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15" sId="9" ref="A33:XFD33" action="insertRow"/>
  <rcc rId="2216" sId="9" odxf="1" dxf="1">
    <nc r="A33" t="inlineStr">
      <is>
        <t>less light rail</t>
      </is>
    </nc>
    <odxf>
      <font>
        <family val="2"/>
      </font>
    </odxf>
    <ndxf>
      <font>
        <sz val="9"/>
        <color auto="1"/>
        <name val="Arial"/>
        <family val="2"/>
        <scheme val="none"/>
      </font>
    </ndxf>
  </rcc>
  <rfmt sheetId="9" sqref="A33" start="0" length="0">
    <dxf>
      <alignment relativeIndent="1"/>
    </dxf>
  </rfmt>
  <rcc rId="2217" sId="9">
    <nc r="B33">
      <f>B32-'Trans-Rail'!E46</f>
    </nc>
  </rcc>
  <rcc rId="2218" sId="9">
    <nc r="C33" t="inlineStr">
      <is>
        <t>MWh</t>
      </is>
    </nc>
  </rcc>
  <rcc rId="2219" sId="9">
    <nc r="F33">
      <f>F32-'Trans-Rail'!P46</f>
    </nc>
  </rcc>
  <rfmt sheetId="20" sqref="P46">
    <dxf>
      <numFmt numFmtId="183" formatCode="_(* #,##0.000_);_(* \(#,##0.000\);_(* &quot;-&quot;??_);_(@_)"/>
    </dxf>
  </rfmt>
  <rfmt sheetId="20" sqref="P46">
    <dxf>
      <numFmt numFmtId="188" formatCode="_(* #,##0.0000_);_(* \(#,##0.0000\);_(* &quot;-&quot;??_);_(@_)"/>
    </dxf>
  </rfmt>
  <rfmt sheetId="20" sqref="P46">
    <dxf>
      <numFmt numFmtId="183" formatCode="_(* #,##0.000_);_(* \(#,##0.000\);_(* &quot;-&quot;??_);_(@_)"/>
    </dxf>
  </rfmt>
  <rfmt sheetId="20" sqref="P46">
    <dxf>
      <numFmt numFmtId="35" formatCode="_(* #,##0.00_);_(* \(#,##0.00\);_(* &quot;-&quot;??_);_(@_)"/>
    </dxf>
  </rfmt>
  <rfmt sheetId="20" sqref="P46">
    <dxf>
      <numFmt numFmtId="182" formatCode="_(* #,##0.0_);_(* \(#,##0.0\);_(* &quot;-&quot;??_);_(@_)"/>
    </dxf>
  </rfmt>
  <rfmt sheetId="20" sqref="P46">
    <dxf>
      <numFmt numFmtId="181" formatCode="_(* #,##0_);_(* \(#,##0\);_(* &quot;-&quot;??_);_(@_)"/>
    </dxf>
  </rfmt>
  <rcc rId="2220" sId="9">
    <nc r="J33">
      <f>J32-'Trans-Rail'!V46</f>
    </nc>
  </rcc>
  <rcc rId="2221" sId="9">
    <nc r="K33" t="inlineStr">
      <is>
        <t>MWh</t>
      </is>
    </nc>
  </rcc>
  <rcc rId="2222" sId="9">
    <nc r="G33" t="inlineStr">
      <is>
        <t>MWh</t>
      </is>
    </nc>
  </rcc>
  <rcc rId="2223" sId="9">
    <nc r="N33">
      <f>N32-'Trans-Rail'!AC46</f>
    </nc>
  </rcc>
  <rcc rId="2224" sId="9">
    <nc r="O33" t="inlineStr">
      <is>
        <t>MWh</t>
      </is>
    </nc>
  </rcc>
  <rcc rId="2225" sId="9">
    <oc r="B34">
      <f>B32*B8*tonTOMg</f>
    </oc>
    <nc r="B34">
      <f>B33*B8*tonTOMg</f>
    </nc>
  </rcc>
  <rcc rId="2226" sId="9">
    <oc r="F34">
      <f>F32*F8*tonTOMg</f>
    </oc>
    <nc r="F34">
      <f>F33*F8*tonTOMg</f>
    </nc>
  </rcc>
  <rcc rId="2227" sId="9">
    <oc r="J34">
      <f>J32*J8*tonTOMg</f>
    </oc>
    <nc r="J34">
      <f>J33*J8*tonTOMg</f>
    </nc>
  </rcc>
  <rcc rId="2228" sId="9">
    <oc r="N34">
      <f>N32*tonTOMg*N8</f>
    </oc>
    <nc r="N34">
      <f>N33*tonTOMg*N8</f>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E9" start="0" length="2147483647">
    <dxf>
      <font>
        <sz val="8"/>
        <family val="2"/>
      </font>
    </dxf>
  </rfmt>
  <rfmt sheetId="25" sqref="E9" start="0" length="2147483647">
    <dxf>
      <font>
        <sz val="9"/>
        <family val="2"/>
      </font>
    </dxf>
  </rfmt>
  <rfmt sheetId="25" sqref="E12" start="0" length="0">
    <dxf>
      <font>
        <sz val="9"/>
        <color auto="1"/>
        <name val="Arial"/>
        <family val="2"/>
        <scheme val="none"/>
      </font>
    </dxf>
  </rfmt>
  <rfmt sheetId="25" sqref="I9" start="0" length="0">
    <dxf>
      <font>
        <sz val="9"/>
        <color auto="1"/>
        <name val="Arial"/>
        <family val="2"/>
        <scheme val="none"/>
      </font>
    </dxf>
  </rfmt>
  <rfmt sheetId="25" sqref="I10" start="0" length="0">
    <dxf>
      <font>
        <sz val="9"/>
        <color auto="1"/>
        <name val="Arial"/>
        <family val="2"/>
        <scheme val="none"/>
      </font>
    </dxf>
  </rfmt>
  <rfmt sheetId="25" sqref="I11" start="0" length="0">
    <dxf>
      <font>
        <sz val="9"/>
        <color auto="1"/>
        <name val="Arial"/>
        <family val="2"/>
        <scheme val="none"/>
      </font>
    </dxf>
  </rfmt>
  <rfmt sheetId="25" sqref="I12" start="0" length="0">
    <dxf>
      <font>
        <sz val="9"/>
        <color auto="1"/>
        <name val="Arial"/>
        <family val="2"/>
        <scheme val="none"/>
      </font>
    </dxf>
  </rfmt>
  <rfmt sheetId="25" sqref="J23">
    <dxf>
      <fill>
        <patternFill patternType="solid">
          <bgColor rgb="FFFFFF00"/>
        </patternFill>
      </fill>
    </dxf>
  </rfmt>
  <rfmt sheetId="25" sqref="F23 B23">
    <dxf>
      <fill>
        <patternFill patternType="solid">
          <bgColor rgb="FFFFFF00"/>
        </patternFill>
      </fill>
    </dxf>
  </rfmt>
  <rcmt sheetId="25" cell="J23" guid="{AC9C397C-BD3C-41BA-9126-32173CD2861E}" author="Andrea Martin" newLength="26"/>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J39">
    <dxf>
      <fill>
        <patternFill patternType="solid">
          <bgColor rgb="FFFFFF00"/>
        </patternFill>
      </fill>
    </dxf>
  </rfmt>
  <rfmt sheetId="25" sqref="F39">
    <dxf>
      <fill>
        <patternFill patternType="solid">
          <bgColor rgb="FFFFFF00"/>
        </patternFill>
      </fill>
    </dxf>
  </rfmt>
  <rfmt sheetId="25" sqref="B39">
    <dxf>
      <fill>
        <patternFill patternType="solid">
          <bgColor rgb="FFFFFF00"/>
        </patternFill>
      </fill>
    </dxf>
  </rfmt>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E52:E53" start="0" length="2147483647">
    <dxf>
      <font>
        <sz val="8"/>
        <family val="2"/>
      </font>
    </dxf>
  </rfmt>
  <rfmt sheetId="25" sqref="E52:E53" start="0" length="2147483647">
    <dxf>
      <font>
        <sz val="9"/>
        <family val="2"/>
      </font>
    </dxf>
  </rfmt>
  <rfmt sheetId="25" sqref="E52:E53" start="0" length="2147483647">
    <dxf>
      <font>
        <sz val="10"/>
        <family val="2"/>
      </font>
    </dxf>
  </rfmt>
  <rfmt sheetId="25" sqref="I52:I53" start="0" length="2147483647">
    <dxf>
      <font>
        <sz val="8"/>
        <family val="2"/>
      </font>
    </dxf>
  </rfmt>
  <rfmt sheetId="25" sqref="I52:I53" start="0" length="2147483647">
    <dxf>
      <font>
        <sz val="9"/>
        <family val="2"/>
      </font>
    </dxf>
  </rfmt>
  <rfmt sheetId="25" sqref="I52:I53" start="0" length="2147483647">
    <dxf>
      <font>
        <sz val="10"/>
        <family val="2"/>
      </font>
    </dxf>
  </rfmt>
  <rfmt sheetId="25" sqref="E52:E53" start="0" length="2147483647">
    <dxf>
      <font>
        <sz val="9"/>
        <family val="2"/>
      </font>
    </dxf>
  </rfmt>
  <rfmt sheetId="25" sqref="I52:I53" start="0" length="2147483647">
    <dxf>
      <font>
        <sz val="9"/>
        <family val="2"/>
      </font>
    </dxf>
  </rfmt>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5" sqref="E72:E73" start="0" length="2147483647">
    <dxf>
      <font>
        <sz val="8"/>
        <family val="2"/>
      </font>
    </dxf>
  </rfmt>
  <rfmt sheetId="25" sqref="E72:E73" start="0" length="2147483647">
    <dxf>
      <font>
        <sz val="9"/>
        <family val="2"/>
      </font>
    </dxf>
  </rfmt>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9" sId="22">
    <oc r="A3" t="inlineStr">
      <is>
        <t>Waste- Management</t>
      </is>
    </oc>
    <nc r="A3" t="inlineStr">
      <is>
        <t>Waste- Management - Landfill Disposal</t>
      </is>
    </nc>
  </rcc>
  <rrc rId="2230" sId="22" ref="A21:XFD21" action="insertRow"/>
  <rrc rId="2231" sId="22" ref="A21:XFD21" action="insertRow"/>
  <rrc rId="2232" sId="22" ref="A21:XFD22" action="insertRow"/>
  <rrc rId="2233" sId="22" ref="A21:XFD22" action="insertRow"/>
  <rrc rId="2234" sId="22" ref="A21:XFD22" action="insertRow"/>
  <rrc rId="2235" sId="22" ref="A21:XFD22" action="insertRow"/>
  <rfmt sheetId="22" sqref="A21" start="0" length="0">
    <dxf>
      <fill>
        <patternFill patternType="none">
          <bgColor indexed="65"/>
        </patternFill>
      </fill>
      <alignment horizontal="general" indent="0"/>
      <border outline="0">
        <right/>
      </border>
    </dxf>
  </rfmt>
  <rfmt sheetId="22" s="1" sqref="B21" start="0" length="0">
    <dxf>
      <font>
        <sz val="9"/>
        <color auto="1"/>
        <name val="Arial"/>
        <family val="2"/>
        <scheme val="none"/>
      </font>
      <numFmt numFmtId="0" formatCode="General"/>
      <fill>
        <patternFill patternType="none">
          <bgColor indexed="65"/>
        </patternFill>
      </fill>
      <alignment horizontal="general"/>
    </dxf>
  </rfmt>
  <rfmt sheetId="22" sqref="C21" start="0" length="0">
    <dxf>
      <numFmt numFmtId="0" formatCode="General"/>
      <alignment horizontal="general"/>
    </dxf>
  </rfmt>
  <rfmt sheetId="22" sqref="D21" start="0" length="0">
    <dxf>
      <font>
        <b val="0"/>
        <sz val="9"/>
        <color auto="1"/>
        <name val="Arial"/>
        <family val="2"/>
        <scheme val="none"/>
      </font>
      <numFmt numFmtId="0" formatCode="General"/>
      <alignment horizontal="general"/>
    </dxf>
  </rfmt>
  <rfmt sheetId="22" sqref="E21" start="0" length="0">
    <dxf>
      <font>
        <b val="0"/>
        <sz val="9"/>
        <color auto="1"/>
        <name val="Arial"/>
        <family val="2"/>
        <scheme val="none"/>
      </font>
      <numFmt numFmtId="0" formatCode="General"/>
      <alignment horizontal="general"/>
      <border outline="0">
        <right/>
      </border>
    </dxf>
  </rfmt>
  <rfmt sheetId="22" s="1" sqref="F21" start="0" length="0">
    <dxf>
      <font>
        <sz val="9"/>
        <color auto="1"/>
        <name val="Arial"/>
        <family val="2"/>
        <scheme val="none"/>
      </font>
      <numFmt numFmtId="0" formatCode="General"/>
      <fill>
        <patternFill patternType="none">
          <bgColor indexed="65"/>
        </patternFill>
      </fill>
      <alignment horizontal="general"/>
    </dxf>
  </rfmt>
  <rfmt sheetId="22" sqref="G21" start="0" length="0">
    <dxf>
      <numFmt numFmtId="0" formatCode="General"/>
      <alignment horizontal="general"/>
    </dxf>
  </rfmt>
  <rfmt sheetId="22" sqref="H21" start="0" length="0">
    <dxf>
      <numFmt numFmtId="0" formatCode="General"/>
      <alignment horizontal="general"/>
    </dxf>
  </rfmt>
  <rfmt sheetId="22" sqref="I21" start="0" length="0">
    <dxf>
      <font>
        <sz val="9"/>
        <color auto="1"/>
        <name val="Arial"/>
        <family val="2"/>
        <scheme val="none"/>
      </font>
      <numFmt numFmtId="0" formatCode="General"/>
      <alignment horizontal="general"/>
      <border outline="0">
        <right/>
      </border>
    </dxf>
  </rfmt>
  <rfmt sheetId="22" sqref="J21" start="0" length="0">
    <dxf>
      <font>
        <sz val="9"/>
        <color auto="1"/>
        <name val="Arial"/>
        <family val="2"/>
        <scheme val="none"/>
      </font>
      <numFmt numFmtId="0" formatCode="General"/>
      <alignment horizontal="general"/>
      <border outline="0">
        <left/>
        <right/>
      </border>
    </dxf>
  </rfmt>
  <rfmt sheetId="22" s="1" sqref="K21" start="0" length="0">
    <dxf>
      <font>
        <sz val="9"/>
        <color auto="1"/>
        <name val="Arial"/>
        <family val="2"/>
        <scheme val="none"/>
      </font>
      <numFmt numFmtId="0" formatCode="General"/>
      <fill>
        <patternFill patternType="none">
          <bgColor indexed="65"/>
        </patternFill>
      </fill>
      <alignment horizontal="general"/>
    </dxf>
  </rfmt>
  <rfmt sheetId="22" sqref="L21" start="0" length="0">
    <dxf>
      <numFmt numFmtId="0" formatCode="General"/>
      <alignment horizontal="general"/>
    </dxf>
  </rfmt>
  <rfmt sheetId="22" sqref="M21" start="0" length="0">
    <dxf>
      <numFmt numFmtId="0" formatCode="General"/>
      <alignment horizontal="general"/>
    </dxf>
  </rfmt>
  <rfmt sheetId="22" sqref="N21" start="0" length="0">
    <dxf>
      <font>
        <sz val="9"/>
        <color auto="1"/>
        <name val="Arial"/>
        <family val="2"/>
        <scheme val="none"/>
      </font>
      <numFmt numFmtId="0" formatCode="General"/>
      <alignment horizontal="general"/>
      <border outline="0">
        <right/>
      </border>
    </dxf>
  </rfmt>
  <rfmt sheetId="22" s="1" sqref="O21" start="0" length="0">
    <dxf>
      <font>
        <sz val="9"/>
        <color auto="1"/>
        <name val="Arial"/>
        <family val="2"/>
        <scheme val="none"/>
      </font>
      <numFmt numFmtId="0" formatCode="General"/>
      <fill>
        <patternFill patternType="none">
          <bgColor indexed="65"/>
        </patternFill>
      </fill>
      <alignment horizontal="general"/>
    </dxf>
  </rfmt>
  <rfmt sheetId="22" sqref="P21" start="0" length="0">
    <dxf>
      <numFmt numFmtId="0" formatCode="General"/>
      <alignment horizontal="general"/>
    </dxf>
  </rfmt>
  <rfmt sheetId="22" sqref="Q21" start="0" length="0">
    <dxf>
      <font>
        <sz val="9"/>
        <color auto="1"/>
        <name val="Arial"/>
        <family val="2"/>
        <scheme val="none"/>
      </font>
      <numFmt numFmtId="0" formatCode="General"/>
      <alignment horizontal="general"/>
    </dxf>
  </rfmt>
  <rfmt sheetId="22" sqref="R21" start="0" length="0">
    <dxf>
      <font>
        <sz val="9"/>
        <color auto="1"/>
        <name val="Arial"/>
        <family val="2"/>
        <scheme val="none"/>
      </font>
      <numFmt numFmtId="0" formatCode="General"/>
      <alignment horizontal="general"/>
      <border outline="0">
        <right/>
      </border>
    </dxf>
  </rfmt>
  <rfmt sheetId="22" sqref="S21" start="0" length="0">
    <dxf>
      <font>
        <sz val="9"/>
        <color auto="1"/>
        <name val="Arial"/>
        <family val="2"/>
        <scheme val="none"/>
      </font>
    </dxf>
  </rfmt>
  <rfmt sheetId="22" sqref="T21" start="0" length="0">
    <dxf>
      <font>
        <sz val="9"/>
        <color auto="1"/>
        <name val="Arial"/>
        <family val="2"/>
        <scheme val="none"/>
      </font>
    </dxf>
  </rfmt>
  <rfmt sheetId="22" sqref="U21" start="0" length="0">
    <dxf>
      <font>
        <sz val="9"/>
        <color auto="1"/>
        <name val="Arial"/>
        <family val="2"/>
        <scheme val="none"/>
      </font>
    </dxf>
  </rfmt>
  <rfmt sheetId="22" sqref="V21" start="0" length="0">
    <dxf>
      <font>
        <sz val="9"/>
        <color auto="1"/>
        <name val="Arial"/>
        <family val="2"/>
        <scheme val="none"/>
      </font>
    </dxf>
  </rfmt>
  <rfmt sheetId="22" sqref="A21:XFD21" start="0" length="0">
    <dxf>
      <font>
        <sz val="9"/>
        <color auto="1"/>
        <name val="Arial"/>
        <family val="2"/>
        <scheme val="none"/>
      </font>
    </dxf>
  </rfmt>
  <rfmt sheetId="22" sqref="A22" start="0" length="0">
    <dxf>
      <fill>
        <patternFill patternType="none">
          <bgColor indexed="65"/>
        </patternFill>
      </fill>
      <alignment horizontal="general" indent="0"/>
      <border outline="0">
        <right/>
      </border>
    </dxf>
  </rfmt>
  <rfmt sheetId="22" s="1" sqref="B22" start="0" length="0">
    <dxf>
      <font>
        <sz val="9"/>
        <color auto="1"/>
        <name val="Arial"/>
        <family val="2"/>
        <scheme val="none"/>
      </font>
      <numFmt numFmtId="0" formatCode="General"/>
      <fill>
        <patternFill patternType="none">
          <bgColor indexed="65"/>
        </patternFill>
      </fill>
      <alignment horizontal="general"/>
    </dxf>
  </rfmt>
  <rfmt sheetId="22" sqref="C22" start="0" length="0">
    <dxf>
      <numFmt numFmtId="0" formatCode="General"/>
      <alignment horizontal="general"/>
    </dxf>
  </rfmt>
  <rfmt sheetId="22" sqref="D22" start="0" length="0">
    <dxf>
      <font>
        <b val="0"/>
        <sz val="9"/>
        <color auto="1"/>
        <name val="Arial"/>
        <family val="2"/>
        <scheme val="none"/>
      </font>
      <numFmt numFmtId="0" formatCode="General"/>
      <alignment horizontal="general"/>
    </dxf>
  </rfmt>
  <rfmt sheetId="22" sqref="E22" start="0" length="0">
    <dxf>
      <font>
        <b val="0"/>
        <sz val="9"/>
        <color auto="1"/>
        <name val="Arial"/>
        <family val="2"/>
        <scheme val="none"/>
      </font>
      <numFmt numFmtId="0" formatCode="General"/>
      <alignment horizontal="general"/>
      <border outline="0">
        <right/>
      </border>
    </dxf>
  </rfmt>
  <rfmt sheetId="22" s="1" sqref="F22" start="0" length="0">
    <dxf>
      <font>
        <sz val="9"/>
        <color auto="1"/>
        <name val="Arial"/>
        <family val="2"/>
        <scheme val="none"/>
      </font>
      <numFmt numFmtId="0" formatCode="General"/>
      <fill>
        <patternFill patternType="none">
          <bgColor indexed="65"/>
        </patternFill>
      </fill>
      <alignment horizontal="general"/>
    </dxf>
  </rfmt>
  <rfmt sheetId="22" sqref="G22" start="0" length="0">
    <dxf>
      <numFmt numFmtId="0" formatCode="General"/>
      <alignment horizontal="general"/>
    </dxf>
  </rfmt>
  <rfmt sheetId="22" sqref="H22" start="0" length="0">
    <dxf>
      <numFmt numFmtId="0" formatCode="General"/>
      <alignment horizontal="general"/>
    </dxf>
  </rfmt>
  <rfmt sheetId="22" sqref="I22" start="0" length="0">
    <dxf>
      <font>
        <sz val="9"/>
        <color auto="1"/>
        <name val="Arial"/>
        <family val="2"/>
        <scheme val="none"/>
      </font>
      <numFmt numFmtId="0" formatCode="General"/>
      <alignment horizontal="general"/>
      <border outline="0">
        <right/>
      </border>
    </dxf>
  </rfmt>
  <rfmt sheetId="22" sqref="J22" start="0" length="0">
    <dxf>
      <font>
        <sz val="9"/>
        <color auto="1"/>
        <name val="Arial"/>
        <family val="2"/>
        <scheme val="none"/>
      </font>
      <numFmt numFmtId="0" formatCode="General"/>
      <alignment horizontal="general"/>
      <border outline="0">
        <left/>
        <right/>
      </border>
    </dxf>
  </rfmt>
  <rfmt sheetId="22" s="1" sqref="K22" start="0" length="0">
    <dxf>
      <font>
        <sz val="9"/>
        <color auto="1"/>
        <name val="Arial"/>
        <family val="2"/>
        <scheme val="none"/>
      </font>
      <numFmt numFmtId="0" formatCode="General"/>
      <fill>
        <patternFill patternType="none">
          <bgColor indexed="65"/>
        </patternFill>
      </fill>
      <alignment horizontal="general"/>
    </dxf>
  </rfmt>
  <rfmt sheetId="22" sqref="L22" start="0" length="0">
    <dxf>
      <numFmt numFmtId="0" formatCode="General"/>
      <alignment horizontal="general"/>
    </dxf>
  </rfmt>
  <rfmt sheetId="22" sqref="M22" start="0" length="0">
    <dxf>
      <numFmt numFmtId="0" formatCode="General"/>
      <alignment horizontal="general"/>
    </dxf>
  </rfmt>
  <rfmt sheetId="22" sqref="N22" start="0" length="0">
    <dxf>
      <font>
        <sz val="9"/>
        <color auto="1"/>
        <name val="Arial"/>
        <family val="2"/>
        <scheme val="none"/>
      </font>
      <numFmt numFmtId="0" formatCode="General"/>
      <alignment horizontal="general"/>
      <border outline="0">
        <right/>
      </border>
    </dxf>
  </rfmt>
  <rfmt sheetId="22" s="1" sqref="O22" start="0" length="0">
    <dxf>
      <font>
        <sz val="9"/>
        <color auto="1"/>
        <name val="Arial"/>
        <family val="2"/>
        <scheme val="none"/>
      </font>
      <numFmt numFmtId="0" formatCode="General"/>
      <fill>
        <patternFill patternType="none">
          <bgColor indexed="65"/>
        </patternFill>
      </fill>
      <alignment horizontal="general"/>
    </dxf>
  </rfmt>
  <rfmt sheetId="22" sqref="P22" start="0" length="0">
    <dxf>
      <numFmt numFmtId="0" formatCode="General"/>
      <alignment horizontal="general"/>
    </dxf>
  </rfmt>
  <rfmt sheetId="22" sqref="Q22" start="0" length="0">
    <dxf>
      <font>
        <sz val="9"/>
        <color auto="1"/>
        <name val="Arial"/>
        <family val="2"/>
        <scheme val="none"/>
      </font>
      <numFmt numFmtId="0" formatCode="General"/>
      <alignment horizontal="general"/>
    </dxf>
  </rfmt>
  <rfmt sheetId="22" sqref="R22" start="0" length="0">
    <dxf>
      <font>
        <sz val="9"/>
        <color auto="1"/>
        <name val="Arial"/>
        <family val="2"/>
        <scheme val="none"/>
      </font>
      <numFmt numFmtId="0" formatCode="General"/>
      <alignment horizontal="general"/>
      <border outline="0">
        <right/>
      </border>
    </dxf>
  </rfmt>
  <rfmt sheetId="22" sqref="S22" start="0" length="0">
    <dxf>
      <font>
        <sz val="9"/>
        <color auto="1"/>
        <name val="Arial"/>
        <family val="2"/>
        <scheme val="none"/>
      </font>
    </dxf>
  </rfmt>
  <rfmt sheetId="22" sqref="T22" start="0" length="0">
    <dxf>
      <font>
        <sz val="9"/>
        <color auto="1"/>
        <name val="Arial"/>
        <family val="2"/>
        <scheme val="none"/>
      </font>
    </dxf>
  </rfmt>
  <rfmt sheetId="22" sqref="U22" start="0" length="0">
    <dxf>
      <font>
        <sz val="9"/>
        <color auto="1"/>
        <name val="Arial"/>
        <family val="2"/>
        <scheme val="none"/>
      </font>
    </dxf>
  </rfmt>
  <rfmt sheetId="22" sqref="V22" start="0" length="0">
    <dxf>
      <font>
        <sz val="9"/>
        <color auto="1"/>
        <name val="Arial"/>
        <family val="2"/>
        <scheme val="none"/>
      </font>
    </dxf>
  </rfmt>
  <rfmt sheetId="22" sqref="A22:XFD22" start="0" length="0">
    <dxf>
      <font>
        <sz val="9"/>
        <color auto="1"/>
        <name val="Arial"/>
        <family val="2"/>
        <scheme val="none"/>
      </font>
    </dxf>
  </rfmt>
  <rfmt sheetId="22" sqref="A23" start="0" length="0">
    <dxf>
      <fill>
        <patternFill patternType="none">
          <bgColor indexed="65"/>
        </patternFill>
      </fill>
      <alignment horizontal="general" indent="0"/>
      <border outline="0">
        <right/>
      </border>
    </dxf>
  </rfmt>
  <rfmt sheetId="22" s="1" sqref="B23" start="0" length="0">
    <dxf>
      <font>
        <sz val="9"/>
        <color auto="1"/>
        <name val="Arial"/>
        <family val="2"/>
        <scheme val="none"/>
      </font>
      <numFmt numFmtId="0" formatCode="General"/>
      <fill>
        <patternFill patternType="none">
          <bgColor indexed="65"/>
        </patternFill>
      </fill>
      <alignment horizontal="general"/>
    </dxf>
  </rfmt>
  <rfmt sheetId="22" sqref="C23" start="0" length="0">
    <dxf>
      <numFmt numFmtId="0" formatCode="General"/>
      <alignment horizontal="general"/>
    </dxf>
  </rfmt>
  <rfmt sheetId="22" sqref="D23" start="0" length="0">
    <dxf>
      <font>
        <b val="0"/>
        <sz val="9"/>
        <color auto="1"/>
        <name val="Arial"/>
        <family val="2"/>
        <scheme val="none"/>
      </font>
      <numFmt numFmtId="0" formatCode="General"/>
      <alignment horizontal="general"/>
    </dxf>
  </rfmt>
  <rfmt sheetId="22" sqref="E23" start="0" length="0">
    <dxf>
      <font>
        <b val="0"/>
        <sz val="9"/>
        <color auto="1"/>
        <name val="Arial"/>
        <family val="2"/>
        <scheme val="none"/>
      </font>
      <numFmt numFmtId="0" formatCode="General"/>
      <alignment horizontal="general"/>
      <border outline="0">
        <right/>
      </border>
    </dxf>
  </rfmt>
  <rfmt sheetId="22" s="1" sqref="F23" start="0" length="0">
    <dxf>
      <font>
        <sz val="9"/>
        <color auto="1"/>
        <name val="Arial"/>
        <family val="2"/>
        <scheme val="none"/>
      </font>
      <numFmt numFmtId="0" formatCode="General"/>
      <fill>
        <patternFill patternType="none">
          <bgColor indexed="65"/>
        </patternFill>
      </fill>
      <alignment horizontal="general"/>
    </dxf>
  </rfmt>
  <rfmt sheetId="22" sqref="G23" start="0" length="0">
    <dxf>
      <numFmt numFmtId="0" formatCode="General"/>
      <alignment horizontal="general"/>
    </dxf>
  </rfmt>
  <rfmt sheetId="22" sqref="H23" start="0" length="0">
    <dxf>
      <numFmt numFmtId="0" formatCode="General"/>
      <alignment horizontal="general"/>
    </dxf>
  </rfmt>
  <rfmt sheetId="22" sqref="I23" start="0" length="0">
    <dxf>
      <font>
        <sz val="9"/>
        <color auto="1"/>
        <name val="Arial"/>
        <family val="2"/>
        <scheme val="none"/>
      </font>
      <numFmt numFmtId="0" formatCode="General"/>
      <alignment horizontal="general"/>
      <border outline="0">
        <right/>
      </border>
    </dxf>
  </rfmt>
  <rfmt sheetId="22" sqref="J23" start="0" length="0">
    <dxf>
      <font>
        <sz val="9"/>
        <color auto="1"/>
        <name val="Arial"/>
        <family val="2"/>
        <scheme val="none"/>
      </font>
      <numFmt numFmtId="0" formatCode="General"/>
      <alignment horizontal="general"/>
      <border outline="0">
        <left/>
        <right/>
      </border>
    </dxf>
  </rfmt>
  <rfmt sheetId="22" s="1" sqref="K23" start="0" length="0">
    <dxf>
      <font>
        <sz val="9"/>
        <color auto="1"/>
        <name val="Arial"/>
        <family val="2"/>
        <scheme val="none"/>
      </font>
      <numFmt numFmtId="0" formatCode="General"/>
      <fill>
        <patternFill patternType="none">
          <bgColor indexed="65"/>
        </patternFill>
      </fill>
      <alignment horizontal="general"/>
    </dxf>
  </rfmt>
  <rfmt sheetId="22" sqref="L23" start="0" length="0">
    <dxf>
      <numFmt numFmtId="0" formatCode="General"/>
      <alignment horizontal="general"/>
    </dxf>
  </rfmt>
  <rfmt sheetId="22" sqref="M23" start="0" length="0">
    <dxf>
      <numFmt numFmtId="0" formatCode="General"/>
      <alignment horizontal="general"/>
    </dxf>
  </rfmt>
  <rfmt sheetId="22" sqref="N23" start="0" length="0">
    <dxf>
      <font>
        <sz val="9"/>
        <color auto="1"/>
        <name val="Arial"/>
        <family val="2"/>
        <scheme val="none"/>
      </font>
      <numFmt numFmtId="0" formatCode="General"/>
      <alignment horizontal="general"/>
      <border outline="0">
        <right/>
      </border>
    </dxf>
  </rfmt>
  <rfmt sheetId="22" s="1" sqref="O23" start="0" length="0">
    <dxf>
      <font>
        <sz val="9"/>
        <color auto="1"/>
        <name val="Arial"/>
        <family val="2"/>
        <scheme val="none"/>
      </font>
      <numFmt numFmtId="0" formatCode="General"/>
      <fill>
        <patternFill patternType="none">
          <bgColor indexed="65"/>
        </patternFill>
      </fill>
      <alignment horizontal="general"/>
    </dxf>
  </rfmt>
  <rfmt sheetId="22" sqref="P23" start="0" length="0">
    <dxf>
      <numFmt numFmtId="0" formatCode="General"/>
      <alignment horizontal="general"/>
    </dxf>
  </rfmt>
  <rfmt sheetId="22" sqref="Q23" start="0" length="0">
    <dxf>
      <font>
        <sz val="9"/>
        <color auto="1"/>
        <name val="Arial"/>
        <family val="2"/>
        <scheme val="none"/>
      </font>
      <numFmt numFmtId="0" formatCode="General"/>
      <alignment horizontal="general"/>
    </dxf>
  </rfmt>
  <rfmt sheetId="22" sqref="R23" start="0" length="0">
    <dxf>
      <font>
        <sz val="9"/>
        <color auto="1"/>
        <name val="Arial"/>
        <family val="2"/>
        <scheme val="none"/>
      </font>
      <numFmt numFmtId="0" formatCode="General"/>
      <alignment horizontal="general"/>
      <border outline="0">
        <right/>
      </border>
    </dxf>
  </rfmt>
  <rfmt sheetId="22" sqref="S23" start="0" length="0">
    <dxf>
      <font>
        <sz val="9"/>
        <color auto="1"/>
        <name val="Arial"/>
        <family val="2"/>
        <scheme val="none"/>
      </font>
    </dxf>
  </rfmt>
  <rfmt sheetId="22" sqref="T23" start="0" length="0">
    <dxf>
      <font>
        <sz val="9"/>
        <color auto="1"/>
        <name val="Arial"/>
        <family val="2"/>
        <scheme val="none"/>
      </font>
    </dxf>
  </rfmt>
  <rfmt sheetId="22" sqref="U23" start="0" length="0">
    <dxf>
      <font>
        <sz val="9"/>
        <color auto="1"/>
        <name val="Arial"/>
        <family val="2"/>
        <scheme val="none"/>
      </font>
    </dxf>
  </rfmt>
  <rfmt sheetId="22" sqref="V23" start="0" length="0">
    <dxf>
      <font>
        <sz val="9"/>
        <color auto="1"/>
        <name val="Arial"/>
        <family val="2"/>
        <scheme val="none"/>
      </font>
    </dxf>
  </rfmt>
  <rfmt sheetId="22" sqref="A23:XFD23" start="0" length="0">
    <dxf>
      <font>
        <sz val="9"/>
        <color auto="1"/>
        <name val="Arial"/>
        <family val="2"/>
        <scheme val="none"/>
      </font>
    </dxf>
  </rfmt>
  <rfmt sheetId="22" sqref="A24" start="0" length="0">
    <dxf>
      <fill>
        <patternFill patternType="none">
          <bgColor indexed="65"/>
        </patternFill>
      </fill>
      <alignment horizontal="general" indent="0"/>
      <border outline="0">
        <right/>
      </border>
    </dxf>
  </rfmt>
  <rfmt sheetId="22" s="1" sqref="B24" start="0" length="0">
    <dxf>
      <font>
        <sz val="9"/>
        <color auto="1"/>
        <name val="Arial"/>
        <family val="2"/>
        <scheme val="none"/>
      </font>
      <numFmt numFmtId="0" formatCode="General"/>
      <fill>
        <patternFill patternType="none">
          <bgColor indexed="65"/>
        </patternFill>
      </fill>
      <alignment horizontal="general"/>
    </dxf>
  </rfmt>
  <rfmt sheetId="22" sqref="C24" start="0" length="0">
    <dxf>
      <numFmt numFmtId="0" formatCode="General"/>
      <alignment horizontal="general"/>
    </dxf>
  </rfmt>
  <rfmt sheetId="22" sqref="D24" start="0" length="0">
    <dxf>
      <font>
        <b val="0"/>
        <sz val="9"/>
        <color auto="1"/>
        <name val="Arial"/>
        <family val="2"/>
        <scheme val="none"/>
      </font>
      <numFmt numFmtId="0" formatCode="General"/>
      <alignment horizontal="general"/>
    </dxf>
  </rfmt>
  <rfmt sheetId="22" sqref="E24" start="0" length="0">
    <dxf>
      <font>
        <b val="0"/>
        <sz val="9"/>
        <color auto="1"/>
        <name val="Arial"/>
        <family val="2"/>
        <scheme val="none"/>
      </font>
      <numFmt numFmtId="0" formatCode="General"/>
      <alignment horizontal="general"/>
      <border outline="0">
        <right/>
      </border>
    </dxf>
  </rfmt>
  <rfmt sheetId="22" s="1" sqref="F24" start="0" length="0">
    <dxf>
      <font>
        <sz val="9"/>
        <color auto="1"/>
        <name val="Arial"/>
        <family val="2"/>
        <scheme val="none"/>
      </font>
      <numFmt numFmtId="0" formatCode="General"/>
      <fill>
        <patternFill patternType="none">
          <bgColor indexed="65"/>
        </patternFill>
      </fill>
      <alignment horizontal="general"/>
    </dxf>
  </rfmt>
  <rfmt sheetId="22" sqref="G24" start="0" length="0">
    <dxf>
      <numFmt numFmtId="0" formatCode="General"/>
      <alignment horizontal="general"/>
    </dxf>
  </rfmt>
  <rfmt sheetId="22" sqref="H24" start="0" length="0">
    <dxf>
      <numFmt numFmtId="0" formatCode="General"/>
      <alignment horizontal="general"/>
    </dxf>
  </rfmt>
  <rfmt sheetId="22" sqref="I24" start="0" length="0">
    <dxf>
      <font>
        <sz val="9"/>
        <color auto="1"/>
        <name val="Arial"/>
        <family val="2"/>
        <scheme val="none"/>
      </font>
      <numFmt numFmtId="0" formatCode="General"/>
      <alignment horizontal="general"/>
      <border outline="0">
        <right/>
      </border>
    </dxf>
  </rfmt>
  <rfmt sheetId="22" sqref="J24" start="0" length="0">
    <dxf>
      <font>
        <sz val="9"/>
        <color auto="1"/>
        <name val="Arial"/>
        <family val="2"/>
        <scheme val="none"/>
      </font>
      <numFmt numFmtId="0" formatCode="General"/>
      <alignment horizontal="general"/>
      <border outline="0">
        <left/>
        <right/>
      </border>
    </dxf>
  </rfmt>
  <rfmt sheetId="22" s="1" sqref="K24" start="0" length="0">
    <dxf>
      <font>
        <sz val="9"/>
        <color auto="1"/>
        <name val="Arial"/>
        <family val="2"/>
        <scheme val="none"/>
      </font>
      <numFmt numFmtId="0" formatCode="General"/>
      <fill>
        <patternFill patternType="none">
          <bgColor indexed="65"/>
        </patternFill>
      </fill>
      <alignment horizontal="general"/>
    </dxf>
  </rfmt>
  <rfmt sheetId="22" sqref="L24" start="0" length="0">
    <dxf>
      <numFmt numFmtId="0" formatCode="General"/>
      <alignment horizontal="general"/>
    </dxf>
  </rfmt>
  <rfmt sheetId="22" sqref="M24" start="0" length="0">
    <dxf>
      <numFmt numFmtId="0" formatCode="General"/>
      <alignment horizontal="general"/>
    </dxf>
  </rfmt>
  <rfmt sheetId="22" sqref="N24" start="0" length="0">
    <dxf>
      <font>
        <sz val="9"/>
        <color auto="1"/>
        <name val="Arial"/>
        <family val="2"/>
        <scheme val="none"/>
      </font>
      <numFmt numFmtId="0" formatCode="General"/>
      <alignment horizontal="general"/>
      <border outline="0">
        <right/>
      </border>
    </dxf>
  </rfmt>
  <rfmt sheetId="22" s="1" sqref="O24" start="0" length="0">
    <dxf>
      <font>
        <sz val="9"/>
        <color auto="1"/>
        <name val="Arial"/>
        <family val="2"/>
        <scheme val="none"/>
      </font>
      <numFmt numFmtId="0" formatCode="General"/>
      <fill>
        <patternFill patternType="none">
          <bgColor indexed="65"/>
        </patternFill>
      </fill>
      <alignment horizontal="general"/>
    </dxf>
  </rfmt>
  <rfmt sheetId="22" sqref="P24" start="0" length="0">
    <dxf>
      <numFmt numFmtId="0" formatCode="General"/>
      <alignment horizontal="general"/>
    </dxf>
  </rfmt>
  <rfmt sheetId="22" sqref="Q24" start="0" length="0">
    <dxf>
      <font>
        <sz val="9"/>
        <color auto="1"/>
        <name val="Arial"/>
        <family val="2"/>
        <scheme val="none"/>
      </font>
      <numFmt numFmtId="0" formatCode="General"/>
      <alignment horizontal="general"/>
    </dxf>
  </rfmt>
  <rfmt sheetId="22" sqref="R24" start="0" length="0">
    <dxf>
      <font>
        <sz val="9"/>
        <color auto="1"/>
        <name val="Arial"/>
        <family val="2"/>
        <scheme val="none"/>
      </font>
      <numFmt numFmtId="0" formatCode="General"/>
      <alignment horizontal="general"/>
      <border outline="0">
        <right/>
      </border>
    </dxf>
  </rfmt>
  <rfmt sheetId="22" sqref="S24" start="0" length="0">
    <dxf>
      <font>
        <sz val="9"/>
        <color auto="1"/>
        <name val="Arial"/>
        <family val="2"/>
        <scheme val="none"/>
      </font>
    </dxf>
  </rfmt>
  <rfmt sheetId="22" sqref="T24" start="0" length="0">
    <dxf>
      <font>
        <sz val="9"/>
        <color auto="1"/>
        <name val="Arial"/>
        <family val="2"/>
        <scheme val="none"/>
      </font>
    </dxf>
  </rfmt>
  <rfmt sheetId="22" sqref="U24" start="0" length="0">
    <dxf>
      <font>
        <sz val="9"/>
        <color auto="1"/>
        <name val="Arial"/>
        <family val="2"/>
        <scheme val="none"/>
      </font>
    </dxf>
  </rfmt>
  <rfmt sheetId="22" sqref="V24" start="0" length="0">
    <dxf>
      <font>
        <sz val="9"/>
        <color auto="1"/>
        <name val="Arial"/>
        <family val="2"/>
        <scheme val="none"/>
      </font>
    </dxf>
  </rfmt>
  <rfmt sheetId="22" sqref="A24:XFD24" start="0" length="0">
    <dxf>
      <font>
        <sz val="9"/>
        <color auto="1"/>
        <name val="Arial"/>
        <family val="2"/>
        <scheme val="none"/>
      </font>
    </dxf>
  </rfmt>
  <rfmt sheetId="22" sqref="A25" start="0" length="0">
    <dxf>
      <fill>
        <patternFill patternType="none">
          <bgColor indexed="65"/>
        </patternFill>
      </fill>
      <alignment horizontal="general" indent="0"/>
      <border outline="0">
        <right/>
      </border>
    </dxf>
  </rfmt>
  <rfmt sheetId="22" s="1" sqref="B25" start="0" length="0">
    <dxf>
      <font>
        <sz val="9"/>
        <color auto="1"/>
        <name val="Arial"/>
        <family val="2"/>
        <scheme val="none"/>
      </font>
      <numFmt numFmtId="0" formatCode="General"/>
      <fill>
        <patternFill patternType="none">
          <bgColor indexed="65"/>
        </patternFill>
      </fill>
      <alignment horizontal="general"/>
    </dxf>
  </rfmt>
  <rfmt sheetId="22" sqref="C25" start="0" length="0">
    <dxf>
      <numFmt numFmtId="0" formatCode="General"/>
      <alignment horizontal="general"/>
    </dxf>
  </rfmt>
  <rfmt sheetId="22" sqref="D25" start="0" length="0">
    <dxf>
      <font>
        <b val="0"/>
        <sz val="9"/>
        <color auto="1"/>
        <name val="Arial"/>
        <family val="2"/>
        <scheme val="none"/>
      </font>
      <numFmt numFmtId="0" formatCode="General"/>
      <alignment horizontal="general"/>
    </dxf>
  </rfmt>
  <rfmt sheetId="22" sqref="E25" start="0" length="0">
    <dxf>
      <font>
        <b val="0"/>
        <sz val="9"/>
        <color auto="1"/>
        <name val="Arial"/>
        <family val="2"/>
        <scheme val="none"/>
      </font>
      <numFmt numFmtId="0" formatCode="General"/>
      <alignment horizontal="general"/>
      <border outline="0">
        <right/>
      </border>
    </dxf>
  </rfmt>
  <rfmt sheetId="22" s="1" sqref="F25" start="0" length="0">
    <dxf>
      <font>
        <sz val="9"/>
        <color auto="1"/>
        <name val="Arial"/>
        <family val="2"/>
        <scheme val="none"/>
      </font>
      <numFmt numFmtId="0" formatCode="General"/>
      <fill>
        <patternFill patternType="none">
          <bgColor indexed="65"/>
        </patternFill>
      </fill>
      <alignment horizontal="general"/>
    </dxf>
  </rfmt>
  <rfmt sheetId="22" sqref="G25" start="0" length="0">
    <dxf>
      <numFmt numFmtId="0" formatCode="General"/>
      <alignment horizontal="general"/>
    </dxf>
  </rfmt>
  <rfmt sheetId="22" sqref="H25" start="0" length="0">
    <dxf>
      <numFmt numFmtId="0" formatCode="General"/>
      <alignment horizontal="general"/>
    </dxf>
  </rfmt>
  <rfmt sheetId="22" sqref="I25" start="0" length="0">
    <dxf>
      <font>
        <sz val="9"/>
        <color auto="1"/>
        <name val="Arial"/>
        <family val="2"/>
        <scheme val="none"/>
      </font>
      <numFmt numFmtId="0" formatCode="General"/>
      <alignment horizontal="general"/>
      <border outline="0">
        <right/>
      </border>
    </dxf>
  </rfmt>
  <rfmt sheetId="22" sqref="J25" start="0" length="0">
    <dxf>
      <font>
        <sz val="9"/>
        <color auto="1"/>
        <name val="Arial"/>
        <family val="2"/>
        <scheme val="none"/>
      </font>
      <numFmt numFmtId="0" formatCode="General"/>
      <alignment horizontal="general"/>
      <border outline="0">
        <left/>
        <right/>
      </border>
    </dxf>
  </rfmt>
  <rfmt sheetId="22" s="1" sqref="K25" start="0" length="0">
    <dxf>
      <font>
        <sz val="9"/>
        <color auto="1"/>
        <name val="Arial"/>
        <family val="2"/>
        <scheme val="none"/>
      </font>
      <numFmt numFmtId="0" formatCode="General"/>
      <fill>
        <patternFill patternType="none">
          <bgColor indexed="65"/>
        </patternFill>
      </fill>
      <alignment horizontal="general"/>
    </dxf>
  </rfmt>
  <rfmt sheetId="22" sqref="L25" start="0" length="0">
    <dxf>
      <numFmt numFmtId="0" formatCode="General"/>
      <alignment horizontal="general"/>
    </dxf>
  </rfmt>
  <rfmt sheetId="22" sqref="M25" start="0" length="0">
    <dxf>
      <numFmt numFmtId="0" formatCode="General"/>
      <alignment horizontal="general"/>
    </dxf>
  </rfmt>
  <rfmt sheetId="22" sqref="N25" start="0" length="0">
    <dxf>
      <font>
        <sz val="9"/>
        <color auto="1"/>
        <name val="Arial"/>
        <family val="2"/>
        <scheme val="none"/>
      </font>
      <numFmt numFmtId="0" formatCode="General"/>
      <alignment horizontal="general"/>
      <border outline="0">
        <right/>
      </border>
    </dxf>
  </rfmt>
  <rfmt sheetId="22" s="1" sqref="O25" start="0" length="0">
    <dxf>
      <font>
        <sz val="9"/>
        <color auto="1"/>
        <name val="Arial"/>
        <family val="2"/>
        <scheme val="none"/>
      </font>
      <numFmt numFmtId="0" formatCode="General"/>
      <fill>
        <patternFill patternType="none">
          <bgColor indexed="65"/>
        </patternFill>
      </fill>
      <alignment horizontal="general"/>
    </dxf>
  </rfmt>
  <rfmt sheetId="22" sqref="P25" start="0" length="0">
    <dxf>
      <numFmt numFmtId="0" formatCode="General"/>
      <alignment horizontal="general"/>
    </dxf>
  </rfmt>
  <rfmt sheetId="22" sqref="Q25" start="0" length="0">
    <dxf>
      <font>
        <sz val="9"/>
        <color auto="1"/>
        <name val="Arial"/>
        <family val="2"/>
        <scheme val="none"/>
      </font>
      <numFmt numFmtId="0" formatCode="General"/>
      <alignment horizontal="general"/>
    </dxf>
  </rfmt>
  <rfmt sheetId="22" sqref="R25" start="0" length="0">
    <dxf>
      <font>
        <sz val="9"/>
        <color auto="1"/>
        <name val="Arial"/>
        <family val="2"/>
        <scheme val="none"/>
      </font>
      <numFmt numFmtId="0" formatCode="General"/>
      <alignment horizontal="general"/>
      <border outline="0">
        <right/>
      </border>
    </dxf>
  </rfmt>
  <rfmt sheetId="22" sqref="S25" start="0" length="0">
    <dxf>
      <font>
        <sz val="9"/>
        <color auto="1"/>
        <name val="Arial"/>
        <family val="2"/>
        <scheme val="none"/>
      </font>
    </dxf>
  </rfmt>
  <rfmt sheetId="22" sqref="T25" start="0" length="0">
    <dxf>
      <font>
        <sz val="9"/>
        <color auto="1"/>
        <name val="Arial"/>
        <family val="2"/>
        <scheme val="none"/>
      </font>
    </dxf>
  </rfmt>
  <rfmt sheetId="22" sqref="U25" start="0" length="0">
    <dxf>
      <font>
        <sz val="9"/>
        <color auto="1"/>
        <name val="Arial"/>
        <family val="2"/>
        <scheme val="none"/>
      </font>
    </dxf>
  </rfmt>
  <rfmt sheetId="22" sqref="V25" start="0" length="0">
    <dxf>
      <font>
        <sz val="9"/>
        <color auto="1"/>
        <name val="Arial"/>
        <family val="2"/>
        <scheme val="none"/>
      </font>
    </dxf>
  </rfmt>
  <rfmt sheetId="22" sqref="A25:XFD25" start="0" length="0">
    <dxf>
      <font>
        <sz val="9"/>
        <color auto="1"/>
        <name val="Arial"/>
        <family val="2"/>
        <scheme val="none"/>
      </font>
    </dxf>
  </rfmt>
  <rfmt sheetId="22" sqref="A26" start="0" length="0">
    <dxf>
      <fill>
        <patternFill patternType="none">
          <bgColor indexed="65"/>
        </patternFill>
      </fill>
      <alignment horizontal="general" indent="0"/>
      <border outline="0">
        <right/>
      </border>
    </dxf>
  </rfmt>
  <rfmt sheetId="22" s="1" sqref="B26" start="0" length="0">
    <dxf>
      <font>
        <sz val="9"/>
        <color auto="1"/>
        <name val="Arial"/>
        <family val="2"/>
        <scheme val="none"/>
      </font>
      <numFmt numFmtId="0" formatCode="General"/>
      <fill>
        <patternFill patternType="none">
          <bgColor indexed="65"/>
        </patternFill>
      </fill>
      <alignment horizontal="general"/>
    </dxf>
  </rfmt>
  <rfmt sheetId="22" sqref="C26" start="0" length="0">
    <dxf>
      <numFmt numFmtId="0" formatCode="General"/>
      <alignment horizontal="general"/>
    </dxf>
  </rfmt>
  <rfmt sheetId="22" sqref="D26" start="0" length="0">
    <dxf>
      <font>
        <b val="0"/>
        <sz val="9"/>
        <color auto="1"/>
        <name val="Arial"/>
        <family val="2"/>
        <scheme val="none"/>
      </font>
      <numFmt numFmtId="0" formatCode="General"/>
      <alignment horizontal="general"/>
    </dxf>
  </rfmt>
  <rfmt sheetId="22" sqref="E26" start="0" length="0">
    <dxf>
      <font>
        <b val="0"/>
        <sz val="9"/>
        <color auto="1"/>
        <name val="Arial"/>
        <family val="2"/>
        <scheme val="none"/>
      </font>
      <numFmt numFmtId="0" formatCode="General"/>
      <alignment horizontal="general"/>
      <border outline="0">
        <right/>
      </border>
    </dxf>
  </rfmt>
  <rfmt sheetId="22" s="1" sqref="F26" start="0" length="0">
    <dxf>
      <font>
        <sz val="9"/>
        <color auto="1"/>
        <name val="Arial"/>
        <family val="2"/>
        <scheme val="none"/>
      </font>
      <numFmt numFmtId="0" formatCode="General"/>
      <fill>
        <patternFill patternType="none">
          <bgColor indexed="65"/>
        </patternFill>
      </fill>
      <alignment horizontal="general"/>
    </dxf>
  </rfmt>
  <rfmt sheetId="22" sqref="G26" start="0" length="0">
    <dxf>
      <numFmt numFmtId="0" formatCode="General"/>
      <alignment horizontal="general"/>
    </dxf>
  </rfmt>
  <rfmt sheetId="22" sqref="H26" start="0" length="0">
    <dxf>
      <numFmt numFmtId="0" formatCode="General"/>
      <alignment horizontal="general"/>
    </dxf>
  </rfmt>
  <rfmt sheetId="22" sqref="I26" start="0" length="0">
    <dxf>
      <font>
        <sz val="9"/>
        <color auto="1"/>
        <name val="Arial"/>
        <family val="2"/>
        <scheme val="none"/>
      </font>
      <numFmt numFmtId="0" formatCode="General"/>
      <alignment horizontal="general"/>
      <border outline="0">
        <right/>
      </border>
    </dxf>
  </rfmt>
  <rfmt sheetId="22" sqref="J26" start="0" length="0">
    <dxf>
      <font>
        <sz val="9"/>
        <color auto="1"/>
        <name val="Arial"/>
        <family val="2"/>
        <scheme val="none"/>
      </font>
      <numFmt numFmtId="0" formatCode="General"/>
      <alignment horizontal="general"/>
      <border outline="0">
        <left/>
        <right/>
      </border>
    </dxf>
  </rfmt>
  <rfmt sheetId="22" s="1" sqref="K26" start="0" length="0">
    <dxf>
      <font>
        <sz val="9"/>
        <color auto="1"/>
        <name val="Arial"/>
        <family val="2"/>
        <scheme val="none"/>
      </font>
      <numFmt numFmtId="0" formatCode="General"/>
      <fill>
        <patternFill patternType="none">
          <bgColor indexed="65"/>
        </patternFill>
      </fill>
      <alignment horizontal="general"/>
    </dxf>
  </rfmt>
  <rfmt sheetId="22" sqref="L26" start="0" length="0">
    <dxf>
      <numFmt numFmtId="0" formatCode="General"/>
      <alignment horizontal="general"/>
    </dxf>
  </rfmt>
  <rfmt sheetId="22" sqref="M26" start="0" length="0">
    <dxf>
      <numFmt numFmtId="0" formatCode="General"/>
      <alignment horizontal="general"/>
    </dxf>
  </rfmt>
  <rfmt sheetId="22" sqref="N26" start="0" length="0">
    <dxf>
      <font>
        <sz val="9"/>
        <color auto="1"/>
        <name val="Arial"/>
        <family val="2"/>
        <scheme val="none"/>
      </font>
      <numFmt numFmtId="0" formatCode="General"/>
      <alignment horizontal="general"/>
      <border outline="0">
        <right/>
      </border>
    </dxf>
  </rfmt>
  <rfmt sheetId="22" s="1" sqref="O26" start="0" length="0">
    <dxf>
      <font>
        <sz val="9"/>
        <color auto="1"/>
        <name val="Arial"/>
        <family val="2"/>
        <scheme val="none"/>
      </font>
      <numFmt numFmtId="0" formatCode="General"/>
      <fill>
        <patternFill patternType="none">
          <bgColor indexed="65"/>
        </patternFill>
      </fill>
      <alignment horizontal="general"/>
    </dxf>
  </rfmt>
  <rfmt sheetId="22" sqref="P26" start="0" length="0">
    <dxf>
      <numFmt numFmtId="0" formatCode="General"/>
      <alignment horizontal="general"/>
    </dxf>
  </rfmt>
  <rfmt sheetId="22" sqref="Q26" start="0" length="0">
    <dxf>
      <font>
        <sz val="9"/>
        <color auto="1"/>
        <name val="Arial"/>
        <family val="2"/>
        <scheme val="none"/>
      </font>
      <numFmt numFmtId="0" formatCode="General"/>
      <alignment horizontal="general"/>
    </dxf>
  </rfmt>
  <rfmt sheetId="22" sqref="R26" start="0" length="0">
    <dxf>
      <font>
        <sz val="9"/>
        <color auto="1"/>
        <name val="Arial"/>
        <family val="2"/>
        <scheme val="none"/>
      </font>
      <numFmt numFmtId="0" formatCode="General"/>
      <alignment horizontal="general"/>
      <border outline="0">
        <right/>
      </border>
    </dxf>
  </rfmt>
  <rfmt sheetId="22" sqref="S26" start="0" length="0">
    <dxf>
      <font>
        <sz val="9"/>
        <color auto="1"/>
        <name val="Arial"/>
        <family val="2"/>
        <scheme val="none"/>
      </font>
    </dxf>
  </rfmt>
  <rfmt sheetId="22" sqref="T26" start="0" length="0">
    <dxf>
      <font>
        <sz val="9"/>
        <color auto="1"/>
        <name val="Arial"/>
        <family val="2"/>
        <scheme val="none"/>
      </font>
    </dxf>
  </rfmt>
  <rfmt sheetId="22" sqref="U26" start="0" length="0">
    <dxf>
      <font>
        <sz val="9"/>
        <color auto="1"/>
        <name val="Arial"/>
        <family val="2"/>
        <scheme val="none"/>
      </font>
    </dxf>
  </rfmt>
  <rfmt sheetId="22" sqref="V26" start="0" length="0">
    <dxf>
      <font>
        <sz val="9"/>
        <color auto="1"/>
        <name val="Arial"/>
        <family val="2"/>
        <scheme val="none"/>
      </font>
    </dxf>
  </rfmt>
  <rfmt sheetId="22" sqref="A26:XFD26" start="0" length="0">
    <dxf>
      <font>
        <sz val="9"/>
        <color auto="1"/>
        <name val="Arial"/>
        <family val="2"/>
        <scheme val="none"/>
      </font>
    </dxf>
  </rfmt>
  <rfmt sheetId="22" sqref="A27" start="0" length="0">
    <dxf>
      <fill>
        <patternFill patternType="none">
          <bgColor indexed="65"/>
        </patternFill>
      </fill>
      <alignment horizontal="general" indent="0"/>
      <border outline="0">
        <right/>
      </border>
    </dxf>
  </rfmt>
  <rfmt sheetId="22" s="1" sqref="B27" start="0" length="0">
    <dxf>
      <font>
        <sz val="9"/>
        <color auto="1"/>
        <name val="Arial"/>
        <family val="2"/>
        <scheme val="none"/>
      </font>
      <numFmt numFmtId="0" formatCode="General"/>
      <fill>
        <patternFill patternType="none">
          <bgColor indexed="65"/>
        </patternFill>
      </fill>
      <alignment horizontal="general"/>
    </dxf>
  </rfmt>
  <rfmt sheetId="22" sqref="C27" start="0" length="0">
    <dxf>
      <numFmt numFmtId="0" formatCode="General"/>
      <alignment horizontal="general"/>
    </dxf>
  </rfmt>
  <rfmt sheetId="22" sqref="D27" start="0" length="0">
    <dxf>
      <font>
        <b val="0"/>
        <sz val="9"/>
        <color auto="1"/>
        <name val="Arial"/>
        <family val="2"/>
        <scheme val="none"/>
      </font>
      <numFmt numFmtId="0" formatCode="General"/>
      <alignment horizontal="general"/>
    </dxf>
  </rfmt>
  <rfmt sheetId="22" sqref="E27" start="0" length="0">
    <dxf>
      <font>
        <b val="0"/>
        <sz val="9"/>
        <color auto="1"/>
        <name val="Arial"/>
        <family val="2"/>
        <scheme val="none"/>
      </font>
      <numFmt numFmtId="0" formatCode="General"/>
      <alignment horizontal="general"/>
      <border outline="0">
        <right/>
      </border>
    </dxf>
  </rfmt>
  <rfmt sheetId="22" s="1" sqref="F27" start="0" length="0">
    <dxf>
      <font>
        <sz val="9"/>
        <color auto="1"/>
        <name val="Arial"/>
        <family val="2"/>
        <scheme val="none"/>
      </font>
      <numFmt numFmtId="0" formatCode="General"/>
      <fill>
        <patternFill patternType="none">
          <bgColor indexed="65"/>
        </patternFill>
      </fill>
      <alignment horizontal="general"/>
    </dxf>
  </rfmt>
  <rfmt sheetId="22" sqref="G27" start="0" length="0">
    <dxf>
      <numFmt numFmtId="0" formatCode="General"/>
      <alignment horizontal="general"/>
    </dxf>
  </rfmt>
  <rfmt sheetId="22" sqref="H27" start="0" length="0">
    <dxf>
      <numFmt numFmtId="0" formatCode="General"/>
      <alignment horizontal="general"/>
    </dxf>
  </rfmt>
  <rfmt sheetId="22" sqref="I27" start="0" length="0">
    <dxf>
      <font>
        <sz val="9"/>
        <color auto="1"/>
        <name val="Arial"/>
        <family val="2"/>
        <scheme val="none"/>
      </font>
      <numFmt numFmtId="0" formatCode="General"/>
      <alignment horizontal="general"/>
      <border outline="0">
        <right/>
      </border>
    </dxf>
  </rfmt>
  <rfmt sheetId="22" sqref="J27" start="0" length="0">
    <dxf>
      <font>
        <sz val="9"/>
        <color auto="1"/>
        <name val="Arial"/>
        <family val="2"/>
        <scheme val="none"/>
      </font>
      <numFmt numFmtId="0" formatCode="General"/>
      <alignment horizontal="general"/>
      <border outline="0">
        <left/>
        <right/>
      </border>
    </dxf>
  </rfmt>
  <rfmt sheetId="22" s="1" sqref="K27" start="0" length="0">
    <dxf>
      <font>
        <sz val="9"/>
        <color auto="1"/>
        <name val="Arial"/>
        <family val="2"/>
        <scheme val="none"/>
      </font>
      <numFmt numFmtId="0" formatCode="General"/>
      <fill>
        <patternFill patternType="none">
          <bgColor indexed="65"/>
        </patternFill>
      </fill>
      <alignment horizontal="general"/>
    </dxf>
  </rfmt>
  <rfmt sheetId="22" sqref="L27" start="0" length="0">
    <dxf>
      <numFmt numFmtId="0" formatCode="General"/>
      <alignment horizontal="general"/>
    </dxf>
  </rfmt>
  <rfmt sheetId="22" sqref="M27" start="0" length="0">
    <dxf>
      <numFmt numFmtId="0" formatCode="General"/>
      <alignment horizontal="general"/>
    </dxf>
  </rfmt>
  <rfmt sheetId="22" sqref="N27" start="0" length="0">
    <dxf>
      <font>
        <sz val="9"/>
        <color auto="1"/>
        <name val="Arial"/>
        <family val="2"/>
        <scheme val="none"/>
      </font>
      <numFmt numFmtId="0" formatCode="General"/>
      <alignment horizontal="general"/>
      <border outline="0">
        <right/>
      </border>
    </dxf>
  </rfmt>
  <rfmt sheetId="22" s="1" sqref="O27" start="0" length="0">
    <dxf>
      <font>
        <sz val="9"/>
        <color auto="1"/>
        <name val="Arial"/>
        <family val="2"/>
        <scheme val="none"/>
      </font>
      <numFmt numFmtId="0" formatCode="General"/>
      <fill>
        <patternFill patternType="none">
          <bgColor indexed="65"/>
        </patternFill>
      </fill>
      <alignment horizontal="general"/>
    </dxf>
  </rfmt>
  <rfmt sheetId="22" sqref="P27" start="0" length="0">
    <dxf>
      <numFmt numFmtId="0" formatCode="General"/>
      <alignment horizontal="general"/>
    </dxf>
  </rfmt>
  <rfmt sheetId="22" sqref="Q27" start="0" length="0">
    <dxf>
      <font>
        <sz val="9"/>
        <color auto="1"/>
        <name val="Arial"/>
        <family val="2"/>
        <scheme val="none"/>
      </font>
      <numFmt numFmtId="0" formatCode="General"/>
      <alignment horizontal="general"/>
    </dxf>
  </rfmt>
  <rfmt sheetId="22" sqref="R27" start="0" length="0">
    <dxf>
      <font>
        <sz val="9"/>
        <color auto="1"/>
        <name val="Arial"/>
        <family val="2"/>
        <scheme val="none"/>
      </font>
      <numFmt numFmtId="0" formatCode="General"/>
      <alignment horizontal="general"/>
      <border outline="0">
        <right/>
      </border>
    </dxf>
  </rfmt>
  <rfmt sheetId="22" sqref="S27" start="0" length="0">
    <dxf>
      <font>
        <sz val="9"/>
        <color auto="1"/>
        <name val="Arial"/>
        <family val="2"/>
        <scheme val="none"/>
      </font>
    </dxf>
  </rfmt>
  <rfmt sheetId="22" sqref="T27" start="0" length="0">
    <dxf>
      <font>
        <sz val="9"/>
        <color auto="1"/>
        <name val="Arial"/>
        <family val="2"/>
        <scheme val="none"/>
      </font>
    </dxf>
  </rfmt>
  <rfmt sheetId="22" sqref="U27" start="0" length="0">
    <dxf>
      <font>
        <sz val="9"/>
        <color auto="1"/>
        <name val="Arial"/>
        <family val="2"/>
        <scheme val="none"/>
      </font>
    </dxf>
  </rfmt>
  <rfmt sheetId="22" sqref="V27" start="0" length="0">
    <dxf>
      <font>
        <sz val="9"/>
        <color auto="1"/>
        <name val="Arial"/>
        <family val="2"/>
        <scheme val="none"/>
      </font>
    </dxf>
  </rfmt>
  <rfmt sheetId="22" sqref="A27:XFD27" start="0" length="0">
    <dxf>
      <font>
        <sz val="9"/>
        <color auto="1"/>
        <name val="Arial"/>
        <family val="2"/>
        <scheme val="none"/>
      </font>
    </dxf>
  </rfmt>
  <rfmt sheetId="22" sqref="A28" start="0" length="0">
    <dxf>
      <fill>
        <patternFill patternType="none">
          <bgColor indexed="65"/>
        </patternFill>
      </fill>
      <alignment horizontal="general" indent="0"/>
      <border outline="0">
        <right/>
      </border>
    </dxf>
  </rfmt>
  <rfmt sheetId="22" s="1" sqref="B28" start="0" length="0">
    <dxf>
      <font>
        <sz val="9"/>
        <color auto="1"/>
        <name val="Arial"/>
        <family val="2"/>
        <scheme val="none"/>
      </font>
      <numFmt numFmtId="0" formatCode="General"/>
      <fill>
        <patternFill patternType="none">
          <bgColor indexed="65"/>
        </patternFill>
      </fill>
      <alignment horizontal="general"/>
    </dxf>
  </rfmt>
  <rfmt sheetId="22" sqref="C28" start="0" length="0">
    <dxf>
      <numFmt numFmtId="0" formatCode="General"/>
      <alignment horizontal="general"/>
    </dxf>
  </rfmt>
  <rfmt sheetId="22" sqref="D28" start="0" length="0">
    <dxf>
      <font>
        <b val="0"/>
        <sz val="9"/>
        <color auto="1"/>
        <name val="Arial"/>
        <family val="2"/>
        <scheme val="none"/>
      </font>
      <numFmt numFmtId="0" formatCode="General"/>
      <alignment horizontal="general"/>
    </dxf>
  </rfmt>
  <rfmt sheetId="22" sqref="E28" start="0" length="0">
    <dxf>
      <font>
        <b val="0"/>
        <sz val="9"/>
        <color auto="1"/>
        <name val="Arial"/>
        <family val="2"/>
        <scheme val="none"/>
      </font>
      <numFmt numFmtId="0" formatCode="General"/>
      <alignment horizontal="general"/>
      <border outline="0">
        <right/>
      </border>
    </dxf>
  </rfmt>
  <rfmt sheetId="22" s="1" sqref="F28" start="0" length="0">
    <dxf>
      <font>
        <sz val="9"/>
        <color auto="1"/>
        <name val="Arial"/>
        <family val="2"/>
        <scheme val="none"/>
      </font>
      <numFmt numFmtId="0" formatCode="General"/>
      <fill>
        <patternFill patternType="none">
          <bgColor indexed="65"/>
        </patternFill>
      </fill>
      <alignment horizontal="general"/>
    </dxf>
  </rfmt>
  <rfmt sheetId="22" sqref="G28" start="0" length="0">
    <dxf>
      <numFmt numFmtId="0" formatCode="General"/>
      <alignment horizontal="general"/>
    </dxf>
  </rfmt>
  <rfmt sheetId="22" sqref="H28" start="0" length="0">
    <dxf>
      <numFmt numFmtId="0" formatCode="General"/>
      <alignment horizontal="general"/>
    </dxf>
  </rfmt>
  <rfmt sheetId="22" sqref="I28" start="0" length="0">
    <dxf>
      <font>
        <sz val="9"/>
        <color auto="1"/>
        <name val="Arial"/>
        <family val="2"/>
        <scheme val="none"/>
      </font>
      <numFmt numFmtId="0" formatCode="General"/>
      <alignment horizontal="general"/>
      <border outline="0">
        <right/>
      </border>
    </dxf>
  </rfmt>
  <rfmt sheetId="22" sqref="J28" start="0" length="0">
    <dxf>
      <font>
        <sz val="9"/>
        <color auto="1"/>
        <name val="Arial"/>
        <family val="2"/>
        <scheme val="none"/>
      </font>
      <numFmt numFmtId="0" formatCode="General"/>
      <alignment horizontal="general"/>
      <border outline="0">
        <left/>
        <right/>
      </border>
    </dxf>
  </rfmt>
  <rfmt sheetId="22" s="1" sqref="K28" start="0" length="0">
    <dxf>
      <font>
        <sz val="9"/>
        <color auto="1"/>
        <name val="Arial"/>
        <family val="2"/>
        <scheme val="none"/>
      </font>
      <numFmt numFmtId="0" formatCode="General"/>
      <fill>
        <patternFill patternType="none">
          <bgColor indexed="65"/>
        </patternFill>
      </fill>
      <alignment horizontal="general"/>
    </dxf>
  </rfmt>
  <rfmt sheetId="22" sqref="L28" start="0" length="0">
    <dxf>
      <numFmt numFmtId="0" formatCode="General"/>
      <alignment horizontal="general"/>
    </dxf>
  </rfmt>
  <rfmt sheetId="22" sqref="M28" start="0" length="0">
    <dxf>
      <numFmt numFmtId="0" formatCode="General"/>
      <alignment horizontal="general"/>
    </dxf>
  </rfmt>
  <rfmt sheetId="22" sqref="N28" start="0" length="0">
    <dxf>
      <font>
        <sz val="9"/>
        <color auto="1"/>
        <name val="Arial"/>
        <family val="2"/>
        <scheme val="none"/>
      </font>
      <numFmt numFmtId="0" formatCode="General"/>
      <alignment horizontal="general"/>
      <border outline="0">
        <right/>
      </border>
    </dxf>
  </rfmt>
  <rfmt sheetId="22" s="1" sqref="O28" start="0" length="0">
    <dxf>
      <font>
        <sz val="9"/>
        <color auto="1"/>
        <name val="Arial"/>
        <family val="2"/>
        <scheme val="none"/>
      </font>
      <numFmt numFmtId="0" formatCode="General"/>
      <fill>
        <patternFill patternType="none">
          <bgColor indexed="65"/>
        </patternFill>
      </fill>
      <alignment horizontal="general"/>
    </dxf>
  </rfmt>
  <rfmt sheetId="22" sqref="P28" start="0" length="0">
    <dxf>
      <numFmt numFmtId="0" formatCode="General"/>
      <alignment horizontal="general"/>
    </dxf>
  </rfmt>
  <rfmt sheetId="22" sqref="Q28" start="0" length="0">
    <dxf>
      <font>
        <sz val="9"/>
        <color auto="1"/>
        <name val="Arial"/>
        <family val="2"/>
        <scheme val="none"/>
      </font>
      <numFmt numFmtId="0" formatCode="General"/>
      <alignment horizontal="general"/>
    </dxf>
  </rfmt>
  <rfmt sheetId="22" sqref="R28" start="0" length="0">
    <dxf>
      <font>
        <sz val="9"/>
        <color auto="1"/>
        <name val="Arial"/>
        <family val="2"/>
        <scheme val="none"/>
      </font>
      <numFmt numFmtId="0" formatCode="General"/>
      <alignment horizontal="general"/>
      <border outline="0">
        <right/>
      </border>
    </dxf>
  </rfmt>
  <rfmt sheetId="22" sqref="S28" start="0" length="0">
    <dxf>
      <font>
        <sz val="9"/>
        <color auto="1"/>
        <name val="Arial"/>
        <family val="2"/>
        <scheme val="none"/>
      </font>
    </dxf>
  </rfmt>
  <rfmt sheetId="22" sqref="T28" start="0" length="0">
    <dxf>
      <font>
        <sz val="9"/>
        <color auto="1"/>
        <name val="Arial"/>
        <family val="2"/>
        <scheme val="none"/>
      </font>
    </dxf>
  </rfmt>
  <rfmt sheetId="22" sqref="U28" start="0" length="0">
    <dxf>
      <font>
        <sz val="9"/>
        <color auto="1"/>
        <name val="Arial"/>
        <family val="2"/>
        <scheme val="none"/>
      </font>
    </dxf>
  </rfmt>
  <rfmt sheetId="22" sqref="V28" start="0" length="0">
    <dxf>
      <font>
        <sz val="9"/>
        <color auto="1"/>
        <name val="Arial"/>
        <family val="2"/>
        <scheme val="none"/>
      </font>
    </dxf>
  </rfmt>
  <rfmt sheetId="22" sqref="A28:XFD28" start="0" length="0">
    <dxf>
      <font>
        <sz val="9"/>
        <color auto="1"/>
        <name val="Arial"/>
        <family val="2"/>
        <scheme val="none"/>
      </font>
    </dxf>
  </rfmt>
  <rfmt sheetId="22" sqref="A29" start="0" length="0">
    <dxf>
      <fill>
        <patternFill patternType="none">
          <bgColor indexed="65"/>
        </patternFill>
      </fill>
      <alignment horizontal="general" indent="0"/>
      <border outline="0">
        <right/>
      </border>
    </dxf>
  </rfmt>
  <rfmt sheetId="22" s="1" sqref="B29" start="0" length="0">
    <dxf>
      <font>
        <sz val="9"/>
        <color auto="1"/>
        <name val="Arial"/>
        <family val="2"/>
        <scheme val="none"/>
      </font>
      <numFmt numFmtId="0" formatCode="General"/>
      <fill>
        <patternFill patternType="none">
          <bgColor indexed="65"/>
        </patternFill>
      </fill>
      <alignment horizontal="general"/>
    </dxf>
  </rfmt>
  <rfmt sheetId="22" sqref="C29" start="0" length="0">
    <dxf>
      <numFmt numFmtId="0" formatCode="General"/>
      <alignment horizontal="general"/>
    </dxf>
  </rfmt>
  <rfmt sheetId="22" sqref="D29" start="0" length="0">
    <dxf>
      <font>
        <b val="0"/>
        <sz val="9"/>
        <color auto="1"/>
        <name val="Arial"/>
        <family val="2"/>
        <scheme val="none"/>
      </font>
      <numFmt numFmtId="0" formatCode="General"/>
      <alignment horizontal="general"/>
    </dxf>
  </rfmt>
  <rfmt sheetId="22" sqref="E29" start="0" length="0">
    <dxf>
      <font>
        <b val="0"/>
        <sz val="9"/>
        <color auto="1"/>
        <name val="Arial"/>
        <family val="2"/>
        <scheme val="none"/>
      </font>
      <numFmt numFmtId="0" formatCode="General"/>
      <alignment horizontal="general"/>
      <border outline="0">
        <right/>
      </border>
    </dxf>
  </rfmt>
  <rfmt sheetId="22" s="1" sqref="F29" start="0" length="0">
    <dxf>
      <font>
        <sz val="9"/>
        <color auto="1"/>
        <name val="Arial"/>
        <family val="2"/>
        <scheme val="none"/>
      </font>
      <numFmt numFmtId="0" formatCode="General"/>
      <fill>
        <patternFill patternType="none">
          <bgColor indexed="65"/>
        </patternFill>
      </fill>
      <alignment horizontal="general"/>
    </dxf>
  </rfmt>
  <rfmt sheetId="22" sqref="G29" start="0" length="0">
    <dxf>
      <numFmt numFmtId="0" formatCode="General"/>
      <alignment horizontal="general"/>
    </dxf>
  </rfmt>
  <rfmt sheetId="22" sqref="H29" start="0" length="0">
    <dxf>
      <numFmt numFmtId="0" formatCode="General"/>
      <alignment horizontal="general"/>
    </dxf>
  </rfmt>
  <rfmt sheetId="22" sqref="I29" start="0" length="0">
    <dxf>
      <font>
        <sz val="9"/>
        <color auto="1"/>
        <name val="Arial"/>
        <family val="2"/>
        <scheme val="none"/>
      </font>
      <numFmt numFmtId="0" formatCode="General"/>
      <alignment horizontal="general"/>
      <border outline="0">
        <right/>
      </border>
    </dxf>
  </rfmt>
  <rfmt sheetId="22" sqref="J29" start="0" length="0">
    <dxf>
      <font>
        <sz val="9"/>
        <color auto="1"/>
        <name val="Arial"/>
        <family val="2"/>
        <scheme val="none"/>
      </font>
      <numFmt numFmtId="0" formatCode="General"/>
      <alignment horizontal="general"/>
      <border outline="0">
        <left/>
        <right/>
      </border>
    </dxf>
  </rfmt>
  <rfmt sheetId="22" s="1" sqref="K29" start="0" length="0">
    <dxf>
      <font>
        <sz val="9"/>
        <color auto="1"/>
        <name val="Arial"/>
        <family val="2"/>
        <scheme val="none"/>
      </font>
      <numFmt numFmtId="0" formatCode="General"/>
      <fill>
        <patternFill patternType="none">
          <bgColor indexed="65"/>
        </patternFill>
      </fill>
      <alignment horizontal="general"/>
    </dxf>
  </rfmt>
  <rfmt sheetId="22" sqref="L29" start="0" length="0">
    <dxf>
      <numFmt numFmtId="0" formatCode="General"/>
      <alignment horizontal="general"/>
    </dxf>
  </rfmt>
  <rfmt sheetId="22" sqref="M29" start="0" length="0">
    <dxf>
      <numFmt numFmtId="0" formatCode="General"/>
      <alignment horizontal="general"/>
    </dxf>
  </rfmt>
  <rfmt sheetId="22" sqref="N29" start="0" length="0">
    <dxf>
      <font>
        <sz val="9"/>
        <color auto="1"/>
        <name val="Arial"/>
        <family val="2"/>
        <scheme val="none"/>
      </font>
      <numFmt numFmtId="0" formatCode="General"/>
      <alignment horizontal="general"/>
      <border outline="0">
        <right/>
      </border>
    </dxf>
  </rfmt>
  <rfmt sheetId="22" s="1" sqref="O29" start="0" length="0">
    <dxf>
      <font>
        <sz val="9"/>
        <color auto="1"/>
        <name val="Arial"/>
        <family val="2"/>
        <scheme val="none"/>
      </font>
      <numFmt numFmtId="0" formatCode="General"/>
      <fill>
        <patternFill patternType="none">
          <bgColor indexed="65"/>
        </patternFill>
      </fill>
      <alignment horizontal="general"/>
    </dxf>
  </rfmt>
  <rfmt sheetId="22" sqref="P29" start="0" length="0">
    <dxf>
      <numFmt numFmtId="0" formatCode="General"/>
      <alignment horizontal="general"/>
    </dxf>
  </rfmt>
  <rfmt sheetId="22" sqref="Q29" start="0" length="0">
    <dxf>
      <font>
        <sz val="9"/>
        <color auto="1"/>
        <name val="Arial"/>
        <family val="2"/>
        <scheme val="none"/>
      </font>
      <numFmt numFmtId="0" formatCode="General"/>
      <alignment horizontal="general"/>
    </dxf>
  </rfmt>
  <rfmt sheetId="22" sqref="R29" start="0" length="0">
    <dxf>
      <font>
        <sz val="9"/>
        <color auto="1"/>
        <name val="Arial"/>
        <family val="2"/>
        <scheme val="none"/>
      </font>
      <numFmt numFmtId="0" formatCode="General"/>
      <alignment horizontal="general"/>
      <border outline="0">
        <right/>
      </border>
    </dxf>
  </rfmt>
  <rfmt sheetId="22" sqref="S29" start="0" length="0">
    <dxf>
      <font>
        <sz val="9"/>
        <color auto="1"/>
        <name val="Arial"/>
        <family val="2"/>
        <scheme val="none"/>
      </font>
    </dxf>
  </rfmt>
  <rfmt sheetId="22" sqref="T29" start="0" length="0">
    <dxf>
      <font>
        <sz val="9"/>
        <color auto="1"/>
        <name val="Arial"/>
        <family val="2"/>
        <scheme val="none"/>
      </font>
    </dxf>
  </rfmt>
  <rfmt sheetId="22" sqref="U29" start="0" length="0">
    <dxf>
      <font>
        <sz val="9"/>
        <color auto="1"/>
        <name val="Arial"/>
        <family val="2"/>
        <scheme val="none"/>
      </font>
    </dxf>
  </rfmt>
  <rfmt sheetId="22" sqref="V29" start="0" length="0">
    <dxf>
      <font>
        <sz val="9"/>
        <color auto="1"/>
        <name val="Arial"/>
        <family val="2"/>
        <scheme val="none"/>
      </font>
    </dxf>
  </rfmt>
  <rfmt sheetId="22" sqref="A29:XFD29" start="0" length="0">
    <dxf>
      <font>
        <sz val="9"/>
        <color auto="1"/>
        <name val="Arial"/>
        <family val="2"/>
        <scheme val="none"/>
      </font>
    </dxf>
  </rfmt>
  <rfmt sheetId="22" sqref="A30" start="0" length="0">
    <dxf>
      <fill>
        <patternFill patternType="none">
          <bgColor indexed="65"/>
        </patternFill>
      </fill>
      <alignment horizontal="general" indent="0"/>
      <border outline="0">
        <right/>
      </border>
    </dxf>
  </rfmt>
  <rfmt sheetId="22" s="1" sqref="B30" start="0" length="0">
    <dxf>
      <font>
        <sz val="9"/>
        <color auto="1"/>
        <name val="Arial"/>
        <family val="2"/>
        <scheme val="none"/>
      </font>
      <numFmt numFmtId="0" formatCode="General"/>
      <fill>
        <patternFill patternType="none">
          <bgColor indexed="65"/>
        </patternFill>
      </fill>
      <alignment horizontal="general"/>
    </dxf>
  </rfmt>
  <rfmt sheetId="22" sqref="C30" start="0" length="0">
    <dxf>
      <numFmt numFmtId="0" formatCode="General"/>
      <alignment horizontal="general"/>
    </dxf>
  </rfmt>
  <rfmt sheetId="22" sqref="D30" start="0" length="0">
    <dxf>
      <font>
        <b val="0"/>
        <sz val="9"/>
        <color auto="1"/>
        <name val="Arial"/>
        <family val="2"/>
        <scheme val="none"/>
      </font>
      <numFmt numFmtId="0" formatCode="General"/>
      <alignment horizontal="general"/>
    </dxf>
  </rfmt>
  <rfmt sheetId="22" sqref="E30" start="0" length="0">
    <dxf>
      <font>
        <b val="0"/>
        <sz val="9"/>
        <color auto="1"/>
        <name val="Arial"/>
        <family val="2"/>
        <scheme val="none"/>
      </font>
      <numFmt numFmtId="0" formatCode="General"/>
      <alignment horizontal="general"/>
      <border outline="0">
        <right/>
      </border>
    </dxf>
  </rfmt>
  <rfmt sheetId="22" s="1" sqref="F30" start="0" length="0">
    <dxf>
      <font>
        <sz val="9"/>
        <color auto="1"/>
        <name val="Arial"/>
        <family val="2"/>
        <scheme val="none"/>
      </font>
      <numFmt numFmtId="0" formatCode="General"/>
      <fill>
        <patternFill patternType="none">
          <bgColor indexed="65"/>
        </patternFill>
      </fill>
      <alignment horizontal="general"/>
    </dxf>
  </rfmt>
  <rfmt sheetId="22" sqref="G30" start="0" length="0">
    <dxf>
      <numFmt numFmtId="0" formatCode="General"/>
      <alignment horizontal="general"/>
    </dxf>
  </rfmt>
  <rfmt sheetId="22" sqref="H30" start="0" length="0">
    <dxf>
      <numFmt numFmtId="0" formatCode="General"/>
      <alignment horizontal="general"/>
    </dxf>
  </rfmt>
  <rfmt sheetId="22" sqref="I30" start="0" length="0">
    <dxf>
      <font>
        <sz val="9"/>
        <color auto="1"/>
        <name val="Arial"/>
        <family val="2"/>
        <scheme val="none"/>
      </font>
      <numFmt numFmtId="0" formatCode="General"/>
      <alignment horizontal="general"/>
      <border outline="0">
        <right/>
      </border>
    </dxf>
  </rfmt>
  <rfmt sheetId="22" sqref="J30" start="0" length="0">
    <dxf>
      <font>
        <sz val="9"/>
        <color auto="1"/>
        <name val="Arial"/>
        <family val="2"/>
        <scheme val="none"/>
      </font>
      <numFmt numFmtId="0" formatCode="General"/>
      <alignment horizontal="general"/>
      <border outline="0">
        <left/>
        <right/>
      </border>
    </dxf>
  </rfmt>
  <rfmt sheetId="22" s="1" sqref="K30" start="0" length="0">
    <dxf>
      <font>
        <sz val="9"/>
        <color auto="1"/>
        <name val="Arial"/>
        <family val="2"/>
        <scheme val="none"/>
      </font>
      <numFmt numFmtId="0" formatCode="General"/>
      <fill>
        <patternFill patternType="none">
          <bgColor indexed="65"/>
        </patternFill>
      </fill>
      <alignment horizontal="general"/>
    </dxf>
  </rfmt>
  <rfmt sheetId="22" sqref="L30" start="0" length="0">
    <dxf>
      <numFmt numFmtId="0" formatCode="General"/>
      <alignment horizontal="general"/>
    </dxf>
  </rfmt>
  <rfmt sheetId="22" sqref="M30" start="0" length="0">
    <dxf>
      <numFmt numFmtId="0" formatCode="General"/>
      <alignment horizontal="general"/>
    </dxf>
  </rfmt>
  <rfmt sheetId="22" sqref="N30" start="0" length="0">
    <dxf>
      <font>
        <sz val="9"/>
        <color auto="1"/>
        <name val="Arial"/>
        <family val="2"/>
        <scheme val="none"/>
      </font>
      <numFmt numFmtId="0" formatCode="General"/>
      <alignment horizontal="general"/>
      <border outline="0">
        <right/>
      </border>
    </dxf>
  </rfmt>
  <rfmt sheetId="22" s="1" sqref="O30" start="0" length="0">
    <dxf>
      <font>
        <sz val="9"/>
        <color auto="1"/>
        <name val="Arial"/>
        <family val="2"/>
        <scheme val="none"/>
      </font>
      <numFmt numFmtId="0" formatCode="General"/>
      <fill>
        <patternFill patternType="none">
          <bgColor indexed="65"/>
        </patternFill>
      </fill>
      <alignment horizontal="general"/>
    </dxf>
  </rfmt>
  <rfmt sheetId="22" sqref="P30" start="0" length="0">
    <dxf>
      <numFmt numFmtId="0" formatCode="General"/>
      <alignment horizontal="general"/>
    </dxf>
  </rfmt>
  <rfmt sheetId="22" sqref="Q30" start="0" length="0">
    <dxf>
      <font>
        <sz val="9"/>
        <color auto="1"/>
        <name val="Arial"/>
        <family val="2"/>
        <scheme val="none"/>
      </font>
      <numFmt numFmtId="0" formatCode="General"/>
      <alignment horizontal="general"/>
    </dxf>
  </rfmt>
  <rfmt sheetId="22" sqref="R30" start="0" length="0">
    <dxf>
      <font>
        <sz val="9"/>
        <color auto="1"/>
        <name val="Arial"/>
        <family val="2"/>
        <scheme val="none"/>
      </font>
      <numFmt numFmtId="0" formatCode="General"/>
      <alignment horizontal="general"/>
      <border outline="0">
        <right/>
      </border>
    </dxf>
  </rfmt>
  <rfmt sheetId="22" sqref="S30" start="0" length="0">
    <dxf>
      <font>
        <sz val="9"/>
        <color auto="1"/>
        <name val="Arial"/>
        <family val="2"/>
        <scheme val="none"/>
      </font>
    </dxf>
  </rfmt>
  <rfmt sheetId="22" sqref="T30" start="0" length="0">
    <dxf>
      <font>
        <sz val="9"/>
        <color auto="1"/>
        <name val="Arial"/>
        <family val="2"/>
        <scheme val="none"/>
      </font>
    </dxf>
  </rfmt>
  <rfmt sheetId="22" sqref="U30" start="0" length="0">
    <dxf>
      <font>
        <sz val="9"/>
        <color auto="1"/>
        <name val="Arial"/>
        <family val="2"/>
        <scheme val="none"/>
      </font>
    </dxf>
  </rfmt>
  <rfmt sheetId="22" sqref="V30" start="0" length="0">
    <dxf>
      <font>
        <sz val="9"/>
        <color auto="1"/>
        <name val="Arial"/>
        <family val="2"/>
        <scheme val="none"/>
      </font>
    </dxf>
  </rfmt>
  <rfmt sheetId="22" sqref="A30:XFD30" start="0" length="0">
    <dxf>
      <font>
        <sz val="9"/>
        <color auto="1"/>
        <name val="Arial"/>
        <family val="2"/>
        <scheme val="none"/>
      </font>
    </dxf>
  </rfmt>
  <rfmt sheetId="22" sqref="A22" start="0" length="0">
    <dxf>
      <font>
        <b/>
        <sz val="9"/>
        <color theme="0"/>
        <name val="Arial"/>
        <family val="2"/>
        <scheme val="none"/>
      </font>
      <fill>
        <patternFill patternType="solid">
          <bgColor rgb="FF0070C0"/>
        </patternFill>
      </fill>
      <alignment horizontal="left" vertical="bottom"/>
      <border outline="0">
        <right style="thin">
          <color indexed="64"/>
        </right>
      </border>
    </dxf>
  </rfmt>
  <rfmt sheetId="22" sqref="B22" start="0" length="0">
    <dxf>
      <font>
        <b/>
        <sz val="9"/>
        <color theme="0"/>
        <name val="Arial"/>
        <family val="2"/>
        <scheme val="none"/>
      </font>
      <fill>
        <patternFill patternType="solid">
          <bgColor rgb="FF0070C0"/>
        </patternFill>
      </fill>
      <alignment horizontal="left" vertical="bottom"/>
    </dxf>
  </rfmt>
  <rfmt sheetId="22" sqref="C22" start="0" length="0">
    <dxf>
      <font>
        <b/>
        <sz val="9"/>
        <color theme="0"/>
        <name val="Arial"/>
        <family val="2"/>
        <scheme val="none"/>
      </font>
      <fill>
        <patternFill patternType="solid">
          <bgColor rgb="FF0070C0"/>
        </patternFill>
      </fill>
      <alignment horizontal="left" vertical="bottom"/>
    </dxf>
  </rfmt>
  <rfmt sheetId="22" sqref="D22" start="0" length="0">
    <dxf>
      <font>
        <b/>
        <sz val="9"/>
        <color theme="0"/>
        <name val="Arial"/>
        <family val="2"/>
        <scheme val="none"/>
      </font>
      <fill>
        <patternFill patternType="solid">
          <bgColor rgb="FF0070C0"/>
        </patternFill>
      </fill>
      <alignment horizontal="center" vertical="bottom"/>
    </dxf>
  </rfmt>
  <rfmt sheetId="22" sqref="E22" start="0" length="0">
    <dxf>
      <font>
        <b/>
        <sz val="7"/>
        <color theme="0"/>
        <name val="Arial"/>
        <family val="2"/>
        <scheme val="none"/>
      </font>
      <fill>
        <patternFill patternType="solid">
          <bgColor rgb="FF0070C0"/>
        </patternFill>
      </fill>
      <alignment horizontal="left" vertical="bottom"/>
      <border outline="0">
        <right style="thin">
          <color indexed="64"/>
        </right>
      </border>
    </dxf>
  </rfmt>
  <rfmt sheetId="22" sqref="F22" start="0" length="0">
    <dxf>
      <font>
        <b/>
        <sz val="9"/>
        <color theme="0"/>
        <name val="Arial"/>
        <family val="2"/>
        <scheme val="none"/>
      </font>
      <fill>
        <patternFill patternType="solid">
          <bgColor rgb="FF0070C0"/>
        </patternFill>
      </fill>
      <alignment horizontal="left" vertical="bottom"/>
    </dxf>
  </rfmt>
  <rfmt sheetId="22" sqref="G22" start="0" length="0">
    <dxf>
      <font>
        <b/>
        <sz val="9"/>
        <color theme="0"/>
        <name val="Arial"/>
        <family val="2"/>
        <scheme val="none"/>
      </font>
      <fill>
        <patternFill patternType="solid">
          <bgColor rgb="FF0070C0"/>
        </patternFill>
      </fill>
      <alignment horizontal="left" vertical="bottom"/>
    </dxf>
  </rfmt>
  <rfmt sheetId="22" sqref="H22" start="0" length="0">
    <dxf>
      <font>
        <b/>
        <sz val="9"/>
        <color theme="0"/>
        <name val="Arial"/>
        <family val="2"/>
        <scheme val="none"/>
      </font>
      <fill>
        <patternFill patternType="solid">
          <bgColor rgb="FF0070C0"/>
        </patternFill>
      </fill>
      <alignment horizontal="left" vertical="bottom"/>
    </dxf>
  </rfmt>
  <rfmt sheetId="22" sqref="I22" start="0" length="0">
    <dxf>
      <font>
        <b/>
        <sz val="7"/>
        <color theme="0"/>
        <name val="Arial"/>
        <family val="2"/>
        <scheme val="none"/>
      </font>
      <fill>
        <patternFill patternType="solid">
          <bgColor rgb="FF0070C0"/>
        </patternFill>
      </fill>
      <alignment horizontal="left" vertical="bottom"/>
      <border outline="0">
        <right style="thin">
          <color indexed="64"/>
        </right>
      </border>
    </dxf>
  </rfmt>
  <rfmt sheetId="22" sqref="J22" start="0" length="0">
    <dxf>
      <font>
        <b/>
        <sz val="7"/>
        <color theme="0"/>
        <name val="Arial"/>
        <family val="2"/>
        <scheme val="none"/>
      </font>
      <fill>
        <patternFill patternType="solid">
          <bgColor rgb="FF0070C0"/>
        </patternFill>
      </fill>
      <alignment horizontal="left" vertical="bottom"/>
      <border outline="0">
        <left style="thin">
          <color indexed="64"/>
        </left>
        <right style="thin">
          <color indexed="64"/>
        </right>
      </border>
    </dxf>
  </rfmt>
  <rfmt sheetId="22" sqref="K22" start="0" length="0">
    <dxf>
      <font>
        <b/>
        <sz val="9"/>
        <color theme="0"/>
        <name val="Arial"/>
        <family val="2"/>
        <scheme val="none"/>
      </font>
      <fill>
        <patternFill patternType="solid">
          <bgColor rgb="FF0070C0"/>
        </patternFill>
      </fill>
      <alignment horizontal="left" vertical="bottom"/>
    </dxf>
  </rfmt>
  <rfmt sheetId="22" sqref="L22" start="0" length="0">
    <dxf>
      <font>
        <b/>
        <sz val="9"/>
        <color theme="0"/>
        <name val="Arial"/>
        <family val="2"/>
        <scheme val="none"/>
      </font>
      <fill>
        <patternFill patternType="solid">
          <bgColor rgb="FF0070C0"/>
        </patternFill>
      </fill>
      <alignment horizontal="left" vertical="bottom"/>
    </dxf>
  </rfmt>
  <rfmt sheetId="22" sqref="M22" start="0" length="0">
    <dxf>
      <font>
        <b/>
        <sz val="9"/>
        <color theme="0"/>
        <name val="Arial"/>
        <family val="2"/>
        <scheme val="none"/>
      </font>
      <fill>
        <patternFill patternType="solid">
          <bgColor rgb="FF0070C0"/>
        </patternFill>
      </fill>
      <alignment horizontal="left" vertical="bottom"/>
    </dxf>
  </rfmt>
  <rfmt sheetId="22" sqref="N22" start="0" length="0">
    <dxf>
      <font>
        <b/>
        <sz val="7"/>
        <color theme="0"/>
        <name val="Arial"/>
        <family val="2"/>
        <scheme val="none"/>
      </font>
      <fill>
        <patternFill patternType="solid">
          <bgColor rgb="FF0070C0"/>
        </patternFill>
      </fill>
      <alignment horizontal="left" vertical="bottom"/>
      <border outline="0">
        <right style="thin">
          <color indexed="64"/>
        </right>
      </border>
    </dxf>
  </rfmt>
  <rfmt sheetId="22" sqref="O22" start="0" length="0">
    <dxf>
      <font>
        <b/>
        <sz val="9"/>
        <color theme="0"/>
        <name val="Arial"/>
        <family val="2"/>
        <scheme val="none"/>
      </font>
      <fill>
        <patternFill patternType="solid">
          <bgColor rgb="FF0070C0"/>
        </patternFill>
      </fill>
      <alignment horizontal="left" vertical="bottom"/>
    </dxf>
  </rfmt>
  <rfmt sheetId="22" sqref="P22" start="0" length="0">
    <dxf>
      <font>
        <b/>
        <sz val="9"/>
        <color theme="0"/>
        <name val="Arial"/>
        <family val="2"/>
        <scheme val="none"/>
      </font>
      <fill>
        <patternFill patternType="solid">
          <bgColor rgb="FF0070C0"/>
        </patternFill>
      </fill>
      <alignment horizontal="left" vertical="bottom"/>
    </dxf>
  </rfmt>
  <rfmt sheetId="22" sqref="Q22" start="0" length="0">
    <dxf>
      <font>
        <b/>
        <sz val="9"/>
        <color theme="0"/>
        <name val="Arial"/>
        <family val="2"/>
        <scheme val="none"/>
      </font>
      <fill>
        <patternFill patternType="solid">
          <bgColor rgb="FF0070C0"/>
        </patternFill>
      </fill>
      <alignment horizontal="left" vertical="bottom"/>
    </dxf>
  </rfmt>
  <rfmt sheetId="22" sqref="R22" start="0" length="0">
    <dxf>
      <font>
        <b/>
        <sz val="7"/>
        <color theme="0"/>
        <name val="Arial"/>
        <family val="2"/>
        <scheme val="none"/>
      </font>
      <fill>
        <patternFill patternType="solid">
          <bgColor rgb="FF0070C0"/>
        </patternFill>
      </fill>
      <alignment horizontal="left" vertical="bottom"/>
      <border outline="0">
        <right style="thin">
          <color indexed="64"/>
        </right>
      </border>
    </dxf>
  </rfmt>
  <rfmt sheetId="22" sqref="S22" start="0" length="0">
    <dxf>
      <font>
        <b/>
        <sz val="7"/>
        <color theme="0"/>
        <name val="Arial"/>
        <family val="2"/>
        <scheme val="none"/>
      </font>
      <fill>
        <patternFill patternType="solid">
          <bgColor rgb="FF0070C0"/>
        </patternFill>
      </fill>
      <alignment vertical="bottom"/>
      <border outline="0">
        <left style="thin">
          <color indexed="64"/>
        </left>
      </border>
    </dxf>
  </rfmt>
  <rfmt sheetId="22" sqref="T22" start="0" length="0">
    <dxf>
      <font>
        <b/>
        <sz val="7"/>
        <color theme="0"/>
        <name val="Arial"/>
        <family val="2"/>
        <scheme val="none"/>
      </font>
      <fill>
        <patternFill patternType="solid">
          <bgColor rgb="FF0070C0"/>
        </patternFill>
      </fill>
      <alignment vertical="bottom"/>
    </dxf>
  </rfmt>
  <rfmt sheetId="22" sqref="U22" start="0" length="0">
    <dxf>
      <font>
        <b/>
        <sz val="7"/>
        <color theme="0"/>
        <name val="Arial"/>
        <family val="2"/>
        <scheme val="none"/>
      </font>
      <fill>
        <patternFill patternType="solid">
          <bgColor rgb="FF0070C0"/>
        </patternFill>
      </fill>
      <alignment vertical="bottom"/>
    </dxf>
  </rfmt>
  <rfmt sheetId="22" sqref="V22" start="0" length="0">
    <dxf>
      <font>
        <b/>
        <sz val="7"/>
        <color theme="0"/>
        <name val="Arial"/>
        <family val="2"/>
        <scheme val="none"/>
      </font>
      <fill>
        <patternFill patternType="solid">
          <bgColor rgb="FF0070C0"/>
        </patternFill>
      </fill>
      <alignment vertical="bottom"/>
    </dxf>
  </rfmt>
  <rcc rId="2236" sId="22" odxf="1" dxf="1">
    <nc r="A23" t="inlineStr">
      <is>
        <t>Source data</t>
      </is>
    </nc>
    <ndxf>
      <font>
        <b/>
        <sz val="9"/>
        <color auto="1"/>
        <name val="Arial"/>
        <family val="2"/>
        <scheme val="none"/>
      </font>
      <numFmt numFmtId="30" formatCode="@"/>
      <fill>
        <patternFill patternType="solid">
          <bgColor theme="0" tint="-0.249977111117893"/>
        </patternFill>
      </fill>
      <alignment horizontal="left" vertical="bottom"/>
      <border outline="0">
        <right style="thin">
          <color indexed="64"/>
        </right>
      </border>
    </ndxf>
  </rcc>
  <rfmt sheetId="22" sqref="B23" start="0" length="0">
    <dxf>
      <numFmt numFmtId="3" formatCode="#,##0"/>
    </dxf>
  </rfmt>
  <rfmt sheetId="22" sqref="C23" start="0" length="0">
    <dxf/>
  </rfmt>
  <rfmt sheetId="22" sqref="D23" start="0" length="0">
    <dxf>
      <alignment horizontal="center"/>
    </dxf>
  </rfmt>
  <rfmt sheetId="22" sqref="E23" start="0" length="0">
    <dxf>
      <font>
        <sz val="7"/>
        <color auto="1"/>
        <name val="Arial"/>
        <family val="2"/>
        <scheme val="none"/>
      </font>
      <alignment horizontal="left"/>
      <border outline="0">
        <right style="thin">
          <color indexed="64"/>
        </right>
      </border>
    </dxf>
  </rfmt>
  <rfmt sheetId="22" s="1" sqref="F23" start="0" length="0">
    <dxf>
      <numFmt numFmtId="181" formatCode="_(* #,##0_);_(* \(#,##0\);_(* &quot;-&quot;??_);_(@_)"/>
    </dxf>
  </rfmt>
  <rfmt sheetId="22" sqref="G23" start="0" length="0">
    <dxf/>
  </rfmt>
  <rfmt sheetId="22" sqref="H23" start="0" length="0">
    <dxf>
      <numFmt numFmtId="30" formatCode="@"/>
    </dxf>
  </rfmt>
  <rfmt sheetId="22" sqref="I23" start="0" length="0">
    <dxf>
      <font>
        <sz val="7"/>
        <color auto="1"/>
        <name val="Arial"/>
        <family val="2"/>
        <scheme val="none"/>
      </font>
      <numFmt numFmtId="30" formatCode="@"/>
      <border outline="0">
        <right style="thin">
          <color indexed="64"/>
        </right>
      </border>
    </dxf>
  </rfmt>
  <rfmt sheetId="22" sqref="J23" start="0" length="0">
    <dxf>
      <font>
        <b/>
        <sz val="7"/>
        <color auto="1"/>
        <name val="Arial"/>
        <family val="2"/>
        <scheme val="none"/>
      </font>
      <alignment horizontal="left"/>
      <border outline="0">
        <left style="thin">
          <color indexed="64"/>
        </left>
        <right style="thin">
          <color indexed="64"/>
        </right>
      </border>
    </dxf>
  </rfmt>
  <rfmt sheetId="22" s="1" sqref="K23" start="0" length="0">
    <dxf>
      <numFmt numFmtId="181" formatCode="_(* #,##0_);_(* \(#,##0\);_(* &quot;-&quot;??_);_(@_)"/>
    </dxf>
  </rfmt>
  <rfmt sheetId="22" sqref="L23" start="0" length="0">
    <dxf/>
  </rfmt>
  <rfmt sheetId="22" sqref="M23" start="0" length="0">
    <dxf>
      <numFmt numFmtId="30" formatCode="@"/>
    </dxf>
  </rfmt>
  <rfmt sheetId="22" sqref="N23" start="0" length="0">
    <dxf>
      <font>
        <sz val="7"/>
        <color auto="1"/>
        <name val="Arial"/>
        <family val="2"/>
        <scheme val="none"/>
      </font>
      <numFmt numFmtId="30" formatCode="@"/>
      <border outline="0">
        <right style="thin">
          <color indexed="64"/>
        </right>
      </border>
    </dxf>
  </rfmt>
  <rfmt sheetId="22" s="1" sqref="O23" start="0" length="0">
    <dxf>
      <numFmt numFmtId="181" formatCode="_(* #,##0_);_(* \(#,##0\);_(* &quot;-&quot;??_);_(@_)"/>
    </dxf>
  </rfmt>
  <rfmt sheetId="22" sqref="P23" start="0" length="0">
    <dxf/>
  </rfmt>
  <rfmt sheetId="22" sqref="Q23" start="0" length="0">
    <dxf>
      <numFmt numFmtId="30" formatCode="@"/>
    </dxf>
  </rfmt>
  <rfmt sheetId="22" sqref="R23" start="0" length="0">
    <dxf>
      <font>
        <sz val="7"/>
        <color auto="1"/>
        <name val="Arial"/>
        <family val="2"/>
        <scheme val="none"/>
      </font>
      <numFmt numFmtId="30" formatCode="@"/>
      <border outline="0">
        <right style="thin">
          <color indexed="64"/>
        </right>
      </border>
    </dxf>
  </rfmt>
  <rcc rId="2237" sId="22">
    <nc r="A22" t="inlineStr">
      <is>
        <t>Waste- Management - Composting</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8" sId="26">
    <oc r="N13" t="inlineStr">
      <is>
        <t>Divided number of mink by number of farms, multiplied by number of farms within KC</t>
      </is>
    </oc>
    <nc r="N13" t="inlineStr">
      <is>
        <t>Table 34 Divided number of mink by number of farms, multiplied by number of farms within KC</t>
      </is>
    </nc>
  </rcc>
  <rcmt sheetId="26" cell="N13" guid="{00000000-0000-0000-0000-000000000000}" action="delete" alwaysShow="1" author="Andrea Martin"/>
  <rcc rId="2239" sId="26">
    <nc r="N50" t="inlineStr">
      <is>
        <t>Table A-180</t>
      </is>
    </nc>
  </rcc>
  <rcmt sheetId="26" cell="N50" guid="{00000000-0000-0000-0000-000000000000}" action="delete" alwaysShow="1" author="Andrea Martin"/>
  <rcc rId="2240" sId="26" numFmtId="4">
    <oc r="F146">
      <v>121.9</v>
    </oc>
    <nc r="F146">
      <v>153.9</v>
    </nc>
  </rcc>
  <rcc rId="2241" sId="26" numFmtId="4">
    <oc r="B146">
      <v>119.4</v>
    </oc>
    <nc r="B146">
      <v>153.9</v>
    </nc>
  </rcc>
  <rcc rId="2242" sId="26">
    <oc r="E146" t="inlineStr">
      <is>
        <t>Table 6-17 2000 data.</t>
      </is>
    </oc>
    <nc r="E146" t="inlineStr">
      <is>
        <t>2005 data, Table 5-17</t>
      </is>
    </nc>
  </rcc>
  <rcc rId="2243" sId="26">
    <oc r="I146" t="inlineStr">
      <is>
        <t>2007 data.</t>
      </is>
    </oc>
    <nc r="I146" t="inlineStr">
      <is>
        <t>2005 data, Table 5-17</t>
      </is>
    </nc>
  </rcc>
  <rcmt sheetId="26" cell="F146" guid="{00000000-0000-0000-0000-000000000000}" action="delete" alwaysShow="1" author="Andrea Martin"/>
  <rcmt sheetId="26" cell="F148" guid="{00000000-0000-0000-0000-000000000000}" action="delete" alwaysShow="1" author="Andrea Martin"/>
  <rcc rId="2244" sId="26" numFmtId="4">
    <oc r="F148">
      <v>24.9</v>
    </oc>
    <nc r="F148">
      <v>34.4</v>
    </nc>
  </rcc>
  <rcc rId="2245" sId="26">
    <oc r="I148" t="inlineStr">
      <is>
        <t>2007 data.</t>
      </is>
    </oc>
    <nc r="I148" t="inlineStr">
      <is>
        <t>2005 data, Table 5-18</t>
      </is>
    </nc>
  </rcc>
  <rcc rId="2246" sId="26">
    <oc r="E148" t="inlineStr">
      <is>
        <t>Table 6-18 2000 data.</t>
      </is>
    </oc>
    <nc r="E148" t="inlineStr">
      <is>
        <t>2005 data, Table 5-18</t>
      </is>
    </nc>
  </rcc>
  <rcc rId="2247" sId="26">
    <oc r="E149" t="inlineStr">
      <is>
        <t>Table 6-18 2000 data.</t>
      </is>
    </oc>
    <nc r="E149" t="inlineStr">
      <is>
        <t>2005 data, Table 5-18</t>
      </is>
    </nc>
  </rcc>
  <rcc rId="2248" sId="26">
    <oc r="E150" t="inlineStr">
      <is>
        <t>Table 6-18 2000 data.</t>
      </is>
    </oc>
    <nc r="E150" t="inlineStr">
      <is>
        <t>2005 data, Table 5-18</t>
      </is>
    </nc>
  </rcc>
  <rcc rId="2249" sId="26">
    <oc r="I149" t="inlineStr">
      <is>
        <t>2007 data.</t>
      </is>
    </oc>
    <nc r="I149" t="inlineStr">
      <is>
        <t>2005 data, Table 5-18</t>
      </is>
    </nc>
  </rcc>
  <rcc rId="2250" sId="26">
    <oc r="I150" t="inlineStr">
      <is>
        <t>2007 data.</t>
      </is>
    </oc>
    <nc r="I150" t="inlineStr">
      <is>
        <t>2005 data, Table 5-18</t>
      </is>
    </nc>
  </rcc>
  <rcc rId="2251" sId="26" numFmtId="4">
    <oc r="B149">
      <v>9</v>
    </oc>
    <nc r="B149">
      <v>13</v>
    </nc>
  </rcc>
  <rcc rId="2252" sId="26" numFmtId="4">
    <oc r="B150">
      <v>16.600000000000001</v>
    </oc>
    <nc r="B150">
      <v>21.4</v>
    </nc>
  </rcc>
  <rcc rId="2253" sId="26" numFmtId="4">
    <oc r="F149">
      <v>8.9</v>
    </oc>
    <nc r="F149">
      <v>13</v>
    </nc>
  </rcc>
  <rcc rId="2254" sId="26" numFmtId="4">
    <oc r="F150">
      <v>16</v>
    </oc>
    <nc r="F150">
      <v>21.4</v>
    </nc>
  </rcc>
  <rcc rId="2255" sId="26" numFmtId="4">
    <oc r="B148">
      <v>25.6</v>
    </oc>
    <nc r="B148">
      <v>34.4</v>
    </nc>
  </rcc>
  <rcc rId="2256" sId="26">
    <oc r="N143" t="inlineStr">
      <is>
        <t>Table 8, pg. 292</t>
      </is>
    </oc>
    <nc r="N143" t="inlineStr">
      <is>
        <t>Table 8, pg. 273</t>
      </is>
    </nc>
  </rcc>
  <rcmt sheetId="26" cell="N143" guid="{00000000-0000-0000-0000-000000000000}" action="delete" alwaysShow="1" author="Andrea Martin"/>
  <rcc rId="2257" sId="26">
    <oc r="N144" t="inlineStr">
      <is>
        <t>Table 8, pg. 345</t>
      </is>
    </oc>
    <nc r="N144" t="inlineStr">
      <is>
        <t>Table 8</t>
      </is>
    </nc>
  </rcc>
  <rcmt sheetId="26" cell="N144" guid="{00000000-0000-0000-0000-000000000000}" action="delete" alwaysShow="1" author="Andrea Martin"/>
  <rcc rId="2258" sId="26">
    <oc r="C146" t="inlineStr">
      <is>
        <r>
          <t>MgCO</t>
        </r>
        <r>
          <rPr>
            <vertAlign val="subscript"/>
            <sz val="9"/>
            <rFont val="Calibri"/>
            <family val="2"/>
          </rPr>
          <t>2</t>
        </r>
        <r>
          <rPr>
            <sz val="9"/>
            <rFont val="Calibri"/>
            <family val="2"/>
          </rPr>
          <t>e</t>
        </r>
      </is>
    </oc>
    <nc r="C146" t="inlineStr">
      <is>
        <r>
          <t>million MgCO</t>
        </r>
        <r>
          <rPr>
            <vertAlign val="subscript"/>
            <sz val="9"/>
            <rFont val="Calibri"/>
            <family val="2"/>
          </rPr>
          <t>2</t>
        </r>
        <r>
          <rPr>
            <sz val="9"/>
            <rFont val="Calibri"/>
            <family val="2"/>
          </rPr>
          <t>e</t>
        </r>
      </is>
    </nc>
  </rcc>
  <rcc rId="2259" sId="26">
    <oc r="C148" t="inlineStr">
      <is>
        <r>
          <t>MgCO</t>
        </r>
        <r>
          <rPr>
            <vertAlign val="subscript"/>
            <sz val="9"/>
            <rFont val="Calibri"/>
            <family val="2"/>
          </rPr>
          <t>2</t>
        </r>
        <r>
          <rPr>
            <sz val="9"/>
            <rFont val="Calibri"/>
            <family val="2"/>
          </rPr>
          <t>e</t>
        </r>
      </is>
    </oc>
    <nc r="C148" t="inlineStr">
      <is>
        <r>
          <t>million MgCO</t>
        </r>
        <r>
          <rPr>
            <vertAlign val="subscript"/>
            <sz val="9"/>
            <rFont val="Calibri"/>
            <family val="2"/>
          </rPr>
          <t>2</t>
        </r>
        <r>
          <rPr>
            <sz val="9"/>
            <rFont val="Calibri"/>
            <family val="2"/>
          </rPr>
          <t>e</t>
        </r>
      </is>
    </nc>
  </rcc>
  <rcc rId="2260" sId="26">
    <oc r="C149" t="inlineStr">
      <is>
        <r>
          <t>MgCO</t>
        </r>
        <r>
          <rPr>
            <vertAlign val="subscript"/>
            <sz val="9"/>
            <rFont val="Calibri"/>
            <family val="2"/>
          </rPr>
          <t>2</t>
        </r>
        <r>
          <rPr>
            <sz val="9"/>
            <rFont val="Calibri"/>
            <family val="2"/>
          </rPr>
          <t>e</t>
        </r>
      </is>
    </oc>
    <nc r="C149" t="inlineStr">
      <is>
        <r>
          <t>million MgCO</t>
        </r>
        <r>
          <rPr>
            <vertAlign val="subscript"/>
            <sz val="9"/>
            <rFont val="Calibri"/>
            <family val="2"/>
          </rPr>
          <t>2</t>
        </r>
        <r>
          <rPr>
            <sz val="9"/>
            <rFont val="Calibri"/>
            <family val="2"/>
          </rPr>
          <t>e</t>
        </r>
      </is>
    </nc>
  </rcc>
  <rcc rId="2261" sId="26">
    <oc r="C150" t="inlineStr">
      <is>
        <r>
          <t>MgCO</t>
        </r>
        <r>
          <rPr>
            <vertAlign val="subscript"/>
            <sz val="9"/>
            <rFont val="Calibri"/>
            <family val="2"/>
          </rPr>
          <t>2</t>
        </r>
        <r>
          <rPr>
            <sz val="9"/>
            <rFont val="Calibri"/>
            <family val="2"/>
          </rPr>
          <t>e</t>
        </r>
      </is>
    </oc>
    <nc r="C150" t="inlineStr">
      <is>
        <r>
          <t>million MgCO</t>
        </r>
        <r>
          <rPr>
            <vertAlign val="subscript"/>
            <sz val="9"/>
            <rFont val="Calibri"/>
            <family val="2"/>
          </rPr>
          <t>2</t>
        </r>
        <r>
          <rPr>
            <sz val="9"/>
            <rFont val="Calibri"/>
            <family val="2"/>
          </rPr>
          <t>e</t>
        </r>
      </is>
    </nc>
  </rcc>
  <rcc rId="2262" sId="26">
    <oc r="G146" t="inlineStr">
      <is>
        <r>
          <t>MgCO</t>
        </r>
        <r>
          <rPr>
            <vertAlign val="subscript"/>
            <sz val="9"/>
            <rFont val="Calibri"/>
            <family val="2"/>
          </rPr>
          <t>2</t>
        </r>
        <r>
          <rPr>
            <sz val="9"/>
            <rFont val="Calibri"/>
            <family val="2"/>
          </rPr>
          <t>e</t>
        </r>
      </is>
    </oc>
    <nc r="G146" t="inlineStr">
      <is>
        <r>
          <t>million MgCO</t>
        </r>
        <r>
          <rPr>
            <vertAlign val="subscript"/>
            <sz val="9"/>
            <rFont val="Calibri"/>
            <family val="2"/>
          </rPr>
          <t>2</t>
        </r>
        <r>
          <rPr>
            <sz val="9"/>
            <rFont val="Calibri"/>
            <family val="2"/>
          </rPr>
          <t>e</t>
        </r>
      </is>
    </nc>
  </rcc>
  <rcc rId="2263" sId="26">
    <oc r="G148" t="inlineStr">
      <is>
        <r>
          <t>MgCO</t>
        </r>
        <r>
          <rPr>
            <vertAlign val="subscript"/>
            <sz val="9"/>
            <rFont val="Calibri"/>
            <family val="2"/>
          </rPr>
          <t>2</t>
        </r>
        <r>
          <rPr>
            <sz val="9"/>
            <rFont val="Calibri"/>
            <family val="2"/>
          </rPr>
          <t>e</t>
        </r>
      </is>
    </oc>
    <nc r="G148" t="inlineStr">
      <is>
        <r>
          <t>million MgCO</t>
        </r>
        <r>
          <rPr>
            <vertAlign val="subscript"/>
            <sz val="9"/>
            <rFont val="Calibri"/>
            <family val="2"/>
          </rPr>
          <t>2</t>
        </r>
        <r>
          <rPr>
            <sz val="9"/>
            <rFont val="Calibri"/>
            <family val="2"/>
          </rPr>
          <t>e</t>
        </r>
      </is>
    </nc>
  </rcc>
  <rcc rId="2264" sId="26">
    <oc r="G149" t="inlineStr">
      <is>
        <r>
          <t>MgCO</t>
        </r>
        <r>
          <rPr>
            <vertAlign val="subscript"/>
            <sz val="9"/>
            <rFont val="Calibri"/>
            <family val="2"/>
          </rPr>
          <t>2</t>
        </r>
        <r>
          <rPr>
            <sz val="9"/>
            <rFont val="Calibri"/>
            <family val="2"/>
          </rPr>
          <t>e</t>
        </r>
      </is>
    </oc>
    <nc r="G149" t="inlineStr">
      <is>
        <r>
          <t>million MgCO</t>
        </r>
        <r>
          <rPr>
            <vertAlign val="subscript"/>
            <sz val="9"/>
            <rFont val="Calibri"/>
            <family val="2"/>
          </rPr>
          <t>2</t>
        </r>
        <r>
          <rPr>
            <sz val="9"/>
            <rFont val="Calibri"/>
            <family val="2"/>
          </rPr>
          <t>e</t>
        </r>
      </is>
    </nc>
  </rcc>
  <rcc rId="2265" sId="26">
    <oc r="G150" t="inlineStr">
      <is>
        <r>
          <t>MgCO</t>
        </r>
        <r>
          <rPr>
            <vertAlign val="subscript"/>
            <sz val="9"/>
            <rFont val="Calibri"/>
            <family val="2"/>
          </rPr>
          <t>2</t>
        </r>
        <r>
          <rPr>
            <sz val="9"/>
            <rFont val="Calibri"/>
            <family val="2"/>
          </rPr>
          <t>e</t>
        </r>
      </is>
    </oc>
    <nc r="G150" t="inlineStr">
      <is>
        <r>
          <t>million MgCO</t>
        </r>
        <r>
          <rPr>
            <vertAlign val="subscript"/>
            <sz val="9"/>
            <rFont val="Calibri"/>
            <family val="2"/>
          </rPr>
          <t>2</t>
        </r>
        <r>
          <rPr>
            <sz val="9"/>
            <rFont val="Calibri"/>
            <family val="2"/>
          </rPr>
          <t>e</t>
        </r>
      </is>
    </nc>
  </rcc>
  <rcc rId="2266" sId="26">
    <oc r="L146" t="inlineStr">
      <is>
        <r>
          <t>MgCO</t>
        </r>
        <r>
          <rPr>
            <vertAlign val="subscript"/>
            <sz val="9"/>
            <rFont val="Calibri"/>
            <family val="2"/>
          </rPr>
          <t>2</t>
        </r>
        <r>
          <rPr>
            <sz val="9"/>
            <rFont val="Calibri"/>
            <family val="2"/>
          </rPr>
          <t>e</t>
        </r>
      </is>
    </oc>
    <nc r="L146" t="inlineStr">
      <is>
        <r>
          <t>million MgCO</t>
        </r>
        <r>
          <rPr>
            <vertAlign val="subscript"/>
            <sz val="9"/>
            <rFont val="Calibri"/>
            <family val="2"/>
          </rPr>
          <t>2</t>
        </r>
        <r>
          <rPr>
            <sz val="9"/>
            <rFont val="Calibri"/>
            <family val="2"/>
          </rPr>
          <t>e</t>
        </r>
      </is>
    </nc>
  </rcc>
  <rcc rId="2267" sId="26">
    <oc r="L148" t="inlineStr">
      <is>
        <r>
          <t>MgCO</t>
        </r>
        <r>
          <rPr>
            <vertAlign val="subscript"/>
            <sz val="9"/>
            <rFont val="Calibri"/>
            <family val="2"/>
          </rPr>
          <t>2</t>
        </r>
        <r>
          <rPr>
            <sz val="9"/>
            <rFont val="Calibri"/>
            <family val="2"/>
          </rPr>
          <t>e</t>
        </r>
      </is>
    </oc>
    <nc r="L148" t="inlineStr">
      <is>
        <r>
          <t>million MgCO</t>
        </r>
        <r>
          <rPr>
            <vertAlign val="subscript"/>
            <sz val="9"/>
            <rFont val="Calibri"/>
            <family val="2"/>
          </rPr>
          <t>2</t>
        </r>
        <r>
          <rPr>
            <sz val="9"/>
            <rFont val="Calibri"/>
            <family val="2"/>
          </rPr>
          <t>e</t>
        </r>
      </is>
    </nc>
  </rcc>
  <rcc rId="2268" sId="26">
    <oc r="L149" t="inlineStr">
      <is>
        <r>
          <t>MgCO</t>
        </r>
        <r>
          <rPr>
            <vertAlign val="subscript"/>
            <sz val="9"/>
            <rFont val="Calibri"/>
            <family val="2"/>
          </rPr>
          <t>2</t>
        </r>
        <r>
          <rPr>
            <sz val="9"/>
            <rFont val="Calibri"/>
            <family val="2"/>
          </rPr>
          <t>e</t>
        </r>
      </is>
    </oc>
    <nc r="L149" t="inlineStr">
      <is>
        <r>
          <t>million MgCO</t>
        </r>
        <r>
          <rPr>
            <vertAlign val="subscript"/>
            <sz val="9"/>
            <rFont val="Calibri"/>
            <family val="2"/>
          </rPr>
          <t>2</t>
        </r>
        <r>
          <rPr>
            <sz val="9"/>
            <rFont val="Calibri"/>
            <family val="2"/>
          </rPr>
          <t>e</t>
        </r>
      </is>
    </nc>
  </rcc>
  <rcc rId="2269" sId="26">
    <oc r="L150" t="inlineStr">
      <is>
        <r>
          <t>MgCO</t>
        </r>
        <r>
          <rPr>
            <vertAlign val="subscript"/>
            <sz val="9"/>
            <rFont val="Calibri"/>
            <family val="2"/>
          </rPr>
          <t>2</t>
        </r>
        <r>
          <rPr>
            <sz val="9"/>
            <rFont val="Calibri"/>
            <family val="2"/>
          </rPr>
          <t>e</t>
        </r>
      </is>
    </oc>
    <nc r="L150" t="inlineStr">
      <is>
        <r>
          <t>million MgCO</t>
        </r>
        <r>
          <rPr>
            <vertAlign val="subscript"/>
            <sz val="9"/>
            <rFont val="Calibri"/>
            <family val="2"/>
          </rPr>
          <t>2</t>
        </r>
        <r>
          <rPr>
            <sz val="9"/>
            <rFont val="Calibri"/>
            <family val="2"/>
          </rPr>
          <t>e</t>
        </r>
      </is>
    </nc>
  </rcc>
  <rcc rId="2270" sId="26">
    <oc r="L153" t="inlineStr">
      <is>
        <r>
          <t>MgCO</t>
        </r>
        <r>
          <rPr>
            <vertAlign val="subscript"/>
            <sz val="9"/>
            <rFont val="Calibri"/>
            <family val="2"/>
          </rPr>
          <t>2</t>
        </r>
        <r>
          <rPr>
            <sz val="9"/>
            <rFont val="Calibri"/>
            <family val="2"/>
          </rPr>
          <t>e</t>
        </r>
      </is>
    </oc>
    <nc r="L153" t="inlineStr">
      <is>
        <r>
          <t>million MgCO</t>
        </r>
        <r>
          <rPr>
            <vertAlign val="subscript"/>
            <sz val="9"/>
            <rFont val="Calibri"/>
            <family val="2"/>
          </rPr>
          <t>2</t>
        </r>
        <r>
          <rPr>
            <sz val="9"/>
            <rFont val="Calibri"/>
            <family val="2"/>
          </rPr>
          <t>e</t>
        </r>
      </is>
    </nc>
  </rcc>
  <rcc rId="2271" sId="26">
    <oc r="L154" t="inlineStr">
      <is>
        <r>
          <t>MgCO</t>
        </r>
        <r>
          <rPr>
            <vertAlign val="subscript"/>
            <sz val="9"/>
            <rFont val="Calibri"/>
            <family val="2"/>
          </rPr>
          <t>2</t>
        </r>
        <r>
          <rPr>
            <sz val="9"/>
            <rFont val="Calibri"/>
            <family val="2"/>
          </rPr>
          <t>e</t>
        </r>
      </is>
    </oc>
    <nc r="L154" t="inlineStr">
      <is>
        <r>
          <t>million MgCO</t>
        </r>
        <r>
          <rPr>
            <vertAlign val="subscript"/>
            <sz val="9"/>
            <rFont val="Calibri"/>
            <family val="2"/>
          </rPr>
          <t>2</t>
        </r>
        <r>
          <rPr>
            <sz val="9"/>
            <rFont val="Calibri"/>
            <family val="2"/>
          </rPr>
          <t>e</t>
        </r>
      </is>
    </nc>
  </rcc>
  <rcc rId="2272" sId="26">
    <oc r="L155" t="inlineStr">
      <is>
        <r>
          <t>MgCO</t>
        </r>
        <r>
          <rPr>
            <vertAlign val="subscript"/>
            <sz val="9"/>
            <rFont val="Calibri"/>
            <family val="2"/>
          </rPr>
          <t>2</t>
        </r>
        <r>
          <rPr>
            <sz val="9"/>
            <rFont val="Calibri"/>
            <family val="2"/>
          </rPr>
          <t>e</t>
        </r>
      </is>
    </oc>
    <nc r="L155" t="inlineStr">
      <is>
        <r>
          <t>million MgCO</t>
        </r>
        <r>
          <rPr>
            <vertAlign val="subscript"/>
            <sz val="9"/>
            <rFont val="Calibri"/>
            <family val="2"/>
          </rPr>
          <t>2</t>
        </r>
        <r>
          <rPr>
            <sz val="9"/>
            <rFont val="Calibri"/>
            <family val="2"/>
          </rPr>
          <t>e</t>
        </r>
      </is>
    </nc>
  </rcc>
  <rcc rId="2273" sId="26">
    <oc r="G153" t="inlineStr">
      <is>
        <r>
          <t>MgCO</t>
        </r>
        <r>
          <rPr>
            <vertAlign val="subscript"/>
            <sz val="9"/>
            <rFont val="Calibri"/>
            <family val="2"/>
          </rPr>
          <t>2</t>
        </r>
        <r>
          <rPr>
            <sz val="9"/>
            <rFont val="Calibri"/>
            <family val="2"/>
          </rPr>
          <t>e</t>
        </r>
      </is>
    </oc>
    <nc r="G153" t="inlineStr">
      <is>
        <r>
          <t>million MgCO</t>
        </r>
        <r>
          <rPr>
            <vertAlign val="subscript"/>
            <sz val="9"/>
            <rFont val="Calibri"/>
            <family val="2"/>
          </rPr>
          <t>2</t>
        </r>
        <r>
          <rPr>
            <sz val="9"/>
            <rFont val="Calibri"/>
            <family val="2"/>
          </rPr>
          <t>e</t>
        </r>
      </is>
    </nc>
  </rcc>
  <rcc rId="2274" sId="26">
    <oc r="G154" t="inlineStr">
      <is>
        <r>
          <t>MgCO</t>
        </r>
        <r>
          <rPr>
            <vertAlign val="subscript"/>
            <sz val="9"/>
            <rFont val="Calibri"/>
            <family val="2"/>
          </rPr>
          <t>2</t>
        </r>
        <r>
          <rPr>
            <sz val="9"/>
            <rFont val="Calibri"/>
            <family val="2"/>
          </rPr>
          <t>e</t>
        </r>
      </is>
    </oc>
    <nc r="G154" t="inlineStr">
      <is>
        <r>
          <t>million MgCO</t>
        </r>
        <r>
          <rPr>
            <vertAlign val="subscript"/>
            <sz val="9"/>
            <rFont val="Calibri"/>
            <family val="2"/>
          </rPr>
          <t>2</t>
        </r>
        <r>
          <rPr>
            <sz val="9"/>
            <rFont val="Calibri"/>
            <family val="2"/>
          </rPr>
          <t>e</t>
        </r>
      </is>
    </nc>
  </rcc>
  <rcc rId="2275" sId="26">
    <oc r="G155" t="inlineStr">
      <is>
        <r>
          <t>MgCO</t>
        </r>
        <r>
          <rPr>
            <vertAlign val="subscript"/>
            <sz val="9"/>
            <rFont val="Calibri"/>
            <family val="2"/>
          </rPr>
          <t>2</t>
        </r>
        <r>
          <rPr>
            <sz val="9"/>
            <rFont val="Calibri"/>
            <family val="2"/>
          </rPr>
          <t>e</t>
        </r>
      </is>
    </oc>
    <nc r="G155" t="inlineStr">
      <is>
        <r>
          <t>million MgCO</t>
        </r>
        <r>
          <rPr>
            <vertAlign val="subscript"/>
            <sz val="9"/>
            <rFont val="Calibri"/>
            <family val="2"/>
          </rPr>
          <t>2</t>
        </r>
        <r>
          <rPr>
            <sz val="9"/>
            <rFont val="Calibri"/>
            <family val="2"/>
          </rPr>
          <t>e</t>
        </r>
      </is>
    </nc>
  </rcc>
  <rcc rId="2276" sId="26">
    <oc r="C153" t="inlineStr">
      <is>
        <r>
          <t>MgCO</t>
        </r>
        <r>
          <rPr>
            <vertAlign val="subscript"/>
            <sz val="9"/>
            <rFont val="Calibri"/>
            <family val="2"/>
          </rPr>
          <t>2</t>
        </r>
        <r>
          <rPr>
            <sz val="9"/>
            <rFont val="Calibri"/>
            <family val="2"/>
          </rPr>
          <t>e</t>
        </r>
      </is>
    </oc>
    <nc r="C153" t="inlineStr">
      <is>
        <r>
          <t>million MgCO</t>
        </r>
        <r>
          <rPr>
            <vertAlign val="subscript"/>
            <sz val="9"/>
            <rFont val="Calibri"/>
            <family val="2"/>
          </rPr>
          <t>2</t>
        </r>
        <r>
          <rPr>
            <sz val="9"/>
            <rFont val="Calibri"/>
            <family val="2"/>
          </rPr>
          <t>e</t>
        </r>
      </is>
    </nc>
  </rcc>
  <rcc rId="2277" sId="26">
    <oc r="C154" t="inlineStr">
      <is>
        <r>
          <t>MgCO</t>
        </r>
        <r>
          <rPr>
            <vertAlign val="subscript"/>
            <sz val="9"/>
            <rFont val="Calibri"/>
            <family val="2"/>
          </rPr>
          <t>2</t>
        </r>
        <r>
          <rPr>
            <sz val="9"/>
            <rFont val="Calibri"/>
            <family val="2"/>
          </rPr>
          <t>e</t>
        </r>
      </is>
    </oc>
    <nc r="C154" t="inlineStr">
      <is>
        <r>
          <t>million MgCO</t>
        </r>
        <r>
          <rPr>
            <vertAlign val="subscript"/>
            <sz val="9"/>
            <rFont val="Calibri"/>
            <family val="2"/>
          </rPr>
          <t>2</t>
        </r>
        <r>
          <rPr>
            <sz val="9"/>
            <rFont val="Calibri"/>
            <family val="2"/>
          </rPr>
          <t>e</t>
        </r>
      </is>
    </nc>
  </rcc>
  <rcc rId="2278" sId="26">
    <oc r="C155" t="inlineStr">
      <is>
        <r>
          <t>MgCO</t>
        </r>
        <r>
          <rPr>
            <vertAlign val="subscript"/>
            <sz val="9"/>
            <rFont val="Calibri"/>
            <family val="2"/>
          </rPr>
          <t>2</t>
        </r>
        <r>
          <rPr>
            <sz val="9"/>
            <rFont val="Calibri"/>
            <family val="2"/>
          </rPr>
          <t>e</t>
        </r>
      </is>
    </oc>
    <nc r="C155" t="inlineStr">
      <is>
        <r>
          <t>million MgCO</t>
        </r>
        <r>
          <rPr>
            <vertAlign val="subscript"/>
            <sz val="9"/>
            <rFont val="Calibri"/>
            <family val="2"/>
          </rPr>
          <t>2</t>
        </r>
        <r>
          <rPr>
            <sz val="9"/>
            <rFont val="Calibri"/>
            <family val="2"/>
          </rPr>
          <t>e</t>
        </r>
      </is>
    </nc>
  </rcc>
  <rcmt sheetId="26" cell="K156" guid="{00000000-0000-0000-0000-000000000000}" action="delete" alwaysShow="1" author="Andrea Martin"/>
  <rcc rId="2279" sId="26">
    <oc r="B102">
      <f>B6*B44*$B$96*B54*$B$97*B64*$B$100*$B$95</f>
    </oc>
    <nc r="B102">
      <f>B6*B44*$B$96*B54*$B$97*B64*$B$100*$B$95</f>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0" sId="26">
    <oc r="A89" t="inlineStr">
      <is>
        <t>Dairy Anaerobic MCF</t>
      </is>
    </oc>
    <nc r="A89" t="inlineStr">
      <is>
        <t>Beef MCF</t>
      </is>
    </nc>
  </rcc>
  <rcc rId="2281" sId="26">
    <oc r="A90" t="inlineStr">
      <is>
        <t>Dairy Deep Pit MCF</t>
      </is>
    </oc>
    <nc r="A90" t="inlineStr">
      <is>
        <t>Dairy MCF</t>
      </is>
    </nc>
  </rcc>
  <rcc rId="2282" sId="26">
    <oc r="A91" t="inlineStr">
      <is>
        <t>Dairy Anaerobic MCF</t>
      </is>
    </oc>
    <nc r="A91" t="inlineStr">
      <is>
        <t>Swine MCF</t>
      </is>
    </nc>
  </rcc>
  <rcc rId="2283" sId="26">
    <oc r="A92" t="inlineStr">
      <is>
        <t>Dairy Deep Pit MCF</t>
      </is>
    </oc>
    <nc r="A92" t="inlineStr">
      <is>
        <t>Poultry MCF</t>
      </is>
    </nc>
  </rcc>
  <rcc rId="2284" sId="26" numFmtId="4">
    <nc r="B89">
      <v>0.23039000000000001</v>
    </nc>
  </rcc>
  <rcc rId="2285" sId="26" numFmtId="4">
    <nc r="B90">
      <v>0.3</v>
    </nc>
  </rcc>
  <rcc rId="2286" sId="26" numFmtId="4">
    <nc r="B91">
      <v>0.23270000000000002</v>
    </nc>
  </rcc>
  <rcc rId="2287" sId="26" numFmtId="4">
    <nc r="B92">
      <v>0.5323</v>
    </nc>
  </rcc>
  <rcc rId="2288" sId="26" numFmtId="4">
    <nc r="F89">
      <v>0.23039000000000001</v>
    </nc>
  </rcc>
  <rcc rId="2289" sId="26" numFmtId="4">
    <nc r="F90">
      <v>0.3</v>
    </nc>
  </rcc>
  <rcc rId="2290" sId="26" numFmtId="4">
    <nc r="F91">
      <v>0.23270000000000002</v>
    </nc>
  </rcc>
  <rcc rId="2291" sId="26" numFmtId="4">
    <nc r="F92">
      <v>0.5323</v>
    </nc>
  </rcc>
  <rcc rId="2292" sId="26" odxf="1" dxf="1" numFmtId="4">
    <nc r="M89">
      <v>0.23039000000000001</v>
    </nc>
    <odxf>
      <numFmt numFmtId="0" formatCode="General"/>
      <alignment horizontal="left" vertical="top"/>
    </odxf>
    <ndxf>
      <numFmt numFmtId="2" formatCode="0.00"/>
      <alignment horizontal="general" vertical="bottom"/>
    </ndxf>
  </rcc>
  <rcc rId="2293" sId="26" odxf="1" dxf="1" numFmtId="4">
    <nc r="M90">
      <v>0.3</v>
    </nc>
    <odxf>
      <numFmt numFmtId="0" formatCode="General"/>
      <alignment horizontal="left" vertical="top"/>
    </odxf>
    <ndxf>
      <numFmt numFmtId="2" formatCode="0.00"/>
      <alignment horizontal="general" vertical="bottom"/>
    </ndxf>
  </rcc>
  <rcc rId="2294" sId="26" odxf="1" dxf="1" numFmtId="4">
    <nc r="M91">
      <v>0.23270000000000002</v>
    </nc>
    <odxf>
      <numFmt numFmtId="0" formatCode="General"/>
      <alignment horizontal="left" vertical="top"/>
    </odxf>
    <ndxf>
      <numFmt numFmtId="2" formatCode="0.00"/>
      <alignment horizontal="general" vertical="bottom"/>
    </ndxf>
  </rcc>
  <rcc rId="2295" sId="26" odxf="1" dxf="1" numFmtId="4">
    <nc r="M92">
      <v>0.5323</v>
    </nc>
    <odxf>
      <numFmt numFmtId="0" formatCode="General"/>
      <alignment horizontal="left" vertical="top"/>
    </odxf>
    <ndxf>
      <numFmt numFmtId="2" formatCode="0.00"/>
      <alignment horizontal="general" vertical="bottom"/>
    </ndxf>
  </rcc>
  <rcc rId="2296" sId="26" odxf="1" dxf="1" numFmtId="4">
    <nc r="J89">
      <v>0.23039000000000001</v>
    </nc>
    <odxf>
      <numFmt numFmtId="0" formatCode="General"/>
      <alignment horizontal="left" vertical="top"/>
      <border outline="0">
        <left style="thin">
          <color indexed="64"/>
        </left>
      </border>
    </odxf>
    <ndxf>
      <numFmt numFmtId="2" formatCode="0.00"/>
      <alignment horizontal="general" vertical="bottom"/>
      <border outline="0">
        <left/>
      </border>
    </ndxf>
  </rcc>
  <rcc rId="2297" sId="26" odxf="1" dxf="1" numFmtId="4">
    <nc r="J90">
      <v>0.3</v>
    </nc>
    <odxf>
      <numFmt numFmtId="0" formatCode="General"/>
      <alignment horizontal="left" vertical="top"/>
      <border outline="0">
        <left style="thin">
          <color indexed="64"/>
        </left>
      </border>
    </odxf>
    <ndxf>
      <numFmt numFmtId="2" formatCode="0.00"/>
      <alignment horizontal="general" vertical="bottom"/>
      <border outline="0">
        <left/>
      </border>
    </ndxf>
  </rcc>
  <rcc rId="2298" sId="26" odxf="1" dxf="1" numFmtId="4">
    <nc r="J91">
      <v>0.23270000000000002</v>
    </nc>
    <odxf>
      <numFmt numFmtId="0" formatCode="General"/>
      <alignment horizontal="left" vertical="top"/>
      <border outline="0">
        <left style="thin">
          <color indexed="64"/>
        </left>
      </border>
    </odxf>
    <ndxf>
      <numFmt numFmtId="2" formatCode="0.00"/>
      <alignment horizontal="general" vertical="bottom"/>
      <border outline="0">
        <left/>
      </border>
    </ndxf>
  </rcc>
  <rcc rId="2299" sId="26" odxf="1" dxf="1" numFmtId="4">
    <nc r="J92">
      <v>0.5323</v>
    </nc>
    <odxf>
      <numFmt numFmtId="0" formatCode="General"/>
      <alignment horizontal="left" vertical="top"/>
      <border outline="0">
        <left style="thin">
          <color indexed="64"/>
        </left>
      </border>
    </odxf>
    <ndxf>
      <numFmt numFmtId="2" formatCode="0.00"/>
      <alignment horizontal="general" vertical="bottom"/>
      <border outline="0">
        <left/>
      </border>
    </ndxf>
  </rcc>
  <rcc rId="2300" sId="26">
    <oc r="B104">
      <f>B8*B46*$B$96*B56*$B$97*B66*$B$100*$B$95</f>
    </oc>
    <nc r="B104">
      <f>B8*B46*B$96*B56*B$97*B66*B$100*B$95</f>
    </nc>
  </rcc>
  <rcc rId="2301" sId="26">
    <oc r="B103">
      <f>B7*B45*$B$96*B55*$B$97*B65*$B$100*$B$95</f>
    </oc>
    <nc r="B103">
      <f>B7*B45*B$96*B55*B$97*B65*B$89*B$95</f>
    </nc>
  </rcc>
  <rcc rId="2302" sId="26">
    <oc r="B102">
      <f>B6*B44*$B$96*B54*$B$97*B64*$B$100*$B$95</f>
    </oc>
    <nc r="B102">
      <f>B6*B44*B$96*B54*B$97*B64*B$89*B$95</f>
    </nc>
  </rcc>
  <rcc rId="2303" sId="26">
    <oc r="B105">
      <f>B9*B47*$B$96*B57*$B$97*B67*$B$100*$B$95</f>
    </oc>
    <nc r="B105">
      <f>B9*B47*B$96*B57*B$97*B67*B$100*B$95</f>
    </nc>
  </rcc>
  <rcc rId="2304" sId="26">
    <oc r="B106">
      <f>B10*B48*$B$96*B58*$B$97*B68*$B$100*$B$95</f>
    </oc>
    <nc r="B106">
      <f>B10*B48*B$96*B58*B$97*B68*B$100*B$95</f>
    </nc>
  </rcc>
  <rcc rId="2305" sId="26">
    <oc r="B107">
      <f>B11*B49*$B$96*B59*$B$97*B69*$B$100*$B$95</f>
    </oc>
    <nc r="B107">
      <f>B11*B49*B$96*B59*B$97*B69*B$91*B$95</f>
    </nc>
  </rcc>
  <rcc rId="2306" sId="26">
    <oc r="B108">
      <f>B12*B50*$B$96*B60*$B$97*B70*$B$100*$B$95</f>
    </oc>
    <nc r="B108">
      <f>B12*B50*B$96*B60*B$97*B70*B$100*B$95</f>
    </nc>
  </rcc>
  <rcc rId="2307" sId="26">
    <oc r="B109">
      <f>B13*B51*$B$96*B61*$B$97*B71*$B$100*$B$95</f>
    </oc>
    <nc r="B109">
      <f>B13*B51*B$96*B61*B$97*B71*B$100*B$95</f>
    </nc>
  </rcc>
  <rcc rId="2308" sId="26">
    <oc r="B110">
      <f>B14*B52*$B$96*B62*$B$97*B72*$B$100*$B$95</f>
    </oc>
    <nc r="B110">
      <f>B14*B52*B$96*B62*B$97*B72*B$92*B$95</f>
    </nc>
  </rcc>
  <rcc rId="2309" sId="26">
    <oc r="F102">
      <f>F6*F44*$F$96*F54*$F$97*F64*$F$100*$F$95</f>
    </oc>
    <nc r="F102">
      <f>F6*F44*F$96*F54*F$97*F64*F$89*F$95</f>
    </nc>
  </rcc>
  <rcc rId="2310" sId="26">
    <oc r="F103">
      <f>F7*F45*$F$96*F55*$F$97*F65*$F$100*$F$95</f>
    </oc>
    <nc r="F103">
      <f>F7*F45*F$96*F55*F$97*F65*F$89*F$95</f>
    </nc>
  </rcc>
  <rcc rId="2311" sId="26">
    <oc r="F104">
      <f>F8*F46*$F$96*F56*$F$97*F66*$F$100*$F$95</f>
    </oc>
    <nc r="F104">
      <f>F8*F46*F$96*F56*F$97*F66*F$100*F$95</f>
    </nc>
  </rcc>
  <rcc rId="2312" sId="26">
    <oc r="F105">
      <f>F9*F47*$F$96*F57*$F$97*F67*$F$100*$F$95</f>
    </oc>
    <nc r="F105">
      <f>F9*F47*F$96*F57*F$97*F67*F$100*F$95</f>
    </nc>
  </rcc>
  <rcc rId="2313" sId="26">
    <oc r="F106">
      <f>F10*F48*$F$96*F58*$F$97*F68*$F$100*$F$95</f>
    </oc>
    <nc r="F106">
      <f>F10*F48*F$96*F58*F$97*F68*F$100*F$95</f>
    </nc>
  </rcc>
  <rcc rId="2314" sId="26">
    <oc r="F107">
      <f>F11*F49*$F$96*F59*$F$97*F69*$F$100*$F$95</f>
    </oc>
    <nc r="F107">
      <f>F11*F49*F$96*F59*F$97*F69*F$91*F$95</f>
    </nc>
  </rcc>
  <rcc rId="2315" sId="26">
    <oc r="F108">
      <f>F12*F50*$F$96*F60*$F$97*F70*$F$100*$F$95</f>
    </oc>
    <nc r="F108">
      <f>F12*F50*F$96*F60*F$97*F70*F$100*F$95</f>
    </nc>
  </rcc>
  <rcc rId="2316" sId="26">
    <oc r="F109">
      <f>F13*F51*$F$96*F61*$F$97*F71*$F$100*$F$95</f>
    </oc>
    <nc r="F109">
      <f>F13*F51*F$96*F61*F$97*F71*F$100*F$95</f>
    </nc>
  </rcc>
  <rcc rId="2317" sId="26">
    <oc r="F110">
      <f>F14*F52*$F$96*F62*$F$97*F72*$F$100*$F$95</f>
    </oc>
    <nc r="F110">
      <f>F14*F52*F$96*F62*F$97*F72*F$92*F$95</f>
    </nc>
  </rcc>
  <rcc rId="2318" sId="26">
    <oc r="K105">
      <f>K9*K47*$F$96*K57*$F$97*K67*$F$100*$F$95</f>
    </oc>
    <nc r="K105">
      <f>K9*K47*K$96*K57*K$97*K67*K$100*K$95</f>
    </nc>
  </rcc>
  <rcc rId="2319" sId="26">
    <oc r="K106">
      <f>K10*K48*$F$96*K58*$F$97*K68*$F$100*$F$95</f>
    </oc>
    <nc r="K106">
      <f>K10*K48*K$96*K58*K$97*K68*K$100*K$95</f>
    </nc>
  </rcc>
  <rcc rId="2320" sId="26">
    <oc r="K107">
      <f>K11*K49*$F$96*K59*$F$97*K69*$F$100*$F$95</f>
    </oc>
    <nc r="K107">
      <f>K11*K49*K$96*K59*K$97*K69*K$91*K$95</f>
    </nc>
  </rcc>
  <rcc rId="2321" sId="26">
    <oc r="K108">
      <f>K12*K50*$F$96*K60*$F$97*K70*$F$100*$F$95</f>
    </oc>
    <nc r="K108">
      <f>K12*K50*K$96*K60*K$97*K70*K$100*K$95</f>
    </nc>
  </rcc>
  <rcc rId="2322" sId="26">
    <oc r="K109">
      <f>K13*K51*$F$96*K61*$F$97*K71*$F$100*$F$95</f>
    </oc>
    <nc r="K109">
      <f>K13*K51*K$96*K61*K$97*K71*K$100*K$95</f>
    </nc>
  </rcc>
  <rcc rId="2323" sId="26">
    <oc r="K110">
      <f>K14*K52*$F$96*K62*$F$97*K72*$F$100*$F$95</f>
    </oc>
    <nc r="K110">
      <f>K14*K52*K$96*K62*K$97*K72*K$92*K$95</f>
    </nc>
  </rcc>
  <rcc rId="2324" sId="26" odxf="1" dxf="1" numFmtId="4">
    <nc r="K89">
      <v>0.23039000000000001</v>
    </nc>
    <odxf>
      <fill>
        <patternFill patternType="solid">
          <bgColor theme="9" tint="0.79998168889431442"/>
        </patternFill>
      </fill>
    </odxf>
    <ndxf>
      <fill>
        <patternFill patternType="none">
          <bgColor indexed="65"/>
        </patternFill>
      </fill>
    </ndxf>
  </rcc>
  <rcc rId="2325" sId="26" odxf="1" dxf="1" numFmtId="4">
    <nc r="K90">
      <v>0.3</v>
    </nc>
    <odxf>
      <fill>
        <patternFill patternType="solid">
          <bgColor theme="9" tint="0.79998168889431442"/>
        </patternFill>
      </fill>
    </odxf>
    <ndxf>
      <fill>
        <patternFill patternType="none">
          <bgColor indexed="65"/>
        </patternFill>
      </fill>
    </ndxf>
  </rcc>
  <rcc rId="2326" sId="26" odxf="1" dxf="1" numFmtId="4">
    <nc r="K91">
      <v>0.23270000000000002</v>
    </nc>
    <odxf>
      <fill>
        <patternFill patternType="solid">
          <bgColor theme="9" tint="0.79998168889431442"/>
        </patternFill>
      </fill>
    </odxf>
    <ndxf>
      <fill>
        <patternFill patternType="none">
          <bgColor indexed="65"/>
        </patternFill>
      </fill>
    </ndxf>
  </rcc>
  <rcc rId="2327" sId="26" odxf="1" dxf="1" numFmtId="4">
    <nc r="K92">
      <v>0.5323</v>
    </nc>
    <odxf>
      <fill>
        <patternFill patternType="solid">
          <bgColor theme="9" tint="0.79998168889431442"/>
        </patternFill>
      </fill>
    </odxf>
    <ndxf>
      <fill>
        <patternFill patternType="none">
          <bgColor indexed="65"/>
        </patternFill>
      </fill>
    </ndxf>
  </rcc>
  <rcc rId="2328" sId="26">
    <oc r="K102">
      <f>K6*K54*K64*$K$100*$K$95</f>
    </oc>
    <nc r="K102">
      <f>K6*K44*K$96*K54*K64*K$89*K$95</f>
    </nc>
  </rcc>
  <rcc rId="2329" sId="26">
    <oc r="K103">
      <f>K7*K55*K65*$K$100*$K$95</f>
    </oc>
    <nc r="K103">
      <f>K7*K45*K$96*K55*K65*K$89*K$95</f>
    </nc>
  </rcc>
  <rcc rId="2330" sId="26">
    <oc r="K104">
      <f>K8*K56*K66*$K$100*$K$95</f>
    </oc>
    <nc r="K104">
      <f>K8*K46*K$96*K56*K66*K$100*K$95</f>
    </nc>
  </rcc>
  <rcc rId="2331" sId="26">
    <oc r="N100" t="inlineStr">
      <is>
        <t>Average of liquid/slurry and uncovered anaerobic lagoon</t>
      </is>
    </oc>
    <nc r="N100" t="inlineStr">
      <is>
        <t>For not species specific MCF's Average of liquid/slurry and uncovered anaerobic lagoon</t>
      </is>
    </nc>
  </rcc>
  <rcc rId="2332" sId="26" odxf="1" dxf="1">
    <oc r="I100" t="inlineStr">
      <is>
        <t>Average of liquid/slurry and uncovered anaerobic lagoon</t>
      </is>
    </oc>
    <nc r="I100" t="inlineStr">
      <is>
        <t>For not species specific MCF's Average of liquid/slurry and uncovered anaerobic lagoon</t>
      </is>
    </nc>
    <odxf>
      <fill>
        <patternFill patternType="none">
          <bgColor indexed="65"/>
        </patternFill>
      </fill>
    </odxf>
    <ndxf>
      <fill>
        <patternFill patternType="solid">
          <bgColor theme="6" tint="0.79998168889431442"/>
        </patternFill>
      </fill>
    </ndxf>
  </rcc>
  <rcc rId="2333" sId="26" odxf="1" dxf="1">
    <oc r="E100" t="inlineStr">
      <is>
        <t>Average of liquid/slurry and uncovered anaerobic lagoon</t>
      </is>
    </oc>
    <nc r="E100" t="inlineStr">
      <is>
        <t>For not species specific MCF's Average of liquid/slurry and uncovered anaerobic lagoon</t>
      </is>
    </nc>
    <odxf>
      <fill>
        <patternFill patternType="none">
          <bgColor indexed="65"/>
        </patternFill>
      </fill>
    </odxf>
    <ndxf>
      <fill>
        <patternFill patternType="solid">
          <bgColor theme="6" tint="0.79998168889431442"/>
        </patternFill>
      </fill>
    </ndxf>
  </rcc>
  <rcc rId="2334" sId="26">
    <oc r="J86" t="inlineStr">
      <is>
        <t>High uncertainty.  Using same averaged MCF for all animal types, though certain animals, such as poultry, actually have a much smaller MCF (1.5%) (from IPCC guidelines).  Also could be inaccurate because this is not accounting for any dry spreading that may happen during the spring and summer (as mentioned in the PSCAA report).</t>
      </is>
    </oc>
    <nc r="J86" t="inlineStr">
      <is>
        <t>High uncertainty for not species-specific MCF's.  Using same averaged MCF for all animal types, though certain animals, such as poultry, actually have a much smaller MCF (1.5%) (from IPCC guidelines).  Also could be inaccurate because this is not accounting for any dry spreading that may happen during the spring and summer (as mentioned in the PSCAA report).</t>
      </is>
    </nc>
  </rcc>
  <rfmt sheetId="26" sqref="J86" start="0" length="2147483647">
    <dxf>
      <font>
        <b val="0"/>
        <family val="2"/>
      </font>
    </dxf>
  </rfmt>
  <rcc rId="2335" sId="26" numFmtId="4">
    <oc r="K119">
      <v>5.0000000000000001E-3</v>
    </oc>
    <nc r="K119">
      <v>1E-3</v>
    </nc>
  </rcc>
  <rcc rId="2336" sId="26" numFmtId="4">
    <oc r="F119">
      <v>5.0000000000000001E-3</v>
    </oc>
    <nc r="F119">
      <v>1E-3</v>
    </nc>
  </rcc>
  <rcc rId="2337" sId="26" numFmtId="4">
    <oc r="B119">
      <v>5.0000000000000001E-3</v>
    </oc>
    <nc r="B119">
      <v>1E-3</v>
    </nc>
  </rcc>
  <rcc rId="2338" sId="26" numFmtId="4">
    <oc r="B118">
      <v>1E-3</v>
    </oc>
    <nc r="B118">
      <v>5.0000000000000001E-3</v>
    </nc>
  </rcc>
  <rcc rId="2339" sId="26" numFmtId="4">
    <oc r="F118">
      <v>1E-3</v>
    </oc>
    <nc r="F118">
      <v>5.0000000000000001E-3</v>
    </nc>
  </rcc>
  <rcc rId="2340" sId="26" numFmtId="4">
    <oc r="K118">
      <v>1E-3</v>
    </oc>
    <nc r="K118">
      <v>5.0000000000000001E-3</v>
    </nc>
  </rcc>
  <rcc rId="2341" sId="26">
    <oc r="J118" t="inlineStr">
      <is>
        <t>Consistent with PSCAA's uses the wet manure system EF (from 2008 inventory).</t>
      </is>
    </oc>
    <nc r="J118"/>
  </rcc>
  <rcc rId="2342" sId="26">
    <oc r="M117" t="inlineStr">
      <is>
        <t>KC15_102_0</t>
      </is>
    </oc>
    <nc r="M117" t="inlineStr">
      <is>
        <t>KC15_00_01</t>
      </is>
    </nc>
  </rcc>
  <rcc rId="2343" sId="26">
    <oc r="N117" t="inlineStr">
      <is>
        <t>pg. 124</t>
      </is>
    </oc>
    <nc r="N117" t="inlineStr">
      <is>
        <t>Table A-187</t>
      </is>
    </nc>
  </rcc>
  <rcc rId="2344" sId="26">
    <oc r="N118" t="inlineStr">
      <is>
        <t>pg. 124</t>
      </is>
    </oc>
    <nc r="N118" t="inlineStr">
      <is>
        <t>Table A-187</t>
      </is>
    </nc>
  </rcc>
  <rcc rId="2345" sId="26">
    <oc r="N119" t="inlineStr">
      <is>
        <t>pg. 124</t>
      </is>
    </oc>
    <nc r="N119" t="inlineStr">
      <is>
        <t>Table A-187</t>
      </is>
    </nc>
  </rcc>
  <rcc rId="2346" sId="26">
    <oc r="N120" t="inlineStr">
      <is>
        <t>pg. 124</t>
      </is>
    </oc>
    <nc r="N120" t="inlineStr">
      <is>
        <t>Table A-187</t>
      </is>
    </nc>
  </rcc>
  <rcc rId="2347" sId="26">
    <oc r="M118" t="inlineStr">
      <is>
        <t>KC15_102_0</t>
      </is>
    </oc>
    <nc r="M118" t="inlineStr">
      <is>
        <t>KC15_00_01</t>
      </is>
    </nc>
  </rcc>
  <rcc rId="2348" sId="26">
    <oc r="M119" t="inlineStr">
      <is>
        <t>KC15_102_0</t>
      </is>
    </oc>
    <nc r="M119" t="inlineStr">
      <is>
        <t>KC15_00_01</t>
      </is>
    </nc>
  </rcc>
  <rcc rId="2349" sId="26">
    <oc r="M120" t="inlineStr">
      <is>
        <t>KC15_102_0</t>
      </is>
    </oc>
    <nc r="M120" t="inlineStr">
      <is>
        <t>KC15_00_01</t>
      </is>
    </nc>
  </rcc>
  <rcc rId="2350" sId="26">
    <oc r="H117" t="inlineStr">
      <is>
        <t>KC08-102-0</t>
      </is>
    </oc>
    <nc r="H117" t="inlineStr">
      <is>
        <t>KC15_00_01</t>
      </is>
    </nc>
  </rcc>
  <rcc rId="2351" sId="26">
    <oc r="I117" t="inlineStr">
      <is>
        <t>pg. 124</t>
      </is>
    </oc>
    <nc r="I117" t="inlineStr">
      <is>
        <t>Table A-187</t>
      </is>
    </nc>
  </rcc>
  <rcc rId="2352" sId="26">
    <oc r="H118" t="inlineStr">
      <is>
        <t>KC08-102-0</t>
      </is>
    </oc>
    <nc r="H118" t="inlineStr">
      <is>
        <t>KC15_00_01</t>
      </is>
    </nc>
  </rcc>
  <rcc rId="2353" sId="26">
    <oc r="I118" t="inlineStr">
      <is>
        <t>pg. 124</t>
      </is>
    </oc>
    <nc r="I118" t="inlineStr">
      <is>
        <t>Table A-187</t>
      </is>
    </nc>
  </rcc>
  <rcc rId="2354" sId="26">
    <oc r="H119" t="inlineStr">
      <is>
        <t>KC08-102-0</t>
      </is>
    </oc>
    <nc r="H119" t="inlineStr">
      <is>
        <t>KC15_00_01</t>
      </is>
    </nc>
  </rcc>
  <rcc rId="2355" sId="26">
    <oc r="I119" t="inlineStr">
      <is>
        <t>pg. 124</t>
      </is>
    </oc>
    <nc r="I119" t="inlineStr">
      <is>
        <t>Table A-187</t>
      </is>
    </nc>
  </rcc>
  <rcc rId="2356" sId="26">
    <oc r="H120" t="inlineStr">
      <is>
        <t>KC08-102-0</t>
      </is>
    </oc>
    <nc r="H120" t="inlineStr">
      <is>
        <t>KC15_00_01</t>
      </is>
    </nc>
  </rcc>
  <rcc rId="2357" sId="26">
    <oc r="I120" t="inlineStr">
      <is>
        <t>pg. 124</t>
      </is>
    </oc>
    <nc r="I120" t="inlineStr">
      <is>
        <t>Table A-187</t>
      </is>
    </nc>
  </rcc>
  <rcc rId="2358" sId="26">
    <oc r="D117" t="inlineStr">
      <is>
        <t>KC08-102-0</t>
      </is>
    </oc>
    <nc r="D117" t="inlineStr">
      <is>
        <t>KC15_00_01</t>
      </is>
    </nc>
  </rcc>
  <rcc rId="2359" sId="26">
    <oc r="E117" t="inlineStr">
      <is>
        <t>pg. 124</t>
      </is>
    </oc>
    <nc r="E117" t="inlineStr">
      <is>
        <t>Table A-187</t>
      </is>
    </nc>
  </rcc>
  <rcc rId="2360" sId="26">
    <oc r="D118" t="inlineStr">
      <is>
        <t>KC08-102-0</t>
      </is>
    </oc>
    <nc r="D118" t="inlineStr">
      <is>
        <t>KC15_00_01</t>
      </is>
    </nc>
  </rcc>
  <rcc rId="2361" sId="26">
    <oc r="E118" t="inlineStr">
      <is>
        <t>pg. 124</t>
      </is>
    </oc>
    <nc r="E118" t="inlineStr">
      <is>
        <t>Table A-187</t>
      </is>
    </nc>
  </rcc>
  <rcc rId="2362" sId="26">
    <oc r="D119" t="inlineStr">
      <is>
        <t>KC08-102-0</t>
      </is>
    </oc>
    <nc r="D119" t="inlineStr">
      <is>
        <t>KC15_00_01</t>
      </is>
    </nc>
  </rcc>
  <rcc rId="2363" sId="26">
    <oc r="E119" t="inlineStr">
      <is>
        <t>pg. 124</t>
      </is>
    </oc>
    <nc r="E119" t="inlineStr">
      <is>
        <t>Table A-187</t>
      </is>
    </nc>
  </rcc>
  <rcc rId="2364" sId="26">
    <oc r="D120" t="inlineStr">
      <is>
        <t>KC08-102-0</t>
      </is>
    </oc>
    <nc r="D120" t="inlineStr">
      <is>
        <t>KC15_00_01</t>
      </is>
    </nc>
  </rcc>
  <rcc rId="2365" sId="26">
    <oc r="E120" t="inlineStr">
      <is>
        <t>pg. 124</t>
      </is>
    </oc>
    <nc r="E120" t="inlineStr">
      <is>
        <t>Table A-187</t>
      </is>
    </nc>
  </rcc>
  <rcc rId="2366" sId="26">
    <oc r="K125">
      <f>K6*K44*$K$121*K74*$K$118*$K$120</f>
    </oc>
    <nc r="K125">
      <f>K6*K44*$K$121*K74*$K$118*$K$120</f>
    </nc>
  </rcc>
  <rcc rId="2367" sId="26">
    <oc r="F127">
      <f>F8*F46*$F$121*F76*$F$122*$F$118*$F$120</f>
    </oc>
    <nc r="F127">
      <f>F8*F46*$F$121*F76*$F$122*$F$118*$F$120</f>
    </nc>
  </rcc>
  <rcmt sheetId="26" cell="K125" guid="{00000000-0000-0000-0000-000000000000}" action="delete" alwaysShow="1" author="Andrea Martin"/>
  <rcc rId="2368" sId="26">
    <oc r="N143" t="inlineStr">
      <is>
        <t>Table 8, pg. 273</t>
      </is>
    </oc>
    <nc r="N143" t="inlineStr">
      <is>
        <t>2012 data</t>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25">
    <oc r="C23" t="inlineStr">
      <is>
        <t>BTU/MMBTU</t>
      </is>
    </oc>
    <nc r="C23" t="inlineStr">
      <is>
        <t>MMBTU/BTU</t>
      </is>
    </nc>
  </rcc>
  <rcc rId="2370" sId="25">
    <oc r="C39" t="inlineStr">
      <is>
        <t>BTU/MMBTU</t>
      </is>
    </oc>
    <nc r="C39" t="inlineStr">
      <is>
        <t>MMBTU/BTU</t>
      </is>
    </nc>
  </rcc>
  <rcc rId="2371" sId="25">
    <oc r="G23" t="inlineStr">
      <is>
        <t>BTU/MMBTU</t>
      </is>
    </oc>
    <nc r="G23" t="inlineStr">
      <is>
        <t>MMBTU/BTU</t>
      </is>
    </nc>
  </rcc>
  <rcc rId="2372" sId="25">
    <oc r="G39" t="inlineStr">
      <is>
        <t>BTU/MMBTU</t>
      </is>
    </oc>
    <nc r="G39" t="inlineStr">
      <is>
        <t>MMBTU/BTU</t>
      </is>
    </nc>
  </rcc>
  <rcc rId="2373" sId="25">
    <oc r="K23" t="inlineStr">
      <is>
        <t>BTU/MMBTU</t>
      </is>
    </oc>
    <nc r="K23" t="inlineStr">
      <is>
        <t>MMBTU/BTU</t>
      </is>
    </nc>
  </rcc>
  <rcc rId="2374" sId="25">
    <oc r="K39" t="inlineStr">
      <is>
        <t>BTU/MMBTU</t>
      </is>
    </oc>
    <nc r="K39" t="inlineStr">
      <is>
        <t>MMBTU/BTU</t>
      </is>
    </nc>
  </rcc>
  <rcc rId="2375" sId="25">
    <oc r="K26" t="inlineStr">
      <is>
        <t>Mt/kg</t>
      </is>
    </oc>
    <nc r="K26" t="inlineStr">
      <is>
        <t>Mg/kg</t>
      </is>
    </nc>
  </rcc>
  <rcc rId="2376" sId="25">
    <oc r="G26" t="inlineStr">
      <is>
        <t>Mt/kg</t>
      </is>
    </oc>
    <nc r="G26" t="inlineStr">
      <is>
        <t>Mg/kg</t>
      </is>
    </nc>
  </rcc>
  <rcc rId="2377" sId="25">
    <oc r="C26" t="inlineStr">
      <is>
        <t>Mt/kg</t>
      </is>
    </oc>
    <nc r="C26" t="inlineStr">
      <is>
        <t>Mg/kg</t>
      </is>
    </nc>
  </rcc>
  <rcc rId="2378" sId="25">
    <oc r="C27" t="inlineStr">
      <is>
        <t>CO2e</t>
      </is>
    </oc>
    <nc r="C27" t="inlineStr">
      <is>
        <r>
          <t>CO</t>
        </r>
        <r>
          <rPr>
            <vertAlign val="subscript"/>
            <sz val="9"/>
            <rFont val="Arial"/>
            <family val="2"/>
          </rPr>
          <t>2</t>
        </r>
        <r>
          <rPr>
            <sz val="9"/>
            <rFont val="Arial"/>
            <family val="2"/>
          </rPr>
          <t>e</t>
        </r>
      </is>
    </nc>
  </rcc>
  <rcc rId="2379" sId="25">
    <oc r="G27" t="inlineStr">
      <is>
        <t>CO2e</t>
      </is>
    </oc>
    <nc r="G27" t="inlineStr">
      <is>
        <r>
          <t>CO</t>
        </r>
        <r>
          <rPr>
            <vertAlign val="subscript"/>
            <sz val="9"/>
            <rFont val="Arial"/>
            <family val="2"/>
          </rPr>
          <t>2</t>
        </r>
        <r>
          <rPr>
            <sz val="9"/>
            <rFont val="Arial"/>
            <family val="2"/>
          </rPr>
          <t>e</t>
        </r>
      </is>
    </nc>
  </rcc>
  <rcc rId="2380" sId="25">
    <oc r="K27" t="inlineStr">
      <is>
        <t>CO2e</t>
      </is>
    </oc>
    <nc r="K27" t="inlineStr">
      <is>
        <r>
          <t>CO</t>
        </r>
        <r>
          <rPr>
            <vertAlign val="subscript"/>
            <sz val="9"/>
            <rFont val="Arial"/>
            <family val="2"/>
          </rPr>
          <t>2</t>
        </r>
        <r>
          <rPr>
            <sz val="9"/>
            <rFont val="Arial"/>
            <family val="2"/>
          </rPr>
          <t>e</t>
        </r>
      </is>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2" sqref="A25" start="0" length="0">
    <dxf>
      <alignment horizontal="left" relativeIndent="1"/>
    </dxf>
  </rfmt>
  <rcc rId="2386" sId="22" xfDxf="1" dxf="1">
    <nc r="H25" t="inlineStr">
      <is>
        <t>KC15-50-9_Compost</t>
      </is>
    </nc>
  </rcc>
  <rcc rId="2387" sId="22" xfDxf="1" dxf="1">
    <nc r="H26" t="inlineStr">
      <is>
        <t>KC15-50-9_Compost</t>
      </is>
    </nc>
  </rcc>
  <rcc rId="2388" sId="22" xfDxf="1" dxf="1">
    <nc r="H27" t="inlineStr">
      <is>
        <t>KC15-50-9_Compost</t>
      </is>
    </nc>
  </rcc>
  <rcc rId="2389" sId="22">
    <nc r="G25" t="inlineStr">
      <is>
        <t>tCO2e</t>
      </is>
    </nc>
  </rcc>
  <rcc rId="2390" sId="22">
    <nc r="G26" t="inlineStr">
      <is>
        <t>tCO2e</t>
      </is>
    </nc>
  </rcc>
  <rcc rId="2391" sId="22">
    <nc r="G27" t="inlineStr">
      <is>
        <t>tCO2e</t>
      </is>
    </nc>
  </rcc>
  <rfmt sheetId="22" sqref="A26" start="0" length="0">
    <dxf>
      <alignment horizontal="left" relativeIndent="1"/>
    </dxf>
  </rfmt>
  <rfmt sheetId="22" sqref="A27" start="0" length="0">
    <dxf>
      <alignment horizontal="left" relativeIndent="1"/>
    </dxf>
  </rfmt>
  <rcc rId="2392" sId="22">
    <nc r="F25">
      <v>1355</v>
    </nc>
  </rcc>
  <rcc rId="2393" sId="22">
    <nc r="F26">
      <v>4664</v>
    </nc>
  </rcc>
  <rcc rId="2394" sId="22">
    <nc r="F27">
      <v>-16257</v>
    </nc>
  </rcc>
  <rcc rId="2395" sId="22">
    <nc r="L25" t="inlineStr">
      <is>
        <t>tCO2e</t>
      </is>
    </nc>
  </rcc>
  <rcc rId="2396" sId="22">
    <nc r="M25" t="inlineStr">
      <is>
        <t>KC15-50-9_Compost</t>
      </is>
    </nc>
  </rcc>
  <rcc rId="2397" sId="22">
    <nc r="L26" t="inlineStr">
      <is>
        <t>tCO2e</t>
      </is>
    </nc>
  </rcc>
  <rcc rId="2398" sId="22">
    <nc r="M26" t="inlineStr">
      <is>
        <t>KC15-50-9_Compost</t>
      </is>
    </nc>
  </rcc>
  <rcc rId="2399" sId="22">
    <nc r="L27" t="inlineStr">
      <is>
        <t>tCO2e</t>
      </is>
    </nc>
  </rcc>
  <rcc rId="2400" sId="22">
    <nc r="M27" t="inlineStr">
      <is>
        <t>KC15-50-9_Compost</t>
      </is>
    </nc>
  </rcc>
  <rcc rId="2401" sId="22">
    <nc r="K25">
      <v>2757</v>
    </nc>
  </rcc>
  <rcc rId="2402" sId="22">
    <nc r="K26">
      <v>9484</v>
    </nc>
  </rcc>
  <rcc rId="2403" sId="22">
    <nc r="K27">
      <v>-33089</v>
    </nc>
  </rcc>
  <rcc rId="2404" sId="22">
    <nc r="P25" t="inlineStr">
      <is>
        <t>tCO2e</t>
      </is>
    </nc>
  </rcc>
  <rcc rId="2405" sId="22">
    <nc r="Q25" t="inlineStr">
      <is>
        <t>KC15-50-9_Compost</t>
      </is>
    </nc>
  </rcc>
  <rcc rId="2406" sId="22">
    <nc r="P26" t="inlineStr">
      <is>
        <t>tCO2e</t>
      </is>
    </nc>
  </rcc>
  <rcc rId="2407" sId="22">
    <nc r="Q26" t="inlineStr">
      <is>
        <t>KC15-50-9_Compost</t>
      </is>
    </nc>
  </rcc>
  <rcc rId="2408" sId="22">
    <nc r="P27" t="inlineStr">
      <is>
        <t>tCO2e</t>
      </is>
    </nc>
  </rcc>
  <rcc rId="2409" sId="22">
    <nc r="Q27" t="inlineStr">
      <is>
        <t>KC15-50-9_Compost</t>
      </is>
    </nc>
  </rcc>
  <rcc rId="2410" sId="22">
    <nc r="O25">
      <v>3244</v>
    </nc>
  </rcc>
  <rcc rId="2411" sId="22">
    <nc r="O26">
      <v>11133</v>
    </nc>
  </rcc>
  <rcc rId="2412" sId="22">
    <nc r="O27">
      <v>-38928</v>
    </nc>
  </rcc>
  <rfmt sheetId="22" sqref="F25:F27">
    <dxf>
      <numFmt numFmtId="35" formatCode="_(* #,##0.00_);_(* \(#,##0.00\);_(* &quot;-&quot;??_);_(@_)"/>
    </dxf>
  </rfmt>
  <rfmt sheetId="22" sqref="F25:F27">
    <dxf>
      <numFmt numFmtId="183" formatCode="_(* #,##0.000_);_(* \(#,##0.000\);_(* &quot;-&quot;??_);_(@_)"/>
    </dxf>
  </rfmt>
  <rfmt sheetId="22" sqref="F25:F27">
    <dxf>
      <numFmt numFmtId="188" formatCode="_(* #,##0.0000_);_(* \(#,##0.0000\);_(* &quot;-&quot;??_);_(@_)"/>
    </dxf>
  </rfmt>
  <rfmt sheetId="22" sqref="F25:F27">
    <dxf>
      <numFmt numFmtId="183" formatCode="_(* #,##0.000_);_(* \(#,##0.000\);_(* &quot;-&quot;??_);_(@_)"/>
    </dxf>
  </rfmt>
  <rfmt sheetId="22" sqref="F25:F27">
    <dxf>
      <numFmt numFmtId="35" formatCode="_(* #,##0.00_);_(* \(#,##0.00\);_(* &quot;-&quot;??_);_(@_)"/>
    </dxf>
  </rfmt>
  <rfmt sheetId="22" sqref="F25:F27">
    <dxf>
      <numFmt numFmtId="182" formatCode="_(* #,##0.0_);_(* \(#,##0.0\);_(* &quot;-&quot;??_);_(@_)"/>
    </dxf>
  </rfmt>
  <rfmt sheetId="22" sqref="F25:F27">
    <dxf>
      <numFmt numFmtId="181" formatCode="_(* #,##0_);_(* \(#,##0\);_(* &quot;-&quot;??_);_(@_)"/>
    </dxf>
  </rfmt>
  <rfmt sheetId="22" sqref="K25:K27">
    <dxf>
      <numFmt numFmtId="35" formatCode="_(* #,##0.00_);_(* \(#,##0.00\);_(* &quot;-&quot;??_);_(@_)"/>
    </dxf>
  </rfmt>
  <rfmt sheetId="22" sqref="K25:K27">
    <dxf>
      <numFmt numFmtId="182" formatCode="_(* #,##0.0_);_(* \(#,##0.0\);_(* &quot;-&quot;??_);_(@_)"/>
    </dxf>
  </rfmt>
  <rfmt sheetId="22" sqref="K25:K27">
    <dxf>
      <numFmt numFmtId="181" formatCode="_(* #,##0_);_(* \(#,##0\);_(* &quot;-&quot;??_);_(@_)"/>
    </dxf>
  </rfmt>
  <rfmt sheetId="22" sqref="O25:O27">
    <dxf>
      <numFmt numFmtId="35" formatCode="_(* #,##0.00_);_(* \(#,##0.00\);_(* &quot;-&quot;??_);_(@_)"/>
    </dxf>
  </rfmt>
  <rfmt sheetId="22" sqref="O25:O27">
    <dxf>
      <numFmt numFmtId="182" formatCode="_(* #,##0.0_);_(* \(#,##0.0\);_(* &quot;-&quot;??_);_(@_)"/>
    </dxf>
  </rfmt>
  <rfmt sheetId="22" sqref="O25:O27">
    <dxf>
      <numFmt numFmtId="181" formatCode="_(* #,##0_);_(* \(#,##0\);_(* &quot;-&quot;??_);_(@_)"/>
    </dxf>
  </rfmt>
  <rcc rId="2413" sId="22" odxf="1" dxf="1">
    <nc r="A24" t="inlineStr">
      <is>
        <t>KC Waste Characterization Study</t>
      </is>
    </nc>
    <ndxf>
      <border outline="0">
        <right style="thin">
          <color indexed="64"/>
        </right>
      </border>
    </ndxf>
  </rcc>
  <rcc rId="2414" sId="22" odxf="1" dxf="1">
    <nc r="A25" t="inlineStr">
      <is>
        <t>transportation to compost facility</t>
      </is>
    </nc>
    <ndxf>
      <alignment horizontal="general" indent="0"/>
      <border outline="0">
        <right style="thin">
          <color indexed="64"/>
        </right>
      </border>
    </ndxf>
  </rcc>
  <rcc rId="2415" sId="22" odxf="1" dxf="1">
    <nc r="A26" t="inlineStr">
      <is>
        <t>fugitive emissions</t>
      </is>
    </nc>
    <ndxf>
      <alignment horizontal="general" indent="0"/>
      <border outline="0">
        <right style="thin">
          <color indexed="64"/>
        </right>
      </border>
    </ndxf>
  </rcc>
  <rcc rId="2416" sId="22" odxf="1" dxf="1">
    <nc r="A27" t="inlineStr">
      <is>
        <t>soil carbon storage</t>
      </is>
    </nc>
    <ndxf>
      <alignment horizontal="general" indent="0"/>
      <border outline="0">
        <right style="thin">
          <color indexed="64"/>
        </right>
      </border>
    </ndxf>
  </rcc>
  <rfmt sheetId="22" sqref="A28" start="0" length="0">
    <dxf>
      <border outline="0">
        <right style="thin">
          <color indexed="64"/>
        </right>
      </border>
    </dxf>
  </rfmt>
  <rfmt sheetId="22" sqref="A29" start="0" length="0">
    <dxf>
      <border outline="0">
        <right style="thin">
          <color indexed="64"/>
        </right>
      </border>
    </dxf>
  </rfmt>
  <rfmt sheetId="22" sqref="A30" start="0" length="0">
    <dxf>
      <border outline="0">
        <right style="thin">
          <color indexed="64"/>
        </right>
      </border>
    </dxf>
  </rfmt>
  <rfmt sheetId="22" sqref="A25:A27" start="0" length="0">
    <dxf>
      <alignment horizontal="left" relativeIndent="1"/>
    </dxf>
  </rfmt>
  <rfmt sheetId="22" sqref="E24:E30" start="0" length="0">
    <dxf>
      <border>
        <right style="thin">
          <color indexed="64"/>
        </right>
      </border>
    </dxf>
  </rfmt>
  <rfmt sheetId="22" sqref="I24:I30" start="0" length="0">
    <dxf>
      <border>
        <right style="thin">
          <color indexed="64"/>
        </right>
      </border>
    </dxf>
  </rfmt>
  <rfmt sheetId="22" sqref="J24:J30" start="0" length="0">
    <dxf>
      <border>
        <right style="thin">
          <color indexed="64"/>
        </right>
      </border>
    </dxf>
  </rfmt>
  <rfmt sheetId="22" sqref="N24:N30" start="0" length="0">
    <dxf>
      <border>
        <right style="thin">
          <color indexed="64"/>
        </right>
      </border>
    </dxf>
  </rfmt>
  <rfmt sheetId="22" sqref="R24:R30" start="0" length="0">
    <dxf>
      <border>
        <right style="thin">
          <color indexed="64"/>
        </right>
      </border>
    </dxf>
  </rfmt>
  <rfmt sheetId="22" sqref="E21" start="0" length="0">
    <dxf>
      <border>
        <left/>
        <right style="thin">
          <color indexed="64"/>
        </right>
        <top/>
        <bottom/>
      </border>
    </dxf>
  </rfmt>
  <rfmt sheetId="22" sqref="I21" start="0" length="0">
    <dxf>
      <border>
        <left/>
        <right style="thin">
          <color indexed="64"/>
        </right>
        <top/>
        <bottom/>
      </border>
    </dxf>
  </rfmt>
  <rfmt sheetId="22" sqref="N21" start="0" length="0">
    <dxf>
      <border>
        <left/>
        <right style="thin">
          <color indexed="64"/>
        </right>
        <top/>
        <bottom/>
      </border>
    </dxf>
  </rfmt>
  <rfmt sheetId="22" sqref="R21" start="0" length="0">
    <dxf>
      <border>
        <left/>
        <right style="thin">
          <color indexed="64"/>
        </right>
        <top/>
        <bottom/>
      </border>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0">
    <oc r="E15" t="inlineStr">
      <is>
        <t>added in methane and n2o</t>
      </is>
    </oc>
    <nc r="E15" t="inlineStr">
      <is>
        <t>added in methane and nitrous oxide</t>
      </is>
    </nc>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2" sqref="J21" start="0" length="0">
    <dxf>
      <border>
        <left style="thin">
          <color indexed="64"/>
        </left>
        <right style="thin">
          <color indexed="64"/>
        </right>
        <top/>
        <bottom/>
      </border>
    </dxf>
  </rfmt>
  <rcc rId="2417" sId="22">
    <nc r="A29" t="inlineStr">
      <is>
        <t>Composting emissions</t>
      </is>
    </nc>
  </rcc>
  <rcc rId="2418" sId="22" odxf="1" dxf="1">
    <nc r="F29">
      <f>SUM(F25:F26)</f>
    </nc>
    <odxf>
      <numFmt numFmtId="0" formatCode="General"/>
    </odxf>
    <ndxf>
      <numFmt numFmtId="181" formatCode="_(* #,##0_);_(* \(#,##0\);_(* &quot;-&quot;??_);_(@_)"/>
    </ndxf>
  </rcc>
  <rcc rId="2419" sId="22">
    <nc r="G29" t="inlineStr">
      <is>
        <t>tCO2e</t>
      </is>
    </nc>
  </rcc>
  <rcc rId="2420" sId="22">
    <nc r="G30" t="inlineStr">
      <is>
        <t>MgCO2e</t>
      </is>
    </nc>
  </rcc>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1" sId="22" odxf="1" dxf="1">
    <nc r="F30">
      <f>F29*tonTOMg</f>
    </nc>
    <odxf>
      <numFmt numFmtId="0" formatCode="General"/>
    </odxf>
    <ndxf>
      <numFmt numFmtId="181" formatCode="_(* #,##0_);_(* \(#,##0\);_(* &quot;-&quot;??_);_(@_)"/>
    </ndxf>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2" sId="22">
    <oc r="G25" t="inlineStr">
      <is>
        <t>tCO2e</t>
      </is>
    </oc>
    <nc r="G25" t="inlineStr">
      <is>
        <t>MTCO2e</t>
      </is>
    </nc>
  </rcc>
  <rcc rId="2423" sId="22">
    <oc r="G26" t="inlineStr">
      <is>
        <t>tCO2e</t>
      </is>
    </oc>
    <nc r="G26" t="inlineStr">
      <is>
        <t>MTCO2e</t>
      </is>
    </nc>
  </rcc>
  <rcc rId="2424" sId="22">
    <oc r="G27" t="inlineStr">
      <is>
        <t>tCO2e</t>
      </is>
    </oc>
    <nc r="G27" t="inlineStr">
      <is>
        <t>MTCO2e</t>
      </is>
    </nc>
  </rcc>
  <rcc rId="2425" sId="22">
    <oc r="F30">
      <f>F29*tonTOMg</f>
    </oc>
    <nc r="F30"/>
  </rcc>
  <rcc rId="2426" sId="22">
    <oc r="G30" t="inlineStr">
      <is>
        <t>MgCO2e</t>
      </is>
    </oc>
    <nc r="G30"/>
  </rcc>
  <rcc rId="2427" sId="22">
    <oc r="G29" t="inlineStr">
      <is>
        <t>tCO2e</t>
      </is>
    </oc>
    <nc r="G29" t="inlineStr">
      <is>
        <t>MTCO2e</t>
      </is>
    </nc>
  </rcc>
  <rcc rId="2428" sId="22">
    <oc r="L25" t="inlineStr">
      <is>
        <t>tCO2e</t>
      </is>
    </oc>
    <nc r="L25" t="inlineStr">
      <is>
        <t>MTCO2e</t>
      </is>
    </nc>
  </rcc>
  <rcc rId="2429" sId="22">
    <oc r="L26" t="inlineStr">
      <is>
        <t>tCO2e</t>
      </is>
    </oc>
    <nc r="L26" t="inlineStr">
      <is>
        <t>MTCO2e</t>
      </is>
    </nc>
  </rcc>
  <rcc rId="2430" sId="22">
    <oc r="L27" t="inlineStr">
      <is>
        <t>tCO2e</t>
      </is>
    </oc>
    <nc r="L27" t="inlineStr">
      <is>
        <t>MTCO2e</t>
      </is>
    </nc>
  </rcc>
  <rcc rId="2431" sId="22" odxf="1" dxf="1">
    <nc r="K29">
      <f>SUM(K25:K26)</f>
    </nc>
    <odxf>
      <numFmt numFmtId="0" formatCode="General"/>
    </odxf>
    <ndxf>
      <numFmt numFmtId="181" formatCode="_(* #,##0_);_(* \(#,##0\);_(* &quot;-&quot;??_);_(@_)"/>
    </ndxf>
  </rcc>
  <rcc rId="2432" sId="22">
    <nc r="L29" t="inlineStr">
      <is>
        <t>MTCO2e</t>
      </is>
    </nc>
  </rcc>
  <rcc rId="2433" sId="22" odxf="1" dxf="1">
    <nc r="O29">
      <f>SUM(O25:O26)</f>
    </nc>
    <odxf>
      <numFmt numFmtId="0" formatCode="General"/>
    </odxf>
    <ndxf>
      <numFmt numFmtId="181" formatCode="_(* #,##0_);_(* \(#,##0\);_(* &quot;-&quot;??_);_(@_)"/>
    </ndxf>
  </rcc>
  <rcc rId="2434" sId="22">
    <nc r="P29" t="inlineStr">
      <is>
        <t>MTCO2e</t>
      </is>
    </nc>
  </rcc>
  <rcc rId="2435" sId="22">
    <oc r="P25" t="inlineStr">
      <is>
        <t>tCO2e</t>
      </is>
    </oc>
    <nc r="P25" t="inlineStr">
      <is>
        <t>MTCO2e</t>
      </is>
    </nc>
  </rcc>
  <rcc rId="2436" sId="22">
    <oc r="P26" t="inlineStr">
      <is>
        <t>tCO2e</t>
      </is>
    </oc>
    <nc r="P26" t="inlineStr">
      <is>
        <t>MTCO2e</t>
      </is>
    </nc>
  </rcc>
  <rcc rId="2437" sId="22">
    <oc r="P27" t="inlineStr">
      <is>
        <t>tCO2e</t>
      </is>
    </oc>
    <nc r="P27" t="inlineStr">
      <is>
        <t>MTCO2e</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38" sId="22">
    <oc r="F32">
      <f>SUM(F18:F19)</f>
    </oc>
    <nc r="F32">
      <f>SUM(F18:F19,F29)</f>
    </nc>
  </rcc>
  <rcc rId="2439" sId="22">
    <oc r="K32">
      <f>SUM(K18:K19)</f>
    </oc>
    <nc r="K32">
      <f>SUM(K18:K19,K29)</f>
    </nc>
  </rcc>
  <rcc rId="2440" sId="22">
    <oc r="O32">
      <f>SUM(O18:O19)</f>
    </oc>
    <nc r="O32">
      <f>SUM(O18:O19,O29)</f>
    </nc>
  </rcc>
  <rcc rId="2441" sId="22">
    <oc r="B32">
      <f>SUM(B18:B19)</f>
    </oc>
    <nc r="B32">
      <f>SUM(B18:B19,B29)</f>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2" sId="22">
    <nc r="A33" t="inlineStr">
      <is>
        <t>Total sequestration</t>
      </is>
    </nc>
  </rcc>
  <rcc rId="2443" sId="22">
    <nc r="B33">
      <f>SUM(B20,B27)</f>
    </nc>
  </rcc>
  <rcc rId="2444" sId="22">
    <nc r="F33">
      <f>SUM(F20,F27)</f>
    </nc>
  </rcc>
  <rcc rId="2445" sId="22">
    <nc r="K33">
      <f>SUM(K20,K27)</f>
    </nc>
  </rcc>
  <rcc rId="2446" sId="22">
    <nc r="O33">
      <f>SUM(O20,O27)</f>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6" cell="J86" guid="{00000000-0000-0000-0000-000000000000}" action="delete" alwaysShow="1" author="Andrea Martin"/>
  <rfmt sheetId="26" sqref="D39">
    <dxf>
      <numFmt numFmtId="2" formatCode="0.00"/>
    </dxf>
  </rfmt>
  <rcc rId="2447" sId="26">
    <oc r="B130">
      <f>B11*B49*$B$121*B79*$B$122*$B$118*$B$120</f>
    </oc>
    <nc r="B130">
      <f>B11*B49*$B$121*B79*$B$122*$B$118*$B$120</f>
    </nc>
  </rcc>
  <rrc rId="2448" sId="26" ref="A138:XFD139" action="insertRow"/>
  <rfmt sheetId="26" sqref="A138:F139">
    <dxf>
      <fill>
        <patternFill patternType="none">
          <bgColor auto="1"/>
        </patternFill>
      </fill>
    </dxf>
  </rfmt>
  <rrc rId="2449" sId="26" ref="A139:XFD140" action="insertRow"/>
  <rrc rId="2450" sId="26" ref="A139:XFD142" action="insertRow"/>
  <rrc rId="2451" sId="26" ref="A139:XFD142" action="insertRow"/>
  <rrc rId="2452" sId="26" ref="A139:XFD142" action="insertRow"/>
  <rrc rId="2453" sId="26" ref="A120:XFD120" action="insertRow"/>
  <rcc rId="2454" sId="26">
    <nc r="A120" t="inlineStr">
      <is>
        <t>Volatilization Nitrogen Loss</t>
      </is>
    </nc>
  </rcc>
  <rrc rId="2455" sId="26" ref="A121:XFD121" action="insertRow"/>
  <rcc rId="2456" sId="26" numFmtId="4">
    <nc r="B120">
      <v>0.26</v>
    </nc>
  </rcc>
  <rcc rId="2457" sId="26" numFmtId="4">
    <nc r="B121">
      <v>0.34</v>
    </nc>
  </rcc>
  <rcc rId="2458" sId="26">
    <nc r="A121" t="inlineStr">
      <is>
        <t>Poultry Volatilization Nitrogen Loss</t>
      </is>
    </nc>
  </rcc>
  <rfmt sheetId="26" sqref="B120" start="0" length="2147483647">
    <dxf>
      <font>
        <b val="0"/>
        <family val="2"/>
      </font>
    </dxf>
  </rfmt>
  <rfmt sheetId="26" sqref="B121" start="0" length="2147483647">
    <dxf>
      <font>
        <b val="0"/>
        <family val="2"/>
      </font>
    </dxf>
  </rfmt>
  <rrc rId="2459" sId="26" ref="A122:XFD122" action="insertRow"/>
  <rcc rId="2460" sId="26">
    <nc r="C122">
      <f>0.8/3</f>
    </nc>
  </rcc>
  <rfmt sheetId="26" sqref="C122">
    <dxf>
      <numFmt numFmtId="193" formatCode="0.0000000000"/>
    </dxf>
  </rfmt>
  <rfmt sheetId="26" sqref="C122">
    <dxf>
      <numFmt numFmtId="194" formatCode="0.00000000000"/>
    </dxf>
  </rfmt>
  <rfmt sheetId="26" sqref="C122">
    <dxf>
      <numFmt numFmtId="195" formatCode="0.000000000000"/>
    </dxf>
  </rfmt>
  <rfmt sheetId="26" sqref="C122">
    <dxf>
      <numFmt numFmtId="194" formatCode="0.00000000000"/>
    </dxf>
  </rfmt>
  <rfmt sheetId="26" sqref="C122">
    <dxf>
      <numFmt numFmtId="193" formatCode="0.0000000000"/>
    </dxf>
  </rfmt>
  <rfmt sheetId="26" sqref="C122">
    <dxf>
      <numFmt numFmtId="196" formatCode="0.000000000"/>
    </dxf>
  </rfmt>
  <rfmt sheetId="26" sqref="C122">
    <dxf>
      <numFmt numFmtId="191" formatCode="0.00000000"/>
    </dxf>
  </rfmt>
  <rfmt sheetId="26" sqref="C122">
    <dxf>
      <numFmt numFmtId="167" formatCode="0.0000000"/>
    </dxf>
  </rfmt>
  <rfmt sheetId="26" sqref="C122">
    <dxf>
      <numFmt numFmtId="172" formatCode="0.000000"/>
    </dxf>
  </rfmt>
  <rfmt sheetId="26" sqref="C122">
    <dxf>
      <numFmt numFmtId="171" formatCode="0.00000"/>
    </dxf>
  </rfmt>
  <rfmt sheetId="26" sqref="C122">
    <dxf>
      <numFmt numFmtId="166" formatCode="0.0000"/>
    </dxf>
  </rfmt>
  <rfmt sheetId="26" sqref="C122">
    <dxf>
      <numFmt numFmtId="170" formatCode="0.000"/>
    </dxf>
  </rfmt>
  <rfmt sheetId="26" sqref="C122">
    <dxf>
      <numFmt numFmtId="2" formatCode="0.00"/>
    </dxf>
  </rfmt>
  <rrc rId="2461" sId="26" ref="A123:XFD123" action="insertRow"/>
  <rcc rId="2462" sId="26" numFmtId="4">
    <nc r="C123">
      <v>0</v>
    </nc>
  </rcc>
  <rcc rId="2463" sId="26">
    <nc r="A122" t="inlineStr">
      <is>
        <t xml:space="preserve">Runoff </t>
      </is>
    </nc>
  </rcc>
  <rcc rId="2464" sId="26">
    <nc r="A123" t="inlineStr">
      <is>
        <t>Runoff Poultry</t>
      </is>
    </nc>
  </rcc>
  <rm rId="2465" sheetId="26" source="C122" destination="B122" sourceSheetId="26">
    <rfmt sheetId="26" s="1" sqref="B122" start="0" length="0">
      <dxf>
        <font>
          <sz val="9"/>
          <color auto="1"/>
          <name val="Calibri"/>
          <family val="2"/>
          <scheme val="minor"/>
        </font>
        <numFmt numFmtId="170" formatCode="0.000"/>
        <alignment horizontal="right"/>
      </dxf>
    </rfmt>
  </rm>
  <rm rId="2466" sheetId="26" source="C123" destination="B123" sourceSheetId="26">
    <rfmt sheetId="26" s="1" sqref="B123" start="0" length="0">
      <dxf>
        <font>
          <sz val="9"/>
          <color auto="1"/>
          <name val="Calibri"/>
          <family val="2"/>
          <scheme val="minor"/>
        </font>
        <numFmt numFmtId="170" formatCode="0.000"/>
        <alignment horizontal="right"/>
      </dxf>
    </rfmt>
  </rm>
  <rfmt sheetId="26" sqref="B144" start="0" length="2147483647">
    <dxf>
      <font>
        <b val="0"/>
        <family val="2"/>
      </font>
    </dxf>
  </rfmt>
  <rcc rId="2467" sId="26" odxf="1" dxf="1">
    <nc r="A144" t="inlineStr">
      <is>
        <t xml:space="preserve">     Beef Cattle</t>
      </is>
    </nc>
    <odxf>
      <font>
        <b/>
        <name val="Calibri"/>
        <family val="2"/>
        <scheme val="minor"/>
      </font>
      <numFmt numFmtId="0" formatCode="General"/>
    </odxf>
    <ndxf>
      <font>
        <b val="0"/>
        <name val="Calibri"/>
        <family val="2"/>
        <scheme val="minor"/>
      </font>
      <numFmt numFmtId="30" formatCode="@"/>
    </ndxf>
  </rcc>
  <rcc rId="2468" sId="26" odxf="1" dxf="1">
    <nc r="A145" t="inlineStr">
      <is>
        <t xml:space="preserve">     Beef Cow</t>
      </is>
    </nc>
    <odxf>
      <font>
        <b/>
        <name val="Calibri"/>
        <family val="2"/>
        <scheme val="minor"/>
      </font>
    </odxf>
    <ndxf>
      <font>
        <b val="0"/>
        <name val="Calibri"/>
        <family val="2"/>
        <scheme val="minor"/>
      </font>
    </ndxf>
  </rcc>
  <rcc rId="2469" sId="26" odxf="1" dxf="1">
    <nc r="A146" t="inlineStr">
      <is>
        <t xml:space="preserve">     Milk Cow</t>
      </is>
    </nc>
    <odxf>
      <font>
        <b/>
        <name val="Calibri"/>
        <family val="2"/>
        <scheme val="minor"/>
      </font>
      <numFmt numFmtId="0" formatCode="General"/>
    </odxf>
    <ndxf>
      <font>
        <b val="0"/>
        <name val="Calibri"/>
        <family val="2"/>
        <scheme val="minor"/>
      </font>
      <numFmt numFmtId="30" formatCode="@"/>
    </ndxf>
  </rcc>
  <rcc rId="2470" sId="26" odxf="1" dxf="1">
    <nc r="A147" t="inlineStr">
      <is>
        <t xml:space="preserve">     Horse</t>
      </is>
    </nc>
    <odxf>
      <font>
        <b/>
        <name val="Calibri"/>
        <family val="2"/>
        <scheme val="minor"/>
      </font>
    </odxf>
    <ndxf>
      <font>
        <b val="0"/>
        <name val="Calibri"/>
        <family val="2"/>
        <scheme val="minor"/>
      </font>
    </ndxf>
  </rcc>
  <rcc rId="2471" sId="26" odxf="1" dxf="1">
    <nc r="A148" t="inlineStr">
      <is>
        <t xml:space="preserve">     Sheep</t>
      </is>
    </nc>
    <odxf>
      <font>
        <b/>
        <name val="Calibri"/>
        <family val="2"/>
        <scheme val="minor"/>
      </font>
      <numFmt numFmtId="0" formatCode="General"/>
    </odxf>
    <ndxf>
      <font>
        <b val="0"/>
        <name val="Calibri"/>
        <family val="2"/>
        <scheme val="minor"/>
      </font>
      <numFmt numFmtId="30" formatCode="@"/>
    </ndxf>
  </rcc>
  <rcc rId="2472" sId="26" odxf="1" dxf="1">
    <nc r="A149" t="inlineStr">
      <is>
        <t xml:space="preserve">     Swine</t>
      </is>
    </nc>
    <odxf>
      <font>
        <b/>
        <name val="Calibri"/>
        <family val="2"/>
        <scheme val="minor"/>
      </font>
      <numFmt numFmtId="0" formatCode="General"/>
    </odxf>
    <ndxf>
      <font>
        <b val="0"/>
        <name val="Calibri"/>
        <family val="2"/>
        <scheme val="minor"/>
      </font>
      <numFmt numFmtId="30" formatCode="@"/>
    </ndxf>
  </rcc>
  <rcc rId="2473" sId="26" odxf="1" dxf="1">
    <nc r="A150" t="inlineStr">
      <is>
        <t xml:space="preserve">     Goat</t>
      </is>
    </nc>
    <odxf>
      <font>
        <b/>
        <name val="Calibri"/>
        <family val="2"/>
        <scheme val="minor"/>
      </font>
      <numFmt numFmtId="0" formatCode="General"/>
    </odxf>
    <ndxf>
      <font>
        <b val="0"/>
        <name val="Calibri"/>
        <family val="2"/>
        <scheme val="minor"/>
      </font>
      <numFmt numFmtId="30" formatCode="@"/>
    </ndxf>
  </rcc>
  <rcc rId="2474" sId="26" odxf="1" dxf="1">
    <nc r="A151" t="inlineStr">
      <is>
        <t xml:space="preserve">     Mink</t>
      </is>
    </nc>
    <odxf>
      <font>
        <b/>
        <name val="Calibri"/>
        <family val="2"/>
        <scheme val="minor"/>
      </font>
      <numFmt numFmtId="0" formatCode="General"/>
    </odxf>
    <ndxf>
      <font>
        <b val="0"/>
        <name val="Calibri"/>
        <family val="2"/>
        <scheme val="minor"/>
      </font>
      <numFmt numFmtId="30" formatCode="@"/>
    </ndxf>
  </rcc>
  <rcc rId="2475" sId="26" odxf="1" dxf="1">
    <nc r="A152" t="inlineStr">
      <is>
        <t xml:space="preserve">     Poultry</t>
      </is>
    </nc>
    <odxf>
      <font>
        <b/>
        <name val="Calibri"/>
        <family val="2"/>
        <scheme val="minor"/>
      </font>
      <numFmt numFmtId="0" formatCode="General"/>
    </odxf>
    <ndxf>
      <font>
        <b val="0"/>
        <name val="Calibri"/>
        <family val="2"/>
        <scheme val="minor"/>
      </font>
      <numFmt numFmtId="30" formatCode="@"/>
    </ndxf>
  </rcc>
  <rfmt sheetId="26" sqref="B145" start="0" length="0">
    <dxf>
      <font>
        <b val="0"/>
        <name val="Calibri"/>
        <family val="2"/>
        <scheme val="minor"/>
      </font>
    </dxf>
  </rfmt>
  <rfmt sheetId="26" sqref="B146" start="0" length="0">
    <dxf>
      <font>
        <b val="0"/>
        <name val="Calibri"/>
        <family val="2"/>
        <scheme val="minor"/>
      </font>
    </dxf>
  </rfmt>
  <rfmt sheetId="26" sqref="B147" start="0" length="0">
    <dxf>
      <font>
        <b val="0"/>
        <name val="Calibri"/>
        <family val="2"/>
        <scheme val="minor"/>
      </font>
    </dxf>
  </rfmt>
  <rfmt sheetId="26" sqref="B148" start="0" length="0">
    <dxf>
      <font>
        <b val="0"/>
        <name val="Calibri"/>
        <family val="2"/>
        <scheme val="minor"/>
      </font>
    </dxf>
  </rfmt>
  <rfmt sheetId="26" sqref="B149" start="0" length="0">
    <dxf>
      <font>
        <b val="0"/>
        <name val="Calibri"/>
        <family val="2"/>
        <scheme val="minor"/>
      </font>
    </dxf>
  </rfmt>
  <rfmt sheetId="26" sqref="B150" start="0" length="0">
    <dxf>
      <font>
        <b val="0"/>
        <name val="Calibri"/>
        <family val="2"/>
        <scheme val="minor"/>
      </font>
    </dxf>
  </rfmt>
  <rfmt sheetId="26" sqref="B151" start="0" length="0">
    <dxf>
      <font>
        <b val="0"/>
        <name val="Calibri"/>
        <family val="2"/>
        <scheme val="minor"/>
      </font>
    </dxf>
  </rfmt>
  <rfmt sheetId="26" sqref="B152" start="0" length="0">
    <dxf>
      <font>
        <b val="0"/>
        <name val="Calibri"/>
        <family val="2"/>
        <scheme val="minor"/>
      </font>
    </dxf>
  </rfmt>
  <rcc rId="2476" sId="26" odxf="1" dxf="1">
    <nc r="C144"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77" sId="26" odxf="1" dxf="1">
    <nc r="C145"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78" sId="26" odxf="1" dxf="1">
    <nc r="C146"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79" sId="26" odxf="1" dxf="1">
    <nc r="C147"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80" sId="26" odxf="1" dxf="1">
    <nc r="C148"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81" sId="26" odxf="1" dxf="1">
    <nc r="C149"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82" sId="26" odxf="1" dxf="1">
    <nc r="C150"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83" sId="26" odxf="1" dxf="1">
    <nc r="C151"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484" sId="26" odxf="1" dxf="1">
    <nc r="C152"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1" sqref="B153" start="0" length="0">
    <dxf/>
  </rfmt>
  <rcc rId="2485" sId="26" odxf="1" s="1" dxf="1">
    <nc r="B154">
      <f>B153/1000</f>
    </nc>
    <odxf>
      <font>
        <b/>
        <i val="0"/>
        <strike val="0"/>
        <condense val="0"/>
        <extend val="0"/>
        <outline val="0"/>
        <shadow val="0"/>
        <u val="none"/>
        <vertAlign val="baseline"/>
        <sz val="9"/>
        <color auto="1"/>
        <name val="Calibri"/>
        <family val="2"/>
        <scheme val="minor"/>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rcc>
  <rfmt sheetId="26" sqref="B154">
    <dxf>
      <numFmt numFmtId="165" formatCode="#,##0.0"/>
    </dxf>
  </rfmt>
  <rfmt sheetId="26" sqref="C153" start="0" length="0">
    <dxf>
      <font>
        <color theme="3" tint="0.39997558519241921"/>
        <name val="Calibri"/>
        <family val="2"/>
        <scheme val="minor"/>
      </font>
    </dxf>
  </rfmt>
  <rcc rId="2486" sId="26" odxf="1" dxf="1">
    <nc r="C154" t="inlineStr">
      <is>
        <r>
          <t>MgN</t>
        </r>
        <r>
          <rPr>
            <b/>
            <vertAlign val="subscript"/>
            <sz val="9"/>
            <rFont val="Calibri"/>
            <family val="2"/>
          </rPr>
          <t>2</t>
        </r>
        <r>
          <rPr>
            <b/>
            <sz val="9"/>
            <rFont val="Calibri"/>
            <family val="2"/>
          </rPr>
          <t>O</t>
        </r>
      </is>
    </nc>
    <odxf>
      <font>
        <color theme="3" tint="0.39997558519241921"/>
        <name val="Calibri"/>
        <family val="2"/>
        <scheme val="minor"/>
      </font>
    </odxf>
    <ndxf>
      <font>
        <color theme="3" tint="0.39997558519241921"/>
        <name val="Calibri"/>
        <family val="2"/>
        <scheme val="minor"/>
      </font>
    </ndxf>
  </rcc>
  <rcc rId="2487" sId="26" odxf="1" dxf="1">
    <nc r="C153" t="inlineStr">
      <is>
        <r>
          <t>kgN</t>
        </r>
        <r>
          <rPr>
            <vertAlign val="subscript"/>
            <sz val="9"/>
            <rFont val="Calibri"/>
            <family val="2"/>
          </rPr>
          <t>2</t>
        </r>
        <r>
          <rPr>
            <sz val="9"/>
            <rFont val="Calibri"/>
            <family val="2"/>
          </rPr>
          <t>O</t>
        </r>
      </is>
    </nc>
    <ndxf>
      <font>
        <b val="0"/>
        <name val="Calibri"/>
        <family val="2"/>
        <scheme val="minor"/>
      </font>
    </ndxf>
  </rcc>
  <rcc rId="2488" sId="26" odxf="1" dxf="1">
    <nc r="A153" t="inlineStr">
      <is>
        <t>2. aggregate manure management emissions</t>
      </is>
    </nc>
    <odxf>
      <font>
        <b/>
        <name val="Calibri"/>
        <family val="2"/>
        <scheme val="minor"/>
      </font>
      <numFmt numFmtId="0" formatCode="General"/>
    </odxf>
    <ndxf>
      <font>
        <b val="0"/>
        <name val="Calibri"/>
        <family val="2"/>
        <scheme val="minor"/>
      </font>
      <numFmt numFmtId="30" formatCode="@"/>
    </ndxf>
  </rcc>
  <rcc rId="2489" sId="26" odxf="1" dxf="1">
    <nc r="A154" t="inlineStr">
      <is>
        <t>3. convert to MgN2O</t>
      </is>
    </nc>
    <odxf>
      <font>
        <b/>
        <name val="Calibri"/>
        <family val="2"/>
        <scheme val="minor"/>
      </font>
      <numFmt numFmtId="0" formatCode="General"/>
    </odxf>
    <ndxf>
      <font>
        <b val="0"/>
        <name val="Calibri"/>
        <family val="2"/>
        <scheme val="minor"/>
      </font>
      <numFmt numFmtId="30" formatCode="@"/>
    </ndxf>
  </rcc>
  <rcc rId="2490" sId="26" odxf="1" dxf="1">
    <nc r="B156">
      <f>B127*GWPCH4+B154*GWPN2O</f>
    </nc>
    <odxf>
      <fill>
        <patternFill patternType="none">
          <bgColor indexed="65"/>
        </patternFill>
      </fill>
    </odxf>
    <ndxf>
      <fill>
        <patternFill patternType="solid">
          <bgColor rgb="FFFDC703"/>
        </patternFill>
      </fill>
    </ndxf>
  </rcc>
  <rcc rId="2491" sId="26" odxf="1">
    <nc r="C156" t="inlineStr">
      <is>
        <r>
          <t>MgCO</t>
        </r>
        <r>
          <rPr>
            <b/>
            <vertAlign val="subscript"/>
            <sz val="9"/>
            <color theme="3" tint="0.39997558519241921"/>
            <rFont val="Calibri"/>
            <family val="2"/>
          </rPr>
          <t>2</t>
        </r>
        <r>
          <rPr>
            <b/>
            <sz val="9"/>
            <color theme="3" tint="0.39997558519241921"/>
            <rFont val="Calibri"/>
            <family val="2"/>
          </rPr>
          <t>e</t>
        </r>
      </is>
    </nc>
    <odxf/>
  </rcc>
  <rfmt sheetId="26" sqref="A143" start="0" length="0">
    <dxf>
      <numFmt numFmtId="30" formatCode="@"/>
      <fill>
        <patternFill patternType="solid">
          <bgColor rgb="FF92D050"/>
        </patternFill>
      </fill>
    </dxf>
  </rfmt>
  <rfmt sheetId="26" sqref="B143" start="0" length="0">
    <dxf>
      <font>
        <b val="0"/>
        <name val="Calibri"/>
        <family val="2"/>
        <scheme val="minor"/>
      </font>
      <numFmt numFmtId="0" formatCode="General"/>
      <fill>
        <patternFill patternType="solid">
          <bgColor rgb="FF92D050"/>
        </patternFill>
      </fill>
    </dxf>
  </rfmt>
  <rfmt sheetId="26" sqref="C143" start="0" length="0">
    <dxf>
      <font>
        <b val="0"/>
        <color theme="3" tint="0.39997558519241921"/>
        <name val="Calibri"/>
        <family val="2"/>
        <scheme val="minor"/>
      </font>
      <fill>
        <patternFill patternType="solid">
          <bgColor rgb="FF92D050"/>
        </patternFill>
      </fill>
    </dxf>
  </rfmt>
  <rfmt sheetId="26" sqref="D143" start="0" length="0">
    <dxf>
      <fill>
        <patternFill patternType="solid">
          <bgColor rgb="FF92D050"/>
        </patternFill>
      </fill>
    </dxf>
  </rfmt>
  <rfmt sheetId="26" sqref="E143" start="0" length="0">
    <dxf>
      <fill>
        <patternFill patternType="solid">
          <bgColor rgb="FF92D050"/>
        </patternFill>
      </fill>
    </dxf>
  </rfmt>
  <rfmt sheetId="26" sqref="F143" start="0" length="0">
    <dxf>
      <font>
        <b val="0"/>
        <name val="Calibri"/>
        <family val="2"/>
        <scheme val="minor"/>
      </font>
      <numFmt numFmtId="0" formatCode="General"/>
      <fill>
        <patternFill patternType="solid">
          <bgColor rgb="FF92D050"/>
        </patternFill>
      </fill>
    </dxf>
  </rfmt>
  <rfmt sheetId="26" sqref="G143" start="0" length="0">
    <dxf>
      <font>
        <b val="0"/>
        <color theme="3" tint="0.39997558519241921"/>
        <name val="Calibri"/>
        <family val="2"/>
        <scheme val="minor"/>
      </font>
      <fill>
        <patternFill patternType="solid">
          <bgColor rgb="FF92D050"/>
        </patternFill>
      </fill>
    </dxf>
  </rfmt>
  <rfmt sheetId="26" sqref="H143" start="0" length="0">
    <dxf>
      <fill>
        <patternFill patternType="solid">
          <bgColor rgb="FF92D050"/>
        </patternFill>
      </fill>
    </dxf>
  </rfmt>
  <rfmt sheetId="26" sqref="I143" start="0" length="0">
    <dxf>
      <fill>
        <patternFill patternType="solid">
          <bgColor rgb="FF92D050"/>
        </patternFill>
      </fill>
    </dxf>
  </rfmt>
  <rfmt sheetId="26" sqref="J143" start="0" length="0">
    <dxf>
      <fill>
        <patternFill patternType="solid">
          <bgColor rgb="FF92D050"/>
        </patternFill>
      </fill>
    </dxf>
  </rfmt>
  <rfmt sheetId="26" sqref="K143" start="0" length="0">
    <dxf>
      <font>
        <b val="0"/>
        <name val="Calibri"/>
        <family val="2"/>
        <scheme val="minor"/>
      </font>
      <numFmt numFmtId="0" formatCode="General"/>
      <fill>
        <patternFill>
          <bgColor rgb="FF92D050"/>
        </patternFill>
      </fill>
    </dxf>
  </rfmt>
  <rfmt sheetId="26" sqref="L143" start="0" length="0">
    <dxf>
      <font>
        <b val="0"/>
        <color theme="3" tint="0.39997558519241921"/>
        <name val="Calibri"/>
        <family val="2"/>
        <scheme val="minor"/>
      </font>
      <fill>
        <patternFill patternType="solid">
          <bgColor rgb="FF92D050"/>
        </patternFill>
      </fill>
    </dxf>
  </rfmt>
  <rfmt sheetId="26" sqref="M143" start="0" length="0">
    <dxf>
      <fill>
        <patternFill patternType="solid">
          <bgColor rgb="FF92D050"/>
        </patternFill>
      </fill>
    </dxf>
  </rfmt>
  <rfmt sheetId="26" sqref="N143" start="0" length="0">
    <dxf>
      <fill>
        <patternFill patternType="solid">
          <bgColor rgb="FF92D050"/>
        </patternFill>
      </fill>
    </dxf>
  </rfmt>
  <rfmt sheetId="26" sqref="O143" start="0" length="0">
    <dxf>
      <fill>
        <patternFill patternType="solid">
          <bgColor rgb="FF92D050"/>
        </patternFill>
      </fill>
    </dxf>
  </rfmt>
  <rfmt sheetId="26" sqref="P143" start="0" length="0">
    <dxf>
      <fill>
        <patternFill patternType="solid">
          <bgColor rgb="FF92D050"/>
        </patternFill>
      </fill>
    </dxf>
  </rfmt>
  <rfmt sheetId="26" sqref="Q143" start="0" length="0">
    <dxf>
      <fill>
        <patternFill patternType="solid">
          <bgColor rgb="FF92D050"/>
        </patternFill>
      </fill>
    </dxf>
  </rfmt>
  <rfmt sheetId="26" sqref="R143" start="0" length="0">
    <dxf>
      <fill>
        <patternFill patternType="solid">
          <bgColor rgb="FF92D050"/>
        </patternFill>
      </fill>
    </dxf>
  </rfmt>
  <rfmt sheetId="26" sqref="A143:XFD143" start="0" length="0">
    <dxf>
      <fill>
        <patternFill patternType="solid">
          <bgColor rgb="FF92D050"/>
        </patternFill>
      </fill>
    </dxf>
  </rfmt>
  <rcc rId="2492" sId="26">
    <nc r="A143" t="inlineStr">
      <is>
        <t>Indirect N20 Emissions</t>
      </is>
    </nc>
  </rcc>
  <rrc rId="2493" sId="26" ref="A157:XFD157" action="deleteRow">
    <rfmt sheetId="26" xfDxf="1" sqref="A157:XFD157" start="0" length="0">
      <dxf>
        <font>
          <name val="Calibri"/>
          <family val="2"/>
          <scheme val="minor"/>
        </font>
      </dxf>
    </rfmt>
    <rfmt sheetId="26" sqref="A157" start="0" length="0">
      <dxf>
        <font>
          <b/>
          <name val="Calibri"/>
          <family val="2"/>
          <scheme val="minor"/>
        </font>
        <alignment horizontal="left"/>
        <border outline="0">
          <right style="thin">
            <color indexed="64"/>
          </right>
        </border>
      </dxf>
    </rfmt>
    <rfmt sheetId="26" sqref="B157" start="0" length="0">
      <dxf>
        <font>
          <b/>
          <name val="Calibri"/>
          <family val="2"/>
          <scheme val="minor"/>
        </font>
        <numFmt numFmtId="3" formatCode="#,##0"/>
        <alignment horizontal="right"/>
      </dxf>
    </rfmt>
    <rfmt sheetId="26" sqref="C157" start="0" length="0">
      <dxf>
        <font>
          <b/>
          <color theme="3" tint="0.39997558519241921"/>
          <name val="Calibri"/>
          <family val="2"/>
          <scheme val="minor"/>
        </font>
        <alignment horizontal="left"/>
      </dxf>
    </rfmt>
    <rfmt sheetId="26" sqref="D157" start="0" length="0">
      <dxf>
        <alignment horizontal="left"/>
      </dxf>
    </rfmt>
    <rfmt sheetId="26" sqref="E157" start="0" length="0">
      <dxf>
        <alignment horizontal="left"/>
        <border outline="0">
          <right style="thin">
            <color indexed="64"/>
          </right>
        </border>
      </dxf>
    </rfmt>
    <rfmt sheetId="26" sqref="F157" start="0" length="0">
      <dxf>
        <font>
          <b/>
          <name val="Calibri"/>
          <family val="2"/>
          <scheme val="minor"/>
        </font>
        <numFmt numFmtId="3" formatCode="#,##0"/>
        <alignment horizontal="right"/>
      </dxf>
    </rfmt>
    <rfmt sheetId="26" sqref="G157" start="0" length="0">
      <dxf>
        <font>
          <b/>
          <color theme="3" tint="0.39997558519241921"/>
          <name val="Calibri"/>
          <family val="2"/>
          <scheme val="minor"/>
        </font>
        <alignment horizontal="left"/>
      </dxf>
    </rfmt>
    <rfmt sheetId="26" sqref="H157" start="0" length="0">
      <dxf>
        <alignment horizontal="left"/>
      </dxf>
    </rfmt>
    <rfmt sheetId="26" sqref="I157" start="0" length="0">
      <dxf>
        <alignment horizontal="left"/>
        <border outline="0">
          <right style="thin">
            <color indexed="64"/>
          </right>
        </border>
      </dxf>
    </rfmt>
    <rfmt sheetId="26" sqref="J157" start="0" length="0">
      <dxf>
        <alignment horizontal="left"/>
        <border outline="0">
          <left style="thin">
            <color indexed="64"/>
          </left>
        </border>
      </dxf>
    </rfmt>
    <rfmt sheetId="26" sqref="K157" start="0" length="0">
      <dxf>
        <font>
          <b/>
          <name val="Calibri"/>
          <family val="2"/>
          <scheme val="minor"/>
        </font>
        <numFmt numFmtId="3" formatCode="#,##0"/>
        <fill>
          <patternFill patternType="solid">
            <bgColor rgb="FFFDC703"/>
          </patternFill>
        </fill>
        <alignment horizontal="right"/>
      </dxf>
    </rfmt>
    <rfmt sheetId="26" sqref="L157" start="0" length="0">
      <dxf>
        <font>
          <b/>
          <color theme="3" tint="0.39997558519241921"/>
          <name val="Calibri"/>
          <family val="2"/>
          <scheme val="minor"/>
        </font>
        <alignment horizontal="left"/>
      </dxf>
    </rfmt>
    <rfmt sheetId="26" sqref="M157" start="0" length="0">
      <dxf>
        <alignment horizontal="left"/>
      </dxf>
    </rfmt>
    <rfmt sheetId="26" sqref="N157" start="0" length="0">
      <dxf>
        <alignment horizontal="left"/>
        <border outline="0">
          <right style="thin">
            <color indexed="64"/>
          </right>
        </border>
      </dxf>
    </rfmt>
  </rrc>
  <rrc rId="2494" sId="26" ref="A157:XFD157" action="deleteRow">
    <rfmt sheetId="26" xfDxf="1" sqref="A157:XFD157" start="0" length="0">
      <dxf>
        <font>
          <name val="Calibri"/>
          <family val="2"/>
          <scheme val="minor"/>
        </font>
      </dxf>
    </rfmt>
    <rfmt sheetId="26" sqref="A157" start="0" length="0">
      <dxf>
        <font>
          <b/>
          <name val="Calibri"/>
          <family val="2"/>
          <scheme val="minor"/>
        </font>
        <alignment horizontal="left"/>
        <border outline="0">
          <right style="thin">
            <color indexed="64"/>
          </right>
        </border>
      </dxf>
    </rfmt>
    <rfmt sheetId="26" sqref="B157" start="0" length="0">
      <dxf>
        <alignment horizontal="right"/>
      </dxf>
    </rfmt>
    <rfmt sheetId="26" sqref="C157" start="0" length="0">
      <dxf>
        <alignment horizontal="left"/>
      </dxf>
    </rfmt>
    <rfmt sheetId="26" sqref="D157" start="0" length="0">
      <dxf>
        <alignment horizontal="left"/>
      </dxf>
    </rfmt>
    <rfmt sheetId="26" sqref="E157" start="0" length="0">
      <dxf>
        <alignment horizontal="left"/>
        <border outline="0">
          <right style="thin">
            <color indexed="64"/>
          </right>
        </border>
      </dxf>
    </rfmt>
    <rfmt sheetId="26" sqref="F157" start="0" length="0">
      <dxf>
        <alignment horizontal="right"/>
      </dxf>
    </rfmt>
    <rfmt sheetId="26" sqref="G157" start="0" length="0">
      <dxf>
        <alignment horizontal="left"/>
      </dxf>
    </rfmt>
    <rfmt sheetId="26" sqref="H157" start="0" length="0">
      <dxf>
        <alignment horizontal="left"/>
      </dxf>
    </rfmt>
    <rfmt sheetId="26" sqref="I157" start="0" length="0">
      <dxf>
        <alignment horizontal="left"/>
        <border outline="0">
          <right style="thin">
            <color indexed="64"/>
          </right>
        </border>
      </dxf>
    </rfmt>
    <rfmt sheetId="26" sqref="J157" start="0" length="0">
      <dxf>
        <alignment horizontal="left"/>
        <border outline="0">
          <left style="thin">
            <color indexed="64"/>
          </left>
        </border>
      </dxf>
    </rfmt>
    <rfmt sheetId="26" sqref="K157" start="0" length="0">
      <dxf>
        <alignment horizontal="right"/>
      </dxf>
    </rfmt>
    <rfmt sheetId="26" sqref="L157" start="0" length="0">
      <dxf>
        <alignment horizontal="left"/>
      </dxf>
    </rfmt>
    <rfmt sheetId="26" sqref="M157" start="0" length="0">
      <dxf>
        <alignment horizontal="left"/>
      </dxf>
    </rfmt>
    <rfmt sheetId="26" sqref="N157" start="0" length="0">
      <dxf>
        <alignment horizontal="left"/>
        <border outline="0">
          <right style="thin">
            <color indexed="64"/>
          </right>
        </border>
      </dxf>
    </rfmt>
  </rrc>
  <rfmt sheetId="26" sqref="F144" start="0" length="0">
    <dxf>
      <font>
        <b val="0"/>
        <name val="Calibri"/>
        <family val="2"/>
        <scheme val="minor"/>
      </font>
    </dxf>
  </rfmt>
  <rcc rId="2495" sId="26" odxf="1" dxf="1">
    <nc r="G144"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45" start="0" length="0">
    <dxf>
      <font>
        <b val="0"/>
        <name val="Calibri"/>
        <family val="2"/>
        <scheme val="minor"/>
      </font>
    </dxf>
  </rfmt>
  <rcc rId="2496" sId="26" odxf="1" dxf="1">
    <nc r="G145"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46" start="0" length="0">
    <dxf>
      <font>
        <b val="0"/>
        <name val="Calibri"/>
        <family val="2"/>
        <scheme val="minor"/>
      </font>
    </dxf>
  </rfmt>
  <rcc rId="2497" sId="26" odxf="1" dxf="1">
    <nc r="G146"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47" start="0" length="0">
    <dxf>
      <font>
        <b val="0"/>
        <name val="Calibri"/>
        <family val="2"/>
        <scheme val="minor"/>
      </font>
    </dxf>
  </rfmt>
  <rcc rId="2498" sId="26" odxf="1" dxf="1">
    <nc r="G147"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48" start="0" length="0">
    <dxf>
      <font>
        <b val="0"/>
        <name val="Calibri"/>
        <family val="2"/>
        <scheme val="minor"/>
      </font>
    </dxf>
  </rfmt>
  <rcc rId="2499" sId="26" odxf="1" dxf="1">
    <nc r="G148"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49" start="0" length="0">
    <dxf>
      <font>
        <b val="0"/>
        <name val="Calibri"/>
        <family val="2"/>
        <scheme val="minor"/>
      </font>
    </dxf>
  </rfmt>
  <rcc rId="2500" sId="26" odxf="1" dxf="1">
    <nc r="G149"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50" start="0" length="0">
    <dxf>
      <font>
        <b val="0"/>
        <name val="Calibri"/>
        <family val="2"/>
        <scheme val="minor"/>
      </font>
    </dxf>
  </rfmt>
  <rcc rId="2501" sId="26" odxf="1" dxf="1">
    <nc r="G150"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51" start="0" length="0">
    <dxf>
      <font>
        <b val="0"/>
        <name val="Calibri"/>
        <family val="2"/>
        <scheme val="minor"/>
      </font>
    </dxf>
  </rfmt>
  <rcc rId="2502" sId="26" odxf="1" dxf="1">
    <nc r="G151"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fmt sheetId="26" sqref="F152" start="0" length="0">
    <dxf>
      <font>
        <b val="0"/>
        <name val="Calibri"/>
        <family val="2"/>
        <scheme val="minor"/>
      </font>
    </dxf>
  </rfmt>
  <rcc rId="2503" sId="26" odxf="1" dxf="1">
    <nc r="G152"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504" sId="26" odxf="1" s="1" dxf="1">
    <nc r="F153">
      <f>SUM(F144:F152)</f>
    </nc>
    <odxf>
      <font>
        <b/>
        <i val="0"/>
        <strike val="0"/>
        <condense val="0"/>
        <extend val="0"/>
        <outline val="0"/>
        <shadow val="0"/>
        <u val="none"/>
        <vertAlign val="baseline"/>
        <sz val="9"/>
        <color auto="1"/>
        <name val="Calibri"/>
        <family val="2"/>
        <scheme val="minor"/>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rcc>
  <rcc rId="2505" sId="26" odxf="1" dxf="1">
    <nc r="G153" t="inlineStr">
      <is>
        <r>
          <t>kgN</t>
        </r>
        <r>
          <rPr>
            <vertAlign val="subscript"/>
            <sz val="9"/>
            <rFont val="Calibri"/>
            <family val="2"/>
          </rPr>
          <t>2</t>
        </r>
        <r>
          <rPr>
            <sz val="9"/>
            <rFont val="Calibri"/>
            <family val="2"/>
          </rPr>
          <t>O</t>
        </r>
      </is>
    </nc>
    <odxf>
      <font>
        <b/>
        <color theme="3" tint="0.39997558519241921"/>
        <name val="Calibri"/>
        <family val="2"/>
        <scheme val="minor"/>
      </font>
    </odxf>
    <ndxf>
      <font>
        <b val="0"/>
        <color theme="3" tint="0.39997558519241921"/>
        <name val="Calibri"/>
        <family val="2"/>
        <scheme val="minor"/>
      </font>
    </ndxf>
  </rcc>
  <rcc rId="2506" sId="26" odxf="1" s="1" dxf="1">
    <nc r="F154">
      <f>F153/1000</f>
    </nc>
    <odxf>
      <font>
        <b/>
        <i val="0"/>
        <strike val="0"/>
        <condense val="0"/>
        <extend val="0"/>
        <outline val="0"/>
        <shadow val="0"/>
        <u val="none"/>
        <vertAlign val="baseline"/>
        <sz val="9"/>
        <color auto="1"/>
        <name val="Calibri"/>
        <family val="2"/>
        <scheme val="minor"/>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numFmt numFmtId="165" formatCode="#,##0.0"/>
    </ndxf>
  </rcc>
  <rcc rId="2507" sId="26" odxf="1" dxf="1">
    <nc r="G154" t="inlineStr">
      <is>
        <r>
          <t>MgN</t>
        </r>
        <r>
          <rPr>
            <b/>
            <vertAlign val="subscript"/>
            <sz val="9"/>
            <rFont val="Calibri"/>
            <family val="2"/>
          </rPr>
          <t>2</t>
        </r>
        <r>
          <rPr>
            <b/>
            <sz val="9"/>
            <rFont val="Calibri"/>
            <family val="2"/>
          </rPr>
          <t>O</t>
        </r>
      </is>
    </nc>
    <odxf>
      <font>
        <color theme="3" tint="0.39997558519241921"/>
        <name val="Calibri"/>
        <family val="2"/>
        <scheme val="minor"/>
      </font>
    </odxf>
    <ndxf>
      <font>
        <color theme="3" tint="0.39997558519241921"/>
        <name val="Calibri"/>
        <family val="2"/>
        <scheme val="minor"/>
      </font>
    </ndxf>
  </rcc>
  <rcc rId="2508" sId="26" odxf="1" dxf="1">
    <nc r="F156">
      <f>F127*GWPCH4+F154*GWPN2O</f>
    </nc>
    <odxf>
      <fill>
        <patternFill patternType="none">
          <bgColor indexed="65"/>
        </patternFill>
      </fill>
    </odxf>
    <ndxf>
      <fill>
        <patternFill patternType="solid">
          <bgColor rgb="FFFDC703"/>
        </patternFill>
      </fill>
    </ndxf>
  </rcc>
  <rcc rId="2509" sId="26">
    <nc r="G156" t="inlineStr">
      <is>
        <r>
          <t>MgCO</t>
        </r>
        <r>
          <rPr>
            <b/>
            <vertAlign val="subscript"/>
            <sz val="9"/>
            <color theme="3" tint="0.39997558519241921"/>
            <rFont val="Calibri"/>
            <family val="2"/>
          </rPr>
          <t>2</t>
        </r>
        <r>
          <rPr>
            <b/>
            <sz val="9"/>
            <color theme="3" tint="0.39997558519241921"/>
            <rFont val="Calibri"/>
            <family val="2"/>
          </rPr>
          <t>e</t>
        </r>
      </is>
    </nc>
  </rcc>
  <rfmt sheetId="26" sqref="J144" start="0" length="0">
    <dxf>
      <numFmt numFmtId="3" formatCode="#,##0"/>
      <alignment horizontal="right"/>
      <border outline="0">
        <left/>
      </border>
    </dxf>
  </rfmt>
  <rcc rId="2510" sId="26" odxf="1" dxf="1">
    <nc r="K144"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45" start="0" length="0">
    <dxf>
      <numFmt numFmtId="3" formatCode="#,##0"/>
      <alignment horizontal="right"/>
      <border outline="0">
        <left/>
      </border>
    </dxf>
  </rfmt>
  <rcc rId="2511" sId="26" odxf="1" dxf="1">
    <nc r="K145"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46" start="0" length="0">
    <dxf>
      <numFmt numFmtId="3" formatCode="#,##0"/>
      <alignment horizontal="right"/>
      <border outline="0">
        <left/>
      </border>
    </dxf>
  </rfmt>
  <rcc rId="2512" sId="26" odxf="1" dxf="1">
    <nc r="K146"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47" start="0" length="0">
    <dxf>
      <numFmt numFmtId="3" formatCode="#,##0"/>
      <alignment horizontal="right"/>
      <border outline="0">
        <left/>
      </border>
    </dxf>
  </rfmt>
  <rcc rId="2513" sId="26" odxf="1" dxf="1">
    <nc r="K147"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48" start="0" length="0">
    <dxf>
      <numFmt numFmtId="3" formatCode="#,##0"/>
      <alignment horizontal="right"/>
      <border outline="0">
        <left/>
      </border>
    </dxf>
  </rfmt>
  <rcc rId="2514" sId="26" odxf="1" dxf="1">
    <nc r="K148"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49" start="0" length="0">
    <dxf>
      <numFmt numFmtId="3" formatCode="#,##0"/>
      <alignment horizontal="right"/>
      <border outline="0">
        <left/>
      </border>
    </dxf>
  </rfmt>
  <rcc rId="2515" sId="26" odxf="1" dxf="1">
    <nc r="K149"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50" start="0" length="0">
    <dxf>
      <numFmt numFmtId="3" formatCode="#,##0"/>
      <alignment horizontal="right"/>
      <border outline="0">
        <left/>
      </border>
    </dxf>
  </rfmt>
  <rcc rId="2516" sId="26" odxf="1" dxf="1">
    <nc r="K150"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51" start="0" length="0">
    <dxf>
      <numFmt numFmtId="3" formatCode="#,##0"/>
      <alignment horizontal="right"/>
      <border outline="0">
        <left/>
      </border>
    </dxf>
  </rfmt>
  <rcc rId="2517" sId="26" odxf="1" dxf="1">
    <nc r="K151"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fmt sheetId="26" sqref="J152" start="0" length="0">
    <dxf>
      <numFmt numFmtId="3" formatCode="#,##0"/>
      <alignment horizontal="right"/>
      <border outline="0">
        <left/>
      </border>
    </dxf>
  </rfmt>
  <rcc rId="2518" sId="26" odxf="1" dxf="1">
    <nc r="K152"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cc rId="2519" sId="26" odxf="1" s="1" dxf="1">
    <nc r="J153">
      <f>SUM(J144:J152)</f>
    </nc>
    <odxf>
      <font>
        <b val="0"/>
        <i val="0"/>
        <strike val="0"/>
        <condense val="0"/>
        <extend val="0"/>
        <outline val="0"/>
        <shadow val="0"/>
        <u val="none"/>
        <vertAlign val="baseline"/>
        <sz val="9"/>
        <color auto="1"/>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top/>
        <bottom/>
      </border>
    </odxf>
    <ndxf>
      <font>
        <b/>
        <sz val="9"/>
        <color auto="1"/>
        <name val="Calibri"/>
        <family val="2"/>
        <scheme val="minor"/>
      </font>
      <numFmt numFmtId="3" formatCode="#,##0"/>
      <alignment horizontal="right"/>
      <border outline="0">
        <left/>
      </border>
    </ndxf>
  </rcc>
  <rcc rId="2520" sId="26" odxf="1" dxf="1">
    <nc r="K153" t="inlineStr">
      <is>
        <r>
          <t>kgN</t>
        </r>
        <r>
          <rPr>
            <vertAlign val="subscript"/>
            <sz val="9"/>
            <rFont val="Calibri"/>
            <family val="2"/>
          </rPr>
          <t>2</t>
        </r>
        <r>
          <rPr>
            <sz val="9"/>
            <rFont val="Calibri"/>
            <family val="2"/>
          </rPr>
          <t>O</t>
        </r>
      </is>
    </nc>
    <odxf>
      <font>
        <b/>
        <name val="Calibri"/>
        <family val="2"/>
        <scheme val="minor"/>
      </font>
      <numFmt numFmtId="3" formatCode="#,##0"/>
      <fill>
        <patternFill patternType="solid">
          <bgColor rgb="FFFDC703"/>
        </patternFill>
      </fill>
      <alignment horizontal="right"/>
    </odxf>
    <ndxf>
      <font>
        <b val="0"/>
        <name val="Calibri"/>
        <family val="2"/>
        <scheme val="minor"/>
      </font>
      <numFmt numFmtId="0" formatCode="General"/>
      <fill>
        <patternFill patternType="none">
          <bgColor indexed="65"/>
        </patternFill>
      </fill>
      <alignment horizontal="left"/>
    </ndxf>
  </rcc>
  <rcc rId="2521" sId="26" odxf="1" s="1" dxf="1">
    <nc r="J154">
      <f>J153/1000</f>
    </nc>
    <odxf>
      <font>
        <b val="0"/>
        <i val="0"/>
        <strike val="0"/>
        <condense val="0"/>
        <extend val="0"/>
        <outline val="0"/>
        <shadow val="0"/>
        <u val="none"/>
        <vertAlign val="baseline"/>
        <sz val="9"/>
        <color auto="1"/>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top/>
        <bottom/>
      </border>
    </odxf>
    <ndxf>
      <font>
        <b/>
        <sz val="9"/>
        <color auto="1"/>
        <name val="Calibri"/>
        <family val="2"/>
        <scheme val="minor"/>
      </font>
      <numFmt numFmtId="165" formatCode="#,##0.0"/>
      <alignment horizontal="right"/>
      <border outline="0">
        <left/>
      </border>
    </ndxf>
  </rcc>
  <rcc rId="2522" sId="26" odxf="1" dxf="1">
    <nc r="K154" t="inlineStr">
      <is>
        <r>
          <t>MgN</t>
        </r>
        <r>
          <rPr>
            <b/>
            <vertAlign val="subscript"/>
            <sz val="9"/>
            <rFont val="Calibri"/>
            <family val="2"/>
          </rPr>
          <t>2</t>
        </r>
        <r>
          <rPr>
            <b/>
            <sz val="9"/>
            <rFont val="Calibri"/>
            <family val="2"/>
          </rPr>
          <t>O</t>
        </r>
      </is>
    </nc>
    <odxf>
      <numFmt numFmtId="3" formatCode="#,##0"/>
      <fill>
        <patternFill patternType="solid">
          <bgColor rgb="FFFDC703"/>
        </patternFill>
      </fill>
      <alignment horizontal="right"/>
    </odxf>
    <ndxf>
      <numFmt numFmtId="0" formatCode="General"/>
      <fill>
        <patternFill patternType="none">
          <bgColor indexed="65"/>
        </patternFill>
      </fill>
      <alignment horizontal="left"/>
    </ndxf>
  </rcc>
  <rfmt sheetId="26" sqref="J155" start="0" length="0">
    <dxf>
      <font>
        <b/>
        <name val="Calibri"/>
        <family val="2"/>
        <scheme val="minor"/>
      </font>
      <numFmt numFmtId="3" formatCode="#,##0"/>
      <alignment horizontal="right"/>
      <border outline="0">
        <left/>
      </border>
    </dxf>
  </rfmt>
  <rfmt sheetId="26" sqref="K155" start="0" length="0">
    <dxf>
      <font>
        <color theme="3" tint="0.39997558519241921"/>
        <name val="Calibri"/>
        <family val="2"/>
        <scheme val="minor"/>
      </font>
      <numFmt numFmtId="0" formatCode="General"/>
      <fill>
        <patternFill patternType="none">
          <bgColor indexed="65"/>
        </patternFill>
      </fill>
      <alignment horizontal="left"/>
    </dxf>
  </rfmt>
  <rcc rId="2523" sId="26" odxf="1" dxf="1">
    <nc r="J156">
      <f>J127*GWPCH4+J154*GWPN2O</f>
    </nc>
    <odxf>
      <font>
        <b val="0"/>
        <name val="Calibri"/>
        <family val="2"/>
        <scheme val="minor"/>
      </font>
      <numFmt numFmtId="0" formatCode="General"/>
      <fill>
        <patternFill patternType="none">
          <bgColor indexed="65"/>
        </patternFill>
      </fill>
      <alignment horizontal="left"/>
      <border outline="0">
        <left style="thin">
          <color indexed="64"/>
        </left>
      </border>
    </odxf>
    <ndxf>
      <font>
        <b/>
        <name val="Calibri"/>
        <family val="2"/>
        <scheme val="minor"/>
      </font>
      <numFmt numFmtId="3" formatCode="#,##0"/>
      <fill>
        <patternFill patternType="solid">
          <bgColor rgb="FFFDC703"/>
        </patternFill>
      </fill>
      <alignment horizontal="right"/>
      <border outline="0">
        <left/>
      </border>
    </ndxf>
  </rcc>
  <rcc rId="2524" sId="26" odxf="1" dxf="1">
    <nc r="K156" t="inlineStr">
      <is>
        <r>
          <t>MgCO</t>
        </r>
        <r>
          <rPr>
            <b/>
            <vertAlign val="subscript"/>
            <sz val="9"/>
            <color theme="3" tint="0.39997558519241921"/>
            <rFont val="Calibri"/>
            <family val="2"/>
          </rPr>
          <t>2</t>
        </r>
        <r>
          <rPr>
            <b/>
            <sz val="9"/>
            <color theme="3" tint="0.39997558519241921"/>
            <rFont val="Calibri"/>
            <family val="2"/>
          </rPr>
          <t>e</t>
        </r>
      </is>
    </nc>
    <odxf>
      <font>
        <name val="Calibri"/>
        <family val="2"/>
        <scheme val="minor"/>
      </font>
      <numFmt numFmtId="3" formatCode="#,##0"/>
      <fill>
        <patternFill patternType="solid">
          <bgColor rgb="FFFDC703"/>
        </patternFill>
      </fill>
      <alignment horizontal="right"/>
    </odxf>
    <ndxf>
      <font>
        <color theme="3" tint="0.39997558519241921"/>
        <name val="Calibri"/>
        <family val="2"/>
        <scheme val="minor"/>
      </font>
      <numFmt numFmtId="0" formatCode="General"/>
      <fill>
        <patternFill patternType="none">
          <bgColor indexed="65"/>
        </patternFill>
      </fill>
      <alignment horizontal="left"/>
    </ndxf>
  </rcc>
  <rcc rId="2525" sId="26" odxf="1" dxf="1" numFmtId="4">
    <nc r="F120">
      <v>0.26</v>
    </nc>
    <odxf>
      <font>
        <b/>
        <sz val="9"/>
        <name val="Calibri"/>
        <family val="2"/>
        <scheme val="minor"/>
      </font>
    </odxf>
    <ndxf>
      <font>
        <b val="0"/>
        <sz val="9"/>
        <name val="Calibri"/>
        <family val="2"/>
        <scheme val="minor"/>
      </font>
    </ndxf>
  </rcc>
  <rcc rId="2526" sId="26" odxf="1" dxf="1" numFmtId="4">
    <nc r="F121">
      <v>0.34</v>
    </nc>
    <odxf>
      <font>
        <b/>
        <sz val="9"/>
        <name val="Calibri"/>
        <family val="2"/>
        <scheme val="minor"/>
      </font>
    </odxf>
    <ndxf>
      <font>
        <b val="0"/>
        <sz val="9"/>
        <name val="Calibri"/>
        <family val="2"/>
        <scheme val="minor"/>
      </font>
    </ndxf>
  </rcc>
  <rcc rId="2527" sId="26" odxf="1" s="1" dxf="1">
    <nc r="F122">
      <f>0.8/3</f>
    </nc>
    <odxf>
      <font>
        <b/>
        <i val="0"/>
        <strike val="0"/>
        <condense val="0"/>
        <extend val="0"/>
        <outline val="0"/>
        <shadow val="0"/>
        <u val="none"/>
        <vertAlign val="baseline"/>
        <sz val="9"/>
        <color auto="1"/>
        <name val="Calibri"/>
        <family val="2"/>
        <scheme val="minor"/>
      </font>
      <numFmt numFmtId="170" formatCode="0.00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numFmt numFmtId="2" formatCode="0.00"/>
      <alignment horizontal="left"/>
    </ndxf>
  </rcc>
  <rcc rId="2528" sId="26" odxf="1" s="1" dxf="1" numFmtId="4">
    <nc r="F123">
      <v>0</v>
    </nc>
    <odxf>
      <font>
        <b/>
        <i val="0"/>
        <strike val="0"/>
        <condense val="0"/>
        <extend val="0"/>
        <outline val="0"/>
        <shadow val="0"/>
        <u val="none"/>
        <vertAlign val="baseline"/>
        <sz val="9"/>
        <color auto="1"/>
        <name val="Calibri"/>
        <family val="2"/>
        <scheme val="minor"/>
      </font>
      <numFmt numFmtId="170" formatCode="0.00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numFmt numFmtId="2" formatCode="0.00"/>
      <alignment horizontal="left"/>
    </ndxf>
  </rcc>
  <rcc rId="2529" sId="26" odxf="1" dxf="1" numFmtId="4">
    <nc r="K120">
      <v>0.26</v>
    </nc>
    <odxf>
      <font>
        <b/>
        <sz val="9"/>
        <name val="Calibri"/>
        <family val="2"/>
        <scheme val="minor"/>
      </font>
      <fill>
        <patternFill patternType="solid">
          <bgColor theme="9" tint="0.79998168889431442"/>
        </patternFill>
      </fill>
    </odxf>
    <ndxf>
      <font>
        <b val="0"/>
        <sz val="9"/>
        <name val="Calibri"/>
        <family val="2"/>
        <scheme val="minor"/>
      </font>
      <fill>
        <patternFill patternType="none">
          <bgColor indexed="65"/>
        </patternFill>
      </fill>
    </ndxf>
  </rcc>
  <rcc rId="2530" sId="26" odxf="1" dxf="1" numFmtId="4">
    <nc r="K121">
      <v>0.34</v>
    </nc>
    <odxf>
      <font>
        <b/>
        <sz val="9"/>
        <name val="Calibri"/>
        <family val="2"/>
        <scheme val="minor"/>
      </font>
      <fill>
        <patternFill patternType="solid">
          <bgColor theme="9" tint="0.79998168889431442"/>
        </patternFill>
      </fill>
    </odxf>
    <ndxf>
      <font>
        <b val="0"/>
        <sz val="9"/>
        <name val="Calibri"/>
        <family val="2"/>
        <scheme val="minor"/>
      </font>
      <fill>
        <patternFill patternType="none">
          <bgColor indexed="65"/>
        </patternFill>
      </fill>
    </ndxf>
  </rcc>
  <rcc rId="2531" sId="26" odxf="1" s="1" dxf="1">
    <nc r="K122">
      <f>0.8/3</f>
    </nc>
    <odxf>
      <font>
        <b/>
        <i val="0"/>
        <strike val="0"/>
        <condense val="0"/>
        <extend val="0"/>
        <outline val="0"/>
        <shadow val="0"/>
        <u val="none"/>
        <vertAlign val="baseline"/>
        <sz val="9"/>
        <color auto="1"/>
        <name val="Calibri"/>
        <family val="2"/>
        <scheme val="minor"/>
      </font>
      <numFmt numFmtId="170" formatCode="0.000"/>
      <fill>
        <patternFill patternType="solid">
          <fgColor indexed="64"/>
          <bgColor theme="9" tint="0.79998168889431442"/>
        </patternFill>
      </fill>
      <alignment horizontal="right" vertical="top" textRotation="0" wrapText="0" indent="0" justifyLastLine="0" shrinkToFit="0" readingOrder="0"/>
      <border diagonalUp="0" diagonalDown="0" outline="0">
        <left/>
        <right/>
        <top/>
        <bottom/>
      </border>
    </odxf>
    <ndxf>
      <numFmt numFmtId="2" formatCode="0.00"/>
      <fill>
        <patternFill patternType="none">
          <bgColor indexed="65"/>
        </patternFill>
      </fill>
      <alignment horizontal="left"/>
    </ndxf>
  </rcc>
  <rcc rId="2532" sId="26" odxf="1" s="1" dxf="1" numFmtId="4">
    <nc r="K123">
      <v>0</v>
    </nc>
    <odxf>
      <font>
        <b/>
        <i val="0"/>
        <strike val="0"/>
        <condense val="0"/>
        <extend val="0"/>
        <outline val="0"/>
        <shadow val="0"/>
        <u val="none"/>
        <vertAlign val="baseline"/>
        <sz val="9"/>
        <color auto="1"/>
        <name val="Calibri"/>
        <family val="2"/>
        <scheme val="minor"/>
      </font>
      <numFmt numFmtId="170" formatCode="0.000"/>
      <fill>
        <patternFill patternType="solid">
          <fgColor indexed="64"/>
          <bgColor theme="9" tint="0.79998168889431442"/>
        </patternFill>
      </fill>
      <alignment horizontal="right" vertical="top" textRotation="0" wrapText="0" indent="0" justifyLastLine="0" shrinkToFit="0" readingOrder="0"/>
      <border diagonalUp="0" diagonalDown="0" outline="0">
        <left/>
        <right/>
        <top/>
        <bottom/>
      </border>
    </odxf>
    <ndxf>
      <numFmt numFmtId="2" formatCode="0.00"/>
      <fill>
        <patternFill patternType="none">
          <bgColor indexed="65"/>
        </patternFill>
      </fill>
      <alignment horizontal="left"/>
    </ndxf>
  </rcc>
  <rfmt sheetId="26" sqref="K120:K123">
    <dxf>
      <alignment horizontal="general"/>
    </dxf>
  </rfmt>
  <rfmt sheetId="26" sqref="F120:F123">
    <dxf>
      <alignment horizontal="general"/>
    </dxf>
  </rfmt>
  <rfmt sheetId="26" sqref="B120:B123">
    <dxf>
      <alignment horizontal="general"/>
    </dxf>
  </rfmt>
  <rcc rId="2533" sId="26">
    <oc r="B177">
      <f>SUM(B39,B141,B174)</f>
    </oc>
    <nc r="B177">
      <f>SUM(B39,B141,B174,B156)</f>
    </nc>
  </rcc>
  <rcc rId="2534" sId="26">
    <oc r="F177">
      <f>SUM(F39,F141,F174)</f>
    </oc>
    <nc r="F177">
      <f>SUM(F39,F141,F174,F156)</f>
    </nc>
  </rcc>
  <rcc rId="2535" sId="26">
    <oc r="K177">
      <f>SUM(K39,K141,K174)</f>
    </oc>
    <nc r="K177">
      <f>SUM(K39,K141,K174,K156)</f>
    </nc>
  </rcc>
  <rfmt sheetId="26" sqref="F144" start="0" length="0">
    <dxf>
      <numFmt numFmtId="3" formatCode="#,##0"/>
    </dxf>
  </rfmt>
  <rcc rId="2536" sId="26">
    <nc r="B153">
      <f>SUM(B144:B152)</f>
    </nc>
  </rcc>
  <rcc rId="2537" sId="26">
    <nc r="B145">
      <f>B130*B7*0.01*0.0075*$B$120*$B$122*$B$124/1000*GWPN2O</f>
    </nc>
  </rcc>
  <rcc rId="2538" sId="26">
    <nc r="B146">
      <f>B131*B8*0.01*0.0075*$B$120*$B$122*$B$124/1000*GWPN2O</f>
    </nc>
  </rcc>
  <rcc rId="2539" sId="26">
    <nc r="B147">
      <f>B132*B9*0.01*0.0075*$B$120*$B$122*$B$124/1000*GWPN2O</f>
    </nc>
  </rcc>
  <rcc rId="2540" sId="26">
    <nc r="B148">
      <f>B133*B10*0.01*0.0075*$B$120*$B$122*$B$124/1000*GWPN2O</f>
    </nc>
  </rcc>
  <rcc rId="2541" sId="26">
    <nc r="B149">
      <f>B134*B11*0.01*0.0075*$B$120*$B$122*$B$124/1000*GWPN2O</f>
    </nc>
  </rcc>
  <rcc rId="2542" sId="26">
    <nc r="B150">
      <f>B135*B12*0.01*0.0075*$B$120*$B$122*$B$124/1000*GWPN2O</f>
    </nc>
  </rcc>
  <rcc rId="2543" sId="26">
    <nc r="B151">
      <f>B136*B13*0.01*0.0075*$B$120*$B$122*$B$124/1000*GWPN2O</f>
    </nc>
  </rcc>
  <rcc rId="2544" sId="26">
    <nc r="B152">
      <f>B137*B14*0.01*0.0075*$B$121*$B$122*$B$125/1000*GWPN2O</f>
    </nc>
  </rcc>
  <rcc rId="2545" sId="26">
    <nc r="F144">
      <f>F129*F6*0.01*0.0075*$F$120*$F$122*$F$124/1000*GWPN2O</f>
    </nc>
  </rcc>
  <rcc rId="2546" sId="26">
    <nc r="F145">
      <f>F130*F7*0.01*0.0075*$F$120*$F$122*$F$124/1000*GWPN2O</f>
    </nc>
  </rcc>
  <rcc rId="2547" sId="26">
    <nc r="F146">
      <f>F131*F8*0.01*0.0075*$F$120*$F$122*$F$124/1000*GWPN2O</f>
    </nc>
  </rcc>
  <rcc rId="2548" sId="26">
    <nc r="F147">
      <f>F132*F9*0.01*0.0075*$F$120*$F$122*$F$124/1000*GWPN2O</f>
    </nc>
  </rcc>
  <rcc rId="2549" sId="26">
    <nc r="F148">
      <f>F133*F10*0.01*0.0075*$F$120*$F$122*$F$124/1000*GWPN2O</f>
    </nc>
  </rcc>
  <rcc rId="2550" sId="26">
    <nc r="F149">
      <f>F134*F11*0.01*0.0075*$F$120*$F$122*$F$124/1000*GWPN2O</f>
    </nc>
  </rcc>
  <rcc rId="2551" sId="26">
    <nc r="F150">
      <f>F135*F12*0.01*0.0075*$F$120*$F$122*$F$124/1000*GWPN2O</f>
    </nc>
  </rcc>
  <rcc rId="2552" sId="26">
    <nc r="F151">
      <f>F136*F13*0.01*0.0075*$F$120*$F$122*$F$124/1000*GWPN2O</f>
    </nc>
  </rcc>
  <rcc rId="2553" sId="26">
    <nc r="F152">
      <f>F137*F14*0.01*0.0075*$F$121*$F$122*$F$125/1000*GWPN2O</f>
    </nc>
  </rcc>
  <rcc rId="2554" sId="26">
    <nc r="B144">
      <f>B129*B6*0.01*0.0075*$B$120*$B$122*$B$124/1000*GWPN2O</f>
    </nc>
  </rcc>
  <rcc rId="2555" sId="26">
    <nc r="J144">
      <f>K129*K6*0.01*0.0075*$K$120*$K$122*$K$124/1000*GWPN2O</f>
    </nc>
  </rcc>
  <rcc rId="2556" sId="26">
    <nc r="J145">
      <f>K130*K7*0.01*0.0075*$K$120*$K$122*$K$124/1000*GWPN2O</f>
    </nc>
  </rcc>
  <rcc rId="2557" sId="26">
    <nc r="J146">
      <f>K131*K8*0.01*0.0075*$K$120*$K$122*$K$124/1000*GWPN2O</f>
    </nc>
  </rcc>
  <rcc rId="2558" sId="26">
    <nc r="J147">
      <f>K132*K9*0.01*0.0075*$K$120*$K$122*$K$124/1000*GWPN2O</f>
    </nc>
  </rcc>
  <rcc rId="2559" sId="26">
    <nc r="J148">
      <f>K133*K10*0.01*0.0075*$K$120*$K$122*$K$124/1000*GWPN2O</f>
    </nc>
  </rcc>
  <rcc rId="2560" sId="26">
    <nc r="J149">
      <f>K134*K11*0.01*0.0075*$K$120*$K$122*$K$124/1000*GWPN2O</f>
    </nc>
  </rcc>
  <rcc rId="2561" sId="26">
    <nc r="J150">
      <f>K135*K12*0.01*0.0075*$K$120*$K$122*$K$124/1000*GWPN2O</f>
    </nc>
  </rcc>
  <rcc rId="2562" sId="26">
    <nc r="J151">
      <f>K136*K13*0.01*0.0075*$K$120*$K$122*$K$124/1000*GWPN2O</f>
    </nc>
  </rcc>
  <rcc rId="2563" sId="26">
    <nc r="J152">
      <f>K137*K14*0.01*0.0075*$K$121*$K$122*$K$125/1000*GWPN2O</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9" sId="26">
    <oc r="N161" t="inlineStr">
      <is>
        <t>2012 data</t>
      </is>
    </oc>
    <nc r="N161" t="inlineStr">
      <is>
        <t>2012 data, fairly flat trend, so data likely similar to 2015 estimates</t>
      </is>
    </nc>
  </rcc>
  <rcc rId="2570" sId="26">
    <oc r="J164" t="inlineStr">
      <is>
        <t>More detail is available in Table 6-17 (including grasslands, which were excluded here following PSCAA.</t>
      </is>
    </oc>
    <nc r="J164"/>
  </rcc>
  <rcmt sheetId="26" cell="J164" guid="{00000000-0000-0000-0000-000000000000}" action="delete" alwaysShow="1" author="Andrea Martin"/>
  <rcc rId="2571" sId="26">
    <oc r="J166" t="inlineStr">
      <is>
        <t>N2O emissions are listed for cropland, grassland, forest land, and settlements (and broken down by Volatilization &amp; Atm. Deposition, and Surface Leaching &amp; Run-Off for each).  However, consistent with PSCAA methods, we only include cropland emissions in this inventory.</t>
      </is>
    </oc>
    <nc r="J166"/>
  </rcc>
  <rfmt sheetId="26" sqref="B57:B62">
    <dxf>
      <fill>
        <patternFill patternType="none">
          <bgColor auto="1"/>
        </patternFill>
      </fill>
    </dxf>
  </rfmt>
  <rfmt sheetId="26" sqref="F57:F64">
    <dxf>
      <fill>
        <patternFill patternType="none">
          <bgColor auto="1"/>
        </patternFill>
      </fill>
    </dxf>
  </rfmt>
  <rcmt sheetId="26" cell="M13" guid="{00000000-0000-0000-0000-000000000000}" action="delete" alwaysShow="1" author="Andrea Martin"/>
  <rcmt sheetId="26" cell="K13" guid="{00000000-0000-0000-0000-000000000000}" action="delete" alwaysShow="1" author="Chelsea"/>
  <rcc rId="2572" sId="26">
    <oc r="N13" t="inlineStr">
      <is>
        <t>Table 34 Divided number of mink by number of farms, multiplied by number of farms within KC</t>
      </is>
    </oc>
    <nc r="N13" t="inlineStr">
      <is>
        <t>Table 34 Divided number of mink by number of farms, multiplied by number of farms within KC, analogous to previous method</t>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73" sId="8" odxf="1" dxf="1" numFmtId="19">
    <nc r="C16">
      <v>42877</v>
    </nc>
    <odxf>
      <numFmt numFmtId="0" formatCode="General"/>
    </odxf>
    <ndxf>
      <numFmt numFmtId="19" formatCode="m/d/yyyy"/>
    </ndxf>
  </rcc>
  <rcmt sheetId="17" cell="B8" guid="{00000000-0000-0000-0000-000000000000}" action="delete" author="Andrea Martin"/>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5" cell="J23" guid="{00000000-0000-0000-0000-000000000000}" action="delete" alwaysShow="1" author="Andrea Martin"/>
  <rfmt sheetId="25" sqref="J23">
    <dxf>
      <fill>
        <patternFill patternType="none">
          <bgColor auto="1"/>
        </patternFill>
      </fill>
    </dxf>
  </rfmt>
  <rfmt sheetId="25" sqref="F23 B23 B39 F39 J39">
    <dxf>
      <fill>
        <patternFill patternType="none">
          <bgColor auto="1"/>
        </patternFill>
      </fill>
    </dxf>
  </rfmt>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7" sqref="J7">
    <dxf>
      <fill>
        <patternFill patternType="none">
          <bgColor auto="1"/>
        </patternFill>
      </fill>
    </dxf>
  </rfmt>
  <rcc rId="2574" sId="25" odxf="1" dxf="1">
    <nc r="H22" t="inlineStr">
      <is>
        <t>KC15-90-06</t>
      </is>
    </nc>
    <odxf>
      <numFmt numFmtId="30" formatCode="@"/>
    </odxf>
    <ndxf>
      <numFmt numFmtId="0" formatCode="General"/>
    </ndxf>
  </rcc>
  <rcc rId="2575" sId="25">
    <nc r="D22" t="inlineStr">
      <is>
        <t>KC15-90-06</t>
      </is>
    </nc>
  </rcc>
  <rcmt sheetId="25" cell="B22" guid="{00000000-0000-0000-0000-000000000000}" action="delete" alwaysShow="1" author="Andrea Martin"/>
  <rcmt sheetId="25" cell="B10" guid="{00000000-0000-0000-0000-000000000000}" action="delete" alwaysShow="1" author="Andrea Martin"/>
  <rcmt sheetId="25" cell="B9" guid="{406CBBE5-BBAC-4C33-9057-554E9CB177ED}" alwaysShow="1" author="Andrea Martin" newLength="69"/>
  <rcmt sheetId="25" cell="L10" guid="{188ABA07-F43C-42B0-B8EF-58A866E47220}" alwaysShow="1" author="Andrea Martin" newLength="42"/>
  <rcmt sheetId="25" cell="B45" guid="{414DB2DA-5749-4E7A-9C2A-C7DB8AE82D08}" alwaysShow="1" author="Andrea Martin" newLength="71"/>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28">
    <oc r="D112" t="inlineStr">
      <is>
        <t>g/mmBTU</t>
      </is>
    </oc>
    <nc r="D112" t="inlineStr">
      <is>
        <t>gCO2/mmBTU</t>
      </is>
    </nc>
  </rcc>
  <rcc rId="59" sId="28">
    <oc r="F114" t="inlineStr">
      <is>
        <t>g/mmbtu</t>
      </is>
    </oc>
    <nc r="F114" t="inlineStr">
      <is>
        <t>gCH4/mmbtu</t>
      </is>
    </nc>
  </rcc>
  <rcc rId="60" sId="28">
    <oc r="F115" t="inlineStr">
      <is>
        <t>g/mmbtu</t>
      </is>
    </oc>
    <nc r="F115" t="inlineStr">
      <is>
        <t>gN2O/mmbtu</t>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1" sId="8" xfDxf="1" dxf="1">
    <nc r="A15" t="inlineStr">
      <is>
        <t>Water-Waste</t>
      </is>
    </nc>
  </rcc>
  <rcc rId="2582" sId="8">
    <nc r="B15" t="inlineStr">
      <is>
        <t>Andrea M</t>
      </is>
    </nc>
  </rcc>
  <rcc rId="2583" sId="8" odxf="1" dxf="1" numFmtId="19">
    <nc r="C15">
      <v>42877</v>
    </nc>
    <odxf>
      <numFmt numFmtId="0" formatCode="General"/>
    </odxf>
    <ndxf>
      <numFmt numFmtId="19" formatCode="m/d/yyyy"/>
    </ndxf>
  </rcc>
  <rcc rId="2584" sId="8" xfDxf="1" dxf="1">
    <nc r="A17" t="inlineStr">
      <is>
        <t>Waste- Management</t>
      </is>
    </nc>
  </rcc>
  <rcc rId="2585" sId="8" xfDxf="1" dxf="1">
    <nc r="A18" t="inlineStr">
      <is>
        <t>Waste- Landfills</t>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6" sId="8">
    <oc r="E16" t="inlineStr">
      <is>
        <t>Animal emission factors through time</t>
      </is>
    </oc>
    <nc r="E16" t="inlineStr">
      <is>
        <t>QC complete</t>
      </is>
    </nc>
  </rcc>
  <rcc rId="2587" sId="8">
    <nc r="D16" t="inlineStr">
      <is>
        <t>all</t>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8" sId="7">
    <oc r="T40" t="inlineStr">
      <is>
        <t>Supplimentary Emission Sectors</t>
      </is>
    </oc>
    <nc r="T40" t="inlineStr">
      <is>
        <t>Supplementary Emission Sectors</t>
      </is>
    </nc>
  </rcc>
  <rcc rId="2589" sId="7">
    <oc r="U29" t="inlineStr">
      <is>
        <t>Freight rail</t>
      </is>
    </oc>
    <nc r="U29" t="inlineStr">
      <is>
        <t>Freight and Passenger rail</t>
      </is>
    </nc>
  </rcc>
  <rcc rId="2590" sId="7">
    <oc r="M29" t="inlineStr">
      <is>
        <t>Freight Rail</t>
      </is>
    </oc>
    <nc r="M29" t="inlineStr">
      <is>
        <t>Freight and passenger rail</t>
      </is>
    </nc>
  </rcc>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N74" start="0" length="0">
    <dxf>
      <numFmt numFmtId="0" formatCode="General"/>
      <alignment vertical="bottom"/>
      <border outline="0">
        <right style="thin">
          <color indexed="64"/>
        </right>
      </border>
    </dxf>
  </rfmt>
  <rcc rId="2591" sId="24">
    <nc r="E74" t="inlineStr">
      <is>
        <t>probably overestimate as PSE EF used for all- SCL would have some as well, but it is not being summed into GHG inventory</t>
      </is>
    </nc>
  </rcc>
  <rcc rId="2592" sId="24">
    <nc r="M74" t="inlineStr">
      <is>
        <t>probably overestimate as PSE EF used for all- SCL would have some as well, but it is not being summed into GHG inventory</t>
      </is>
    </nc>
  </rcc>
  <rcc rId="2593" sId="24">
    <nc r="U74" t="inlineStr">
      <is>
        <t>probably overestimate as PSE EF used for all- SCL would have some as well, but it is not being summed into GHG inventory</t>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4" sId="7">
    <oc r="N46" t="inlineStr">
      <is>
        <t>Core</t>
      </is>
    </oc>
    <nc r="N46" t="inlineStr">
      <is>
        <t>Basic Required Emissions</t>
      </is>
    </nc>
  </rcc>
  <rfmt sheetId="20" sqref="A64" start="0" length="0">
    <dxf>
      <font>
        <color theme="0"/>
        <family val="2"/>
      </font>
      <fill>
        <patternFill>
          <bgColor rgb="FF002060"/>
        </patternFill>
      </fill>
      <alignment vertical="bottom"/>
    </dxf>
  </rfmt>
  <rfmt sheetId="20" sqref="B64" start="0" length="0">
    <dxf>
      <font>
        <color theme="0"/>
        <family val="2"/>
      </font>
      <fill>
        <patternFill>
          <bgColor rgb="FF002060"/>
        </patternFill>
      </fill>
      <alignment vertical="bottom"/>
    </dxf>
  </rfmt>
  <rfmt sheetId="20" sqref="C64" start="0" length="0">
    <dxf>
      <font>
        <color theme="0"/>
        <family val="2"/>
      </font>
      <fill>
        <patternFill>
          <bgColor rgb="FF002060"/>
        </patternFill>
      </fill>
      <alignment vertical="bottom"/>
    </dxf>
  </rfmt>
  <rfmt sheetId="20" sqref="D64" start="0" length="0">
    <dxf>
      <font>
        <color theme="0"/>
        <family val="2"/>
      </font>
      <fill>
        <patternFill>
          <bgColor rgb="FF002060"/>
        </patternFill>
      </fill>
      <alignment vertical="bottom"/>
    </dxf>
  </rfmt>
  <rcc rId="2595" sId="20" odxf="1" dxf="1">
    <oc r="E64">
      <f>E63*tonTOMg</f>
    </oc>
    <nc r="E64">
      <f>E63*tonTOMg</f>
    </nc>
    <odxf>
      <font>
        <family val="2"/>
      </font>
      <fill>
        <patternFill>
          <bgColor theme="9"/>
        </patternFill>
      </fill>
      <alignment vertical="top"/>
    </odxf>
    <ndxf>
      <font>
        <color theme="0"/>
        <family val="2"/>
      </font>
      <fill>
        <patternFill>
          <bgColor rgb="FF002060"/>
        </patternFill>
      </fill>
      <alignment vertical="bottom"/>
    </ndxf>
  </rcc>
  <rfmt sheetId="20" sqref="F64" start="0" length="0">
    <dxf>
      <font>
        <color theme="0"/>
        <family val="2"/>
      </font>
      <fill>
        <patternFill>
          <bgColor rgb="FF002060"/>
        </patternFill>
      </fill>
      <alignment vertical="bottom"/>
    </dxf>
  </rfmt>
  <rfmt sheetId="20" sqref="G64" start="0" length="0">
    <dxf>
      <font>
        <color theme="0"/>
        <family val="2"/>
      </font>
      <fill>
        <patternFill>
          <bgColor rgb="FF002060"/>
        </patternFill>
      </fill>
      <alignment vertical="bottom"/>
    </dxf>
  </rfmt>
  <rfmt sheetId="20" sqref="H64" start="0" length="0">
    <dxf>
      <font>
        <color theme="0"/>
        <family val="2"/>
      </font>
      <fill>
        <patternFill>
          <bgColor rgb="FF002060"/>
        </patternFill>
      </fill>
      <alignment vertical="bottom"/>
    </dxf>
  </rfmt>
  <rfmt sheetId="20" sqref="I64" start="0" length="0">
    <dxf>
      <font>
        <color theme="0"/>
        <family val="2"/>
      </font>
      <fill>
        <patternFill>
          <bgColor rgb="FF002060"/>
        </patternFill>
      </fill>
      <alignment vertical="bottom"/>
    </dxf>
  </rfmt>
  <rfmt sheetId="20" sqref="J64" start="0" length="0">
    <dxf>
      <font>
        <color theme="0"/>
        <family val="2"/>
      </font>
      <fill>
        <patternFill>
          <bgColor rgb="FF002060"/>
        </patternFill>
      </fill>
      <alignment vertical="bottom"/>
    </dxf>
  </rfmt>
  <rfmt sheetId="20" sqref="K64" start="0" length="0">
    <dxf>
      <font>
        <color theme="0"/>
        <family val="2"/>
      </font>
      <fill>
        <patternFill>
          <bgColor rgb="FF002060"/>
        </patternFill>
      </fill>
      <alignment vertical="bottom"/>
    </dxf>
  </rfmt>
  <rfmt sheetId="20" sqref="L64" start="0" length="0">
    <dxf>
      <font>
        <color theme="0"/>
        <family val="2"/>
      </font>
      <fill>
        <patternFill>
          <bgColor rgb="FF002060"/>
        </patternFill>
      </fill>
      <alignment vertical="bottom"/>
    </dxf>
  </rfmt>
  <rfmt sheetId="20" sqref="M64" start="0" length="0">
    <dxf>
      <font>
        <color theme="0"/>
        <family val="2"/>
      </font>
      <fill>
        <patternFill>
          <bgColor rgb="FF002060"/>
        </patternFill>
      </fill>
      <alignment horizontal="left" vertical="bottom"/>
    </dxf>
  </rfmt>
  <rfmt sheetId="20" sqref="N64" start="0" length="0">
    <dxf>
      <font>
        <color theme="0"/>
        <family val="2"/>
      </font>
      <fill>
        <patternFill>
          <bgColor rgb="FF002060"/>
        </patternFill>
      </fill>
      <alignment vertical="bottom"/>
    </dxf>
  </rfmt>
  <rfmt sheetId="20" sqref="O64" start="0" length="0">
    <dxf>
      <font>
        <color theme="0"/>
        <family val="2"/>
      </font>
      <fill>
        <patternFill>
          <bgColor rgb="FF002060"/>
        </patternFill>
      </fill>
      <alignment vertical="bottom"/>
    </dxf>
  </rfmt>
  <rfmt sheetId="20" sqref="P64" start="0" length="0">
    <dxf>
      <font>
        <color theme="0"/>
        <family val="2"/>
      </font>
      <numFmt numFmtId="30" formatCode="@"/>
      <fill>
        <patternFill>
          <bgColor rgb="FF002060"/>
        </patternFill>
      </fill>
      <alignment vertical="bottom"/>
    </dxf>
  </rfmt>
  <rfmt sheetId="20" sqref="Q64" start="0" length="0">
    <dxf>
      <font>
        <color theme="0"/>
        <family val="2"/>
      </font>
      <fill>
        <patternFill>
          <bgColor rgb="FF002060"/>
        </patternFill>
      </fill>
      <alignment vertical="bottom"/>
    </dxf>
  </rfmt>
  <rfmt sheetId="20" sqref="R64" start="0" length="0">
    <dxf>
      <font>
        <color theme="0"/>
        <family val="2"/>
      </font>
      <fill>
        <patternFill>
          <bgColor rgb="FF002060"/>
        </patternFill>
      </fill>
      <alignment vertical="bottom"/>
    </dxf>
  </rfmt>
  <rfmt sheetId="20" sqref="S64" start="0" length="0">
    <dxf>
      <font>
        <color theme="0"/>
        <family val="2"/>
      </font>
      <numFmt numFmtId="3" formatCode="#,##0"/>
      <fill>
        <patternFill>
          <bgColor rgb="FF002060"/>
        </patternFill>
      </fill>
      <alignment horizontal="right" vertical="bottom"/>
    </dxf>
  </rfmt>
  <rfmt sheetId="20" sqref="T64" start="0" length="0">
    <dxf>
      <font>
        <color theme="0"/>
        <family val="2"/>
      </font>
      <numFmt numFmtId="3" formatCode="#,##0"/>
      <fill>
        <patternFill>
          <bgColor rgb="FF002060"/>
        </patternFill>
      </fill>
      <alignment horizontal="left" vertical="bottom"/>
    </dxf>
  </rfmt>
  <rfmt sheetId="20" sqref="U64" start="0" length="0">
    <dxf>
      <font>
        <color theme="0"/>
        <family val="2"/>
      </font>
      <numFmt numFmtId="3" formatCode="#,##0"/>
      <fill>
        <patternFill>
          <bgColor rgb="FF002060"/>
        </patternFill>
      </fill>
      <alignment horizontal="right" vertical="bottom"/>
    </dxf>
  </rfmt>
  <rcc rId="2596" sId="20" odxf="1" dxf="1">
    <oc r="V64">
      <f>V63*tonTOMg</f>
    </oc>
    <nc r="V64">
      <f>V63*tonTOMg</f>
    </nc>
    <odxf>
      <font>
        <family val="2"/>
      </font>
      <numFmt numFmtId="181" formatCode="_(* #,##0_);_(* \(#,##0\);_(* &quot;-&quot;??_);_(@_)"/>
      <fill>
        <patternFill>
          <bgColor theme="9"/>
        </patternFill>
      </fill>
      <alignment horizontal="general" vertical="top"/>
    </odxf>
    <ndxf>
      <font>
        <color theme="0"/>
        <family val="2"/>
      </font>
      <numFmt numFmtId="3" formatCode="#,##0"/>
      <fill>
        <patternFill>
          <bgColor rgb="FF002060"/>
        </patternFill>
      </fill>
      <alignment horizontal="right" vertical="bottom"/>
    </ndxf>
  </rcc>
  <rfmt sheetId="20" sqref="W64" start="0" length="0">
    <dxf>
      <font>
        <color theme="0"/>
        <family val="2"/>
      </font>
      <numFmt numFmtId="3" formatCode="#,##0"/>
      <fill>
        <patternFill>
          <bgColor rgb="FF002060"/>
        </patternFill>
      </fill>
      <alignment horizontal="right" vertical="bottom"/>
    </dxf>
  </rfmt>
  <rfmt sheetId="20" sqref="X64" start="0" length="0">
    <dxf>
      <font>
        <color theme="0"/>
        <family val="2"/>
      </font>
      <numFmt numFmtId="3" formatCode="#,##0"/>
      <fill>
        <patternFill>
          <bgColor rgb="FF002060"/>
        </patternFill>
      </fill>
      <alignment horizontal="right" vertical="bottom"/>
    </dxf>
  </rfmt>
  <rfmt sheetId="20" sqref="Y64" start="0" length="0">
    <dxf>
      <font>
        <color theme="0"/>
        <family val="2"/>
      </font>
      <numFmt numFmtId="3" formatCode="#,##0"/>
      <fill>
        <patternFill>
          <bgColor rgb="FF002060"/>
        </patternFill>
      </fill>
      <alignment horizontal="right" vertical="bottom"/>
    </dxf>
  </rfmt>
  <rfmt sheetId="20" sqref="Z64" start="0" length="0">
    <dxf>
      <font>
        <color theme="0"/>
        <family val="2"/>
      </font>
      <numFmt numFmtId="3" formatCode="#,##0"/>
      <fill>
        <patternFill>
          <bgColor rgb="FF002060"/>
        </patternFill>
      </fill>
      <alignment horizontal="right" vertical="bottom"/>
    </dxf>
  </rfmt>
  <rfmt sheetId="20" sqref="AA64" start="0" length="0">
    <dxf>
      <font>
        <color theme="0"/>
        <family val="2"/>
      </font>
      <numFmt numFmtId="3" formatCode="#,##0"/>
      <fill>
        <patternFill>
          <bgColor rgb="FF002060"/>
        </patternFill>
      </fill>
      <alignment horizontal="left" vertical="bottom"/>
    </dxf>
  </rfmt>
  <rfmt sheetId="20" sqref="AB64" start="0" length="0">
    <dxf>
      <font>
        <color theme="0"/>
        <family val="2"/>
      </font>
      <numFmt numFmtId="3" formatCode="#,##0"/>
      <fill>
        <patternFill>
          <bgColor rgb="FF002060"/>
        </patternFill>
      </fill>
      <alignment horizontal="right" vertical="bottom"/>
    </dxf>
  </rfmt>
  <rcc rId="2597" sId="20" odxf="1" dxf="1">
    <oc r="AC64">
      <f>AC63*tonTOMg</f>
    </oc>
    <nc r="AC64">
      <f>AC63*tonTOMg</f>
    </nc>
    <odxf>
      <font>
        <family val="2"/>
      </font>
      <numFmt numFmtId="181" formatCode="_(* #,##0_);_(* \(#,##0\);_(* &quot;-&quot;??_);_(@_)"/>
      <fill>
        <patternFill>
          <bgColor theme="9"/>
        </patternFill>
      </fill>
      <alignment horizontal="general" vertical="top"/>
    </odxf>
    <ndxf>
      <font>
        <color theme="0"/>
        <family val="2"/>
      </font>
      <numFmt numFmtId="3" formatCode="#,##0"/>
      <fill>
        <patternFill>
          <bgColor rgb="FF002060"/>
        </patternFill>
      </fill>
      <alignment horizontal="right" vertical="bottom"/>
    </ndxf>
  </rcc>
  <rfmt sheetId="20" sqref="AD64" start="0" length="0">
    <dxf>
      <font>
        <color theme="0"/>
        <family val="2"/>
      </font>
      <fill>
        <patternFill>
          <bgColor rgb="FF002060"/>
        </patternFill>
      </fill>
      <alignment vertical="bottom"/>
    </dxf>
  </rfmt>
  <rfmt sheetId="20" sqref="AE64" start="0" length="0">
    <dxf>
      <font>
        <color theme="0"/>
        <family val="2"/>
      </font>
      <fill>
        <patternFill>
          <bgColor rgb="FF002060"/>
        </patternFill>
      </fill>
      <alignment vertical="bottom"/>
    </dxf>
  </rfmt>
  <rfmt sheetId="20" sqref="AF64" start="0" length="0">
    <dxf>
      <font>
        <color theme="0"/>
        <family val="2"/>
      </font>
      <numFmt numFmtId="30" formatCode="@"/>
      <fill>
        <patternFill>
          <bgColor rgb="FF002060"/>
        </patternFill>
      </fill>
      <alignment vertical="bottom"/>
      <border outline="0">
        <right/>
      </border>
    </dxf>
  </rfmt>
  <rfmt sheetId="20" sqref="AG64" start="0" length="0">
    <dxf>
      <font>
        <b val="0"/>
        <sz val="9"/>
        <color auto="1"/>
        <name val="Arial"/>
        <family val="2"/>
        <scheme val="none"/>
      </font>
      <fill>
        <patternFill patternType="none">
          <bgColor indexed="65"/>
        </patternFill>
      </fill>
      <alignment vertical="bottom"/>
    </dxf>
  </rfmt>
  <rfmt sheetId="20" sqref="A64:XFD64" start="0" length="0">
    <dxf>
      <font>
        <b val="0"/>
        <sz val="9"/>
        <color auto="1"/>
        <name val="Arial"/>
        <family val="2"/>
        <scheme val="none"/>
      </font>
      <fill>
        <patternFill patternType="none">
          <bgColor indexed="65"/>
        </patternFill>
      </fill>
      <alignment vertical="bottom"/>
    </dxf>
  </rfmt>
  <rcc rId="2598" sId="20">
    <nc r="A66" t="inlineStr">
      <is>
        <t>Total rail emissions</t>
      </is>
    </nc>
  </rcc>
  <rfmt sheetId="20" sqref="E66">
    <dxf>
      <numFmt numFmtId="0" formatCode="General"/>
    </dxf>
  </rfmt>
  <rcc rId="2599" sId="20" odxf="1" dxf="1">
    <nc r="E66">
      <f>SUM(E64,E41)</f>
    </nc>
    <ndxf>
      <numFmt numFmtId="181" formatCode="_(* #,##0_);_(* \(#,##0\);_(* &quot;-&quot;??_);_(@_)"/>
    </ndxf>
  </rcc>
  <rcc rId="2600" sId="20">
    <nc r="F66" t="inlineStr">
      <is>
        <t>MgCO2e</t>
      </is>
    </nc>
  </rcc>
  <rfmt sheetId="20" sqref="P66" start="0" length="0">
    <dxf>
      <numFmt numFmtId="181" formatCode="_(* #,##0_);_(* \(#,##0\);_(* &quot;-&quot;??_);_(@_)"/>
    </dxf>
  </rfmt>
  <rcc rId="2601" sId="20" odxf="1" dxf="1">
    <nc r="Q66" t="inlineStr">
      <is>
        <t>MgCO2e</t>
      </is>
    </nc>
    <odxf/>
    <ndxf/>
  </rcc>
  <rfmt sheetId="20" sqref="V66" start="0" length="0">
    <dxf>
      <numFmt numFmtId="181" formatCode="_(* #,##0_);_(* \(#,##0\);_(* &quot;-&quot;??_);_(@_)"/>
    </dxf>
  </rfmt>
  <rcc rId="2602" sId="20" odxf="1" dxf="1">
    <nc r="W66" t="inlineStr">
      <is>
        <t>MgCO2e</t>
      </is>
    </nc>
    <odxf>
      <numFmt numFmtId="0" formatCode="General"/>
    </odxf>
    <ndxf>
      <numFmt numFmtId="30" formatCode="@"/>
    </ndxf>
  </rcc>
  <rcc rId="2603" sId="20" odxf="1" dxf="1">
    <oc r="P64">
      <f>P63*tonTOMg</f>
    </oc>
    <nc r="P64">
      <f>P63*tonTOMg</f>
    </nc>
    <ndxf>
      <numFmt numFmtId="3" formatCode="#,##0"/>
      <alignment horizontal="right"/>
    </ndxf>
  </rcc>
  <rm rId="2604" sheetId="20" source="E45:F62" destination="H45:I62" sourceSheetId="20">
    <rfmt sheetId="20" sqref="H45" start="0" length="0">
      <dxf>
        <font>
          <b/>
          <sz val="9"/>
          <color auto="1"/>
          <name val="Arial"/>
          <family val="2"/>
          <scheme val="none"/>
        </font>
        <numFmt numFmtId="30" formatCode="@"/>
        <alignment horizontal="left" vertical="bottom"/>
      </dxf>
    </rfmt>
    <rfmt sheetId="20" sqref="I45" start="0" length="0">
      <dxf>
        <font>
          <b/>
          <sz val="9"/>
          <color auto="1"/>
          <name val="Arial"/>
          <family val="2"/>
          <scheme val="none"/>
        </font>
        <numFmt numFmtId="30" formatCode="@"/>
        <alignment horizontal="left" vertical="bottom"/>
      </dxf>
    </rfmt>
    <rfmt sheetId="20" sqref="H46" start="0" length="0">
      <dxf>
        <font>
          <b/>
          <sz val="9"/>
          <color auto="1"/>
          <name val="Arial"/>
          <family val="2"/>
          <scheme val="none"/>
        </font>
        <numFmt numFmtId="30" formatCode="@"/>
        <alignment horizontal="left" vertical="bottom"/>
      </dxf>
    </rfmt>
    <rfmt sheetId="20" sqref="I46" start="0" length="0">
      <dxf>
        <font>
          <b/>
          <sz val="9"/>
          <color auto="1"/>
          <name val="Arial"/>
          <family val="2"/>
          <scheme val="none"/>
        </font>
        <numFmt numFmtId="30" formatCode="@"/>
        <alignment horizontal="left" vertical="bottom"/>
      </dxf>
    </rfmt>
    <rfmt sheetId="20" sqref="H47" start="0" length="0">
      <dxf>
        <font>
          <b/>
          <sz val="9"/>
          <color auto="1"/>
          <name val="Arial"/>
          <family val="2"/>
          <scheme val="none"/>
        </font>
        <numFmt numFmtId="30" formatCode="@"/>
        <alignment horizontal="left" vertical="bottom"/>
      </dxf>
    </rfmt>
    <rfmt sheetId="20" sqref="I47" start="0" length="0">
      <dxf>
        <font>
          <b/>
          <sz val="9"/>
          <color auto="1"/>
          <name val="Arial"/>
          <family val="2"/>
          <scheme val="none"/>
        </font>
        <numFmt numFmtId="30" formatCode="@"/>
        <alignment horizontal="left" vertical="bottom"/>
      </dxf>
    </rfmt>
    <rfmt sheetId="20" sqref="H48" start="0" length="0">
      <dxf>
        <font>
          <sz val="9"/>
          <color auto="1"/>
          <name val="Arial"/>
          <family val="2"/>
          <scheme val="none"/>
        </font>
        <numFmt numFmtId="30" formatCode="@"/>
        <alignment horizontal="left" vertical="bottom"/>
      </dxf>
    </rfmt>
    <rfmt sheetId="20" sqref="I48" start="0" length="0">
      <dxf>
        <font>
          <sz val="9"/>
          <color auto="1"/>
          <name val="Arial"/>
          <family val="2"/>
          <scheme val="none"/>
        </font>
        <numFmt numFmtId="30" formatCode="@"/>
        <alignment horizontal="left" vertical="bottom"/>
      </dxf>
    </rfmt>
    <rfmt sheetId="20" sqref="H49" start="0" length="0">
      <dxf>
        <font>
          <sz val="9"/>
          <color auto="1"/>
          <name val="Arial"/>
          <family val="2"/>
          <scheme val="none"/>
        </font>
        <numFmt numFmtId="30" formatCode="@"/>
        <alignment horizontal="left" vertical="bottom"/>
      </dxf>
    </rfmt>
    <rfmt sheetId="20" sqref="I49" start="0" length="0">
      <dxf>
        <font>
          <sz val="9"/>
          <color auto="1"/>
          <name val="Arial"/>
          <family val="2"/>
          <scheme val="none"/>
        </font>
        <numFmt numFmtId="30" formatCode="@"/>
        <alignment horizontal="left" vertical="bottom"/>
      </dxf>
    </rfmt>
    <rfmt sheetId="20" sqref="H50" start="0" length="0">
      <dxf>
        <font>
          <sz val="9"/>
          <color auto="1"/>
          <name val="Arial"/>
          <family val="2"/>
          <scheme val="none"/>
        </font>
        <numFmt numFmtId="30" formatCode="@"/>
        <alignment horizontal="left" vertical="bottom"/>
      </dxf>
    </rfmt>
    <rfmt sheetId="20" sqref="I50" start="0" length="0">
      <dxf>
        <font>
          <sz val="9"/>
          <color auto="1"/>
          <name val="Arial"/>
          <family val="2"/>
          <scheme val="none"/>
        </font>
        <numFmt numFmtId="30" formatCode="@"/>
        <alignment horizontal="left" vertical="bottom"/>
      </dxf>
    </rfmt>
    <rfmt sheetId="20" sqref="H51" start="0" length="0">
      <dxf>
        <font>
          <b/>
          <sz val="9"/>
          <color auto="1"/>
          <name val="Arial"/>
          <family val="2"/>
          <scheme val="none"/>
        </font>
        <numFmt numFmtId="30" formatCode="@"/>
        <alignment horizontal="left" vertical="bottom"/>
      </dxf>
    </rfmt>
    <rfmt sheetId="20" sqref="I51" start="0" length="0">
      <dxf>
        <font>
          <b/>
          <sz val="9"/>
          <color auto="1"/>
          <name val="Arial"/>
          <family val="2"/>
          <scheme val="none"/>
        </font>
        <numFmt numFmtId="30" formatCode="@"/>
        <alignment horizontal="left" vertical="bottom"/>
      </dxf>
    </rfmt>
    <rfmt sheetId="20" sqref="H52" start="0" length="0">
      <dxf>
        <font>
          <b/>
          <sz val="9"/>
          <color auto="1"/>
          <name val="Arial"/>
          <family val="2"/>
          <scheme val="none"/>
        </font>
        <numFmt numFmtId="30" formatCode="@"/>
        <alignment horizontal="left" vertical="bottom"/>
      </dxf>
    </rfmt>
    <rfmt sheetId="20" sqref="I52" start="0" length="0">
      <dxf>
        <font>
          <b/>
          <sz val="9"/>
          <color auto="1"/>
          <name val="Arial"/>
          <family val="2"/>
          <scheme val="none"/>
        </font>
        <numFmt numFmtId="30" formatCode="@"/>
        <alignment horizontal="left" vertical="bottom"/>
      </dxf>
    </rfmt>
    <rfmt sheetId="20" sqref="H53" start="0" length="0">
      <dxf>
        <font>
          <b/>
          <sz val="9"/>
          <color auto="1"/>
          <name val="Arial"/>
          <family val="2"/>
          <scheme val="none"/>
        </font>
        <numFmt numFmtId="30" formatCode="@"/>
        <alignment horizontal="left" vertical="bottom"/>
      </dxf>
    </rfmt>
    <rfmt sheetId="20" sqref="I53" start="0" length="0">
      <dxf>
        <font>
          <b/>
          <sz val="9"/>
          <color auto="1"/>
          <name val="Arial"/>
          <family val="2"/>
          <scheme val="none"/>
        </font>
        <numFmt numFmtId="30" formatCode="@"/>
        <alignment horizontal="left" vertical="bottom"/>
      </dxf>
    </rfmt>
    <rfmt sheetId="20" sqref="H54" start="0" length="0">
      <dxf>
        <font>
          <b/>
          <sz val="9"/>
          <color auto="1"/>
          <name val="Arial"/>
          <family val="2"/>
          <scheme val="none"/>
        </font>
        <numFmt numFmtId="30" formatCode="@"/>
        <alignment horizontal="left" vertical="bottom"/>
      </dxf>
    </rfmt>
    <rfmt sheetId="20" sqref="I54" start="0" length="0">
      <dxf>
        <font>
          <b/>
          <sz val="9"/>
          <color auto="1"/>
          <name val="Arial"/>
          <family val="2"/>
          <scheme val="none"/>
        </font>
        <numFmt numFmtId="30" formatCode="@"/>
        <alignment horizontal="left" vertical="bottom"/>
      </dxf>
    </rfmt>
    <rfmt sheetId="20" sqref="H55" start="0" length="0">
      <dxf>
        <font>
          <b/>
          <sz val="9"/>
          <color auto="1"/>
          <name val="Arial"/>
          <family val="2"/>
          <scheme val="none"/>
        </font>
        <numFmt numFmtId="30" formatCode="@"/>
        <alignment horizontal="left" vertical="bottom"/>
      </dxf>
    </rfmt>
    <rfmt sheetId="20" sqref="I55" start="0" length="0">
      <dxf>
        <font>
          <b/>
          <sz val="9"/>
          <color auto="1"/>
          <name val="Arial"/>
          <family val="2"/>
          <scheme val="none"/>
        </font>
        <numFmt numFmtId="30" formatCode="@"/>
        <alignment horizontal="left" vertical="bottom"/>
      </dxf>
    </rfmt>
    <rfmt sheetId="20" sqref="H56" start="0" length="0">
      <dxf>
        <font>
          <sz val="9"/>
          <color auto="1"/>
          <name val="Arial"/>
          <family val="2"/>
          <scheme val="none"/>
        </font>
        <numFmt numFmtId="30" formatCode="@"/>
        <alignment horizontal="left" vertical="bottom"/>
      </dxf>
    </rfmt>
    <rfmt sheetId="20" sqref="I56" start="0" length="0">
      <dxf>
        <font>
          <sz val="9"/>
          <color auto="1"/>
          <name val="Arial"/>
          <family val="2"/>
          <scheme val="none"/>
        </font>
        <numFmt numFmtId="30" formatCode="@"/>
        <alignment horizontal="left" vertical="bottom"/>
      </dxf>
    </rfmt>
    <rfmt sheetId="20" sqref="H57" start="0" length="0">
      <dxf>
        <font>
          <sz val="9"/>
          <color auto="1"/>
          <name val="Arial"/>
          <family val="2"/>
          <scheme val="none"/>
        </font>
        <numFmt numFmtId="30" formatCode="@"/>
        <alignment horizontal="left" vertical="bottom"/>
      </dxf>
    </rfmt>
    <rfmt sheetId="20" sqref="I57" start="0" length="0">
      <dxf>
        <font>
          <sz val="9"/>
          <color auto="1"/>
          <name val="Arial"/>
          <family val="2"/>
          <scheme val="none"/>
        </font>
        <numFmt numFmtId="30" formatCode="@"/>
        <alignment horizontal="left" vertical="bottom"/>
      </dxf>
    </rfmt>
    <rfmt sheetId="20" sqref="H58" start="0" length="0">
      <dxf>
        <font>
          <sz val="9"/>
          <color auto="1"/>
          <name val="Arial"/>
          <family val="2"/>
          <scheme val="none"/>
        </font>
        <numFmt numFmtId="30" formatCode="@"/>
        <alignment horizontal="left" vertical="bottom"/>
      </dxf>
    </rfmt>
    <rfmt sheetId="20" sqref="I58" start="0" length="0">
      <dxf>
        <font>
          <sz val="9"/>
          <color auto="1"/>
          <name val="Arial"/>
          <family val="2"/>
          <scheme val="none"/>
        </font>
        <numFmt numFmtId="30" formatCode="@"/>
        <alignment horizontal="left" vertical="bottom"/>
      </dxf>
    </rfmt>
    <rfmt sheetId="20" sqref="H59" start="0" length="0">
      <dxf>
        <font>
          <sz val="9"/>
          <color auto="1"/>
          <name val="Arial"/>
          <family val="2"/>
          <scheme val="none"/>
        </font>
        <numFmt numFmtId="30" formatCode="@"/>
        <alignment horizontal="left" vertical="bottom"/>
      </dxf>
    </rfmt>
    <rfmt sheetId="20" sqref="I59" start="0" length="0">
      <dxf>
        <font>
          <sz val="9"/>
          <color auto="1"/>
          <name val="Arial"/>
          <family val="2"/>
          <scheme val="none"/>
        </font>
        <numFmt numFmtId="30" formatCode="@"/>
        <alignment horizontal="left" vertical="bottom"/>
      </dxf>
    </rfmt>
    <rfmt sheetId="20" sqref="H60" start="0" length="0">
      <dxf>
        <font>
          <sz val="9"/>
          <color auto="1"/>
          <name val="Arial"/>
          <family val="2"/>
          <scheme val="none"/>
        </font>
        <numFmt numFmtId="30" formatCode="@"/>
        <alignment horizontal="left" vertical="bottom"/>
      </dxf>
    </rfmt>
    <rfmt sheetId="20" sqref="I60" start="0" length="0">
      <dxf>
        <font>
          <sz val="9"/>
          <color auto="1"/>
          <name val="Arial"/>
          <family val="2"/>
          <scheme val="none"/>
        </font>
        <numFmt numFmtId="30" formatCode="@"/>
        <alignment horizontal="left" vertical="bottom"/>
      </dxf>
    </rfmt>
    <rfmt sheetId="20" sqref="H61" start="0" length="0">
      <dxf>
        <font>
          <sz val="9"/>
          <color auto="1"/>
          <name val="Arial"/>
          <family val="2"/>
          <scheme val="none"/>
        </font>
        <numFmt numFmtId="30" formatCode="@"/>
        <alignment horizontal="left"/>
      </dxf>
    </rfmt>
    <rfmt sheetId="20" sqref="I61" start="0" length="0">
      <dxf>
        <font>
          <sz val="9"/>
          <color auto="1"/>
          <name val="Arial"/>
          <family val="2"/>
          <scheme val="none"/>
        </font>
        <numFmt numFmtId="30" formatCode="@"/>
        <alignment horizontal="left"/>
      </dxf>
    </rfmt>
    <rfmt sheetId="20" sqref="H62" start="0" length="0">
      <dxf>
        <numFmt numFmtId="30" formatCode="@"/>
      </dxf>
    </rfmt>
    <rfmt sheetId="20" sqref="I62" start="0" length="0">
      <dxf>
        <numFmt numFmtId="30" formatCode="@"/>
      </dxf>
    </rfmt>
  </rm>
  <rm rId="2605" sheetId="20" source="E63:F64" destination="H63:I64" sourceSheetId="20">
    <rfmt sheetId="20" sqref="H63" start="0" length="0">
      <dxf>
        <font>
          <b/>
          <sz val="9"/>
          <color auto="1"/>
          <name val="Arial"/>
          <family val="2"/>
          <scheme val="none"/>
        </font>
        <numFmt numFmtId="30" formatCode="@"/>
      </dxf>
    </rfmt>
    <rfmt sheetId="20" sqref="I63" start="0" length="0">
      <dxf>
        <font>
          <b/>
          <sz val="9"/>
          <color auto="1"/>
          <name val="Arial"/>
          <family val="2"/>
          <scheme val="none"/>
        </font>
        <numFmt numFmtId="30" formatCode="@"/>
      </dxf>
    </rfmt>
    <rfmt sheetId="20" sqref="H64" start="0" length="0">
      <dxf>
        <font>
          <b/>
          <sz val="9"/>
          <color theme="0"/>
          <name val="Arial"/>
          <family val="2"/>
          <scheme val="none"/>
        </font>
        <numFmt numFmtId="30" formatCode="@"/>
        <fill>
          <patternFill patternType="solid">
            <bgColor rgb="FF002060"/>
          </patternFill>
        </fill>
        <alignment vertical="bottom"/>
      </dxf>
    </rfmt>
    <rfmt sheetId="20" sqref="I64" start="0" length="0">
      <dxf>
        <font>
          <b/>
          <sz val="9"/>
          <color theme="0"/>
          <name val="Arial"/>
          <family val="2"/>
          <scheme val="none"/>
        </font>
        <numFmt numFmtId="30" formatCode="@"/>
        <fill>
          <patternFill patternType="solid">
            <bgColor rgb="FF002060"/>
          </patternFill>
        </fill>
        <alignment vertical="bottom"/>
      </dxf>
    </rfmt>
  </rm>
  <rfmt sheetId="20" sqref="E64" start="0" length="0">
    <dxf>
      <font>
        <b/>
        <sz val="9"/>
        <color theme="0"/>
        <name val="Arial"/>
        <family val="2"/>
        <scheme val="none"/>
      </font>
      <numFmt numFmtId="30" formatCode="@"/>
      <fill>
        <patternFill patternType="solid">
          <bgColor rgb="FF002060"/>
        </patternFill>
      </fill>
    </dxf>
  </rfmt>
  <rfmt sheetId="20" sqref="F64" start="0" length="0">
    <dxf>
      <font>
        <b/>
        <sz val="9"/>
        <color theme="0"/>
        <name val="Arial"/>
        <family val="2"/>
        <scheme val="none"/>
      </font>
      <numFmt numFmtId="30" formatCode="@"/>
      <fill>
        <patternFill patternType="solid">
          <bgColor rgb="FF002060"/>
        </patternFill>
      </fill>
    </dxf>
  </rfmt>
  <rm rId="2606" sheetId="20" source="E66:F66" destination="H66:I66" sourceSheetId="20">
    <rfmt sheetId="20" sqref="H66" start="0" length="0">
      <dxf>
        <numFmt numFmtId="30" formatCode="@"/>
      </dxf>
    </rfmt>
    <rfmt sheetId="20" sqref="I66" start="0" length="0">
      <dxf>
        <numFmt numFmtId="30" formatCode="@"/>
      </dxf>
    </rfmt>
  </rm>
  <rm rId="2607" sheetId="20" source="P45:R63" destination="O45:Q63" sourceSheetId="20">
    <rfmt sheetId="20" sqref="O45" start="0" length="0">
      <dxf>
        <font>
          <b/>
          <sz val="9"/>
          <color auto="1"/>
          <name val="Arial"/>
          <family val="2"/>
          <scheme val="none"/>
        </font>
        <numFmt numFmtId="30" formatCode="@"/>
        <alignment vertical="bottom"/>
      </dxf>
    </rfmt>
    <rfmt sheetId="20" sqref="O46" start="0" length="0">
      <dxf>
        <font>
          <b/>
          <sz val="9"/>
          <color auto="1"/>
          <name val="Arial"/>
          <family val="2"/>
          <scheme val="none"/>
        </font>
        <numFmt numFmtId="30" formatCode="@"/>
        <alignment vertical="bottom"/>
      </dxf>
    </rfmt>
    <rfmt sheetId="20" sqref="O47" start="0" length="0">
      <dxf>
        <font>
          <b/>
          <sz val="9"/>
          <color auto="1"/>
          <name val="Arial"/>
          <family val="2"/>
          <scheme val="none"/>
        </font>
        <numFmt numFmtId="30" formatCode="@"/>
        <alignment vertical="bottom"/>
      </dxf>
    </rfmt>
    <rfmt sheetId="20" sqref="O48" start="0" length="0">
      <dxf>
        <font>
          <sz val="9"/>
          <color auto="1"/>
          <name val="Arial"/>
          <family val="2"/>
          <scheme val="none"/>
        </font>
        <numFmt numFmtId="30" formatCode="@"/>
        <alignment vertical="bottom"/>
      </dxf>
    </rfmt>
    <rfmt sheetId="20" sqref="O49" start="0" length="0">
      <dxf>
        <font>
          <sz val="9"/>
          <color auto="1"/>
          <name val="Arial"/>
          <family val="2"/>
          <scheme val="none"/>
        </font>
        <numFmt numFmtId="30" formatCode="@"/>
        <alignment vertical="bottom"/>
      </dxf>
    </rfmt>
    <rfmt sheetId="20" sqref="O50" start="0" length="0">
      <dxf>
        <font>
          <sz val="9"/>
          <color auto="1"/>
          <name val="Arial"/>
          <family val="2"/>
          <scheme val="none"/>
        </font>
        <numFmt numFmtId="30" formatCode="@"/>
        <alignment vertical="bottom"/>
      </dxf>
    </rfmt>
    <rfmt sheetId="20" sqref="O51" start="0" length="0">
      <dxf>
        <font>
          <b/>
          <sz val="9"/>
          <color auto="1"/>
          <name val="Arial"/>
          <family val="2"/>
          <scheme val="none"/>
        </font>
        <numFmt numFmtId="30" formatCode="@"/>
        <alignment vertical="bottom"/>
      </dxf>
    </rfmt>
    <rfmt sheetId="20" sqref="O52" start="0" length="0">
      <dxf>
        <font>
          <b/>
          <sz val="9"/>
          <color auto="1"/>
          <name val="Arial"/>
          <family val="2"/>
          <scheme val="none"/>
        </font>
        <numFmt numFmtId="30" formatCode="@"/>
        <alignment vertical="bottom"/>
      </dxf>
    </rfmt>
    <rfmt sheetId="20" sqref="O53" start="0" length="0">
      <dxf>
        <font>
          <b/>
          <sz val="9"/>
          <color auto="1"/>
          <name val="Arial"/>
          <family val="2"/>
          <scheme val="none"/>
        </font>
        <numFmt numFmtId="30" formatCode="@"/>
        <alignment vertical="bottom"/>
      </dxf>
    </rfmt>
    <rfmt sheetId="20" sqref="O54" start="0" length="0">
      <dxf>
        <font>
          <b/>
          <sz val="9"/>
          <color auto="1"/>
          <name val="Arial"/>
          <family val="2"/>
          <scheme val="none"/>
        </font>
        <numFmt numFmtId="30" formatCode="@"/>
        <alignment vertical="bottom"/>
      </dxf>
    </rfmt>
    <rfmt sheetId="20" sqref="O55" start="0" length="0">
      <dxf>
        <font>
          <b/>
          <sz val="9"/>
          <color auto="1"/>
          <name val="Arial"/>
          <family val="2"/>
          <scheme val="none"/>
        </font>
        <numFmt numFmtId="30" formatCode="@"/>
        <alignment vertical="bottom"/>
      </dxf>
    </rfmt>
    <rfmt sheetId="20" sqref="O56" start="0" length="0">
      <dxf>
        <font>
          <sz val="9"/>
          <color auto="1"/>
          <name val="Arial"/>
          <family val="2"/>
          <scheme val="none"/>
        </font>
        <numFmt numFmtId="30" formatCode="@"/>
        <alignment vertical="bottom"/>
      </dxf>
    </rfmt>
    <rfmt sheetId="20" sqref="O57" start="0" length="0">
      <dxf>
        <font>
          <sz val="9"/>
          <color auto="1"/>
          <name val="Arial"/>
          <family val="2"/>
          <scheme val="none"/>
        </font>
        <numFmt numFmtId="30" formatCode="@"/>
        <alignment vertical="bottom"/>
      </dxf>
    </rfmt>
    <rfmt sheetId="20" sqref="O58" start="0" length="0">
      <dxf>
        <font>
          <sz val="9"/>
          <color auto="1"/>
          <name val="Arial"/>
          <family val="2"/>
          <scheme val="none"/>
        </font>
        <numFmt numFmtId="30" formatCode="@"/>
        <alignment vertical="bottom"/>
      </dxf>
    </rfmt>
    <rfmt sheetId="20" sqref="O59" start="0" length="0">
      <dxf>
        <font>
          <sz val="9"/>
          <color auto="1"/>
          <name val="Arial"/>
          <family val="2"/>
          <scheme val="none"/>
        </font>
        <numFmt numFmtId="30" formatCode="@"/>
        <alignment vertical="bottom"/>
      </dxf>
    </rfmt>
    <rfmt sheetId="20" sqref="O60" start="0" length="0">
      <dxf>
        <font>
          <sz val="9"/>
          <color auto="1"/>
          <name val="Arial"/>
          <family val="2"/>
          <scheme val="none"/>
        </font>
        <numFmt numFmtId="30" formatCode="@"/>
        <alignment vertical="bottom"/>
      </dxf>
    </rfmt>
    <rfmt sheetId="20" sqref="O61" start="0" length="0">
      <dxf>
        <font>
          <sz val="9"/>
          <color auto="1"/>
          <name val="Arial"/>
          <family val="2"/>
          <scheme val="none"/>
        </font>
        <numFmt numFmtId="30" formatCode="@"/>
      </dxf>
    </rfmt>
    <rfmt sheetId="20" sqref="O62" start="0" length="0">
      <dxf>
        <numFmt numFmtId="30" formatCode="@"/>
      </dxf>
    </rfmt>
    <rfmt sheetId="20" sqref="O63" start="0" length="0">
      <dxf>
        <font>
          <b/>
          <sz val="9"/>
          <color auto="1"/>
          <name val="Arial"/>
          <family val="2"/>
          <scheme val="none"/>
        </font>
        <numFmt numFmtId="30" formatCode="@"/>
      </dxf>
    </rfmt>
  </rm>
  <rm rId="2608" sheetId="20" source="P64:Q64" destination="O64:P64" sourceSheetId="20">
    <rfmt sheetId="20" sqref="O64" start="0" length="0">
      <dxf>
        <font>
          <b/>
          <sz val="9"/>
          <color theme="0"/>
          <name val="Arial"/>
          <family val="2"/>
          <scheme val="none"/>
        </font>
        <numFmt numFmtId="30" formatCode="@"/>
        <fill>
          <patternFill patternType="solid">
            <bgColor rgb="FF002060"/>
          </patternFill>
        </fill>
        <alignment vertical="bottom"/>
      </dxf>
    </rfmt>
  </rm>
  <rm rId="2609" sheetId="20" source="P66:Q66" destination="O66:P66" sourceSheetId="20">
    <rfmt sheetId="20" sqref="O66" start="0" length="0">
      <dxf>
        <numFmt numFmtId="30" formatCode="@"/>
      </dxf>
    </rfmt>
  </rm>
  <rfmt sheetId="20" sqref="Q64" start="0" length="0">
    <dxf>
      <font>
        <b/>
        <sz val="9"/>
        <color theme="0"/>
        <name val="Arial"/>
        <family val="2"/>
        <scheme val="none"/>
      </font>
      <numFmt numFmtId="30" formatCode="@"/>
      <fill>
        <patternFill patternType="solid">
          <bgColor rgb="FF002060"/>
        </patternFill>
      </fill>
    </dxf>
  </rfmt>
  <rcc rId="2610" sId="20">
    <nc r="O66">
      <f>SUM(O64,L41)</f>
    </nc>
  </rcc>
  <rcc rId="2611" sId="20">
    <nc r="V66">
      <f>SUM(V64,S41)</f>
    </nc>
  </rcc>
  <rfmt sheetId="20" sqref="A66:XFD66">
    <dxf>
      <fill>
        <patternFill patternType="solid">
          <bgColor theme="9"/>
        </patternFill>
      </fill>
    </dxf>
  </rfmt>
  <rfmt sheetId="20" sqref="A66:XFD66" start="0" length="2147483647">
    <dxf>
      <font>
        <b/>
        <family val="2"/>
      </font>
    </dxf>
  </rfmt>
  <rcc rId="2612" sId="7">
    <oc r="B29">
      <f>'Trans-Rail'!E41</f>
    </oc>
    <nc r="B29">
      <f>'Trans-Rail'!H66</f>
    </nc>
  </rcc>
  <rcc rId="2613" sId="7">
    <oc r="C29">
      <f>'Trans-Rail'!L41</f>
    </oc>
    <nc r="C29">
      <f>'Trans-Rail'!O66</f>
    </nc>
  </rcc>
  <rcc rId="2614" sId="7">
    <nc r="D29">
      <f>'Trans-Rail'!V66</f>
    </nc>
  </rcc>
  <rcc rId="2615" sId="7">
    <oc r="Q29">
      <f>ROUND(D29,$B$2)</f>
    </oc>
    <nc r="Q29">
      <f>ROUND(D29,$B$2)</f>
    </nc>
  </rcc>
  <rfmt sheetId="7" sqref="Q29" start="0" length="2147483647">
    <dxf>
      <font>
        <color theme="0"/>
        <family val="2"/>
      </font>
    </dxf>
  </rfmt>
  <rcc rId="2616" sId="20" odxf="1" dxf="1">
    <nc r="AC66">
      <f>SUM(AC64,Z41)</f>
    </nc>
    <odxf>
      <numFmt numFmtId="3" formatCode="#,##0"/>
      <alignment horizontal="right"/>
    </odxf>
    <ndxf>
      <numFmt numFmtId="181" formatCode="_(* #,##0_);_(* \(#,##0\);_(* &quot;-&quot;??_);_(@_)"/>
      <alignment horizontal="general"/>
    </ndxf>
  </rcc>
  <rcc rId="2617" sId="20" odxf="1" dxf="1">
    <nc r="AD66" t="inlineStr">
      <is>
        <t>MgCO2e</t>
      </is>
    </nc>
    <odxf/>
    <ndxf/>
  </rcc>
  <rcc rId="2618" sId="7">
    <oc r="E29">
      <f>'Trans-Rail'!Z41</f>
    </oc>
    <nc r="E29">
      <f>'Trans-Rail'!AC66</f>
    </nc>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4" sId="7">
    <oc r="R29">
      <f>ROUND(E29,$B$2)</f>
    </oc>
    <nc r="R29">
      <f>ROUND(E29,$B$2)</f>
    </nc>
  </rcc>
  <rfmt sheetId="7" sqref="B49" start="0" length="0">
    <dxf>
      <fill>
        <patternFill patternType="solid">
          <bgColor theme="6" tint="0.79998168889431442"/>
        </patternFill>
      </fill>
    </dxf>
  </rfmt>
  <rfmt sheetId="7" s="1" sqref="C49" start="0" length="0">
    <dxf>
      <numFmt numFmtId="181" formatCode="_(* #,##0_);_(* \(#,##0\);_(* &quot;-&quot;??_);_(@_)"/>
      <fill>
        <patternFill patternType="solid">
          <bgColor theme="6" tint="0.79998168889431442"/>
        </patternFill>
      </fill>
    </dxf>
  </rfmt>
  <rfmt sheetId="7" s="1" sqref="D49" start="0" length="0">
    <dxf>
      <numFmt numFmtId="181" formatCode="_(* #,##0_);_(* \(#,##0\);_(* &quot;-&quot;??_);_(@_)"/>
      <fill>
        <patternFill patternType="solid">
          <bgColor theme="6" tint="0.79998168889431442"/>
        </patternFill>
      </fill>
    </dxf>
  </rfmt>
  <rfmt sheetId="7" s="1" sqref="E49" start="0" length="0">
    <dxf>
      <numFmt numFmtId="181" formatCode="_(* #,##0_);_(* \(#,##0\);_(* &quot;-&quot;??_);_(@_)"/>
      <fill>
        <patternFill patternType="solid">
          <bgColor theme="6" tint="0.79998168889431442"/>
        </patternFill>
      </fill>
    </dxf>
  </rfmt>
  <rfmt sheetId="7" sqref="J49" start="0" length="0">
    <dxf>
      <fill>
        <patternFill patternType="solid">
          <bgColor theme="6" tint="0.79998168889431442"/>
        </patternFill>
      </fill>
    </dxf>
  </rfmt>
  <rfmt sheetId="7" sqref="L49" start="0" length="0">
    <dxf>
      <font>
        <color theme="0"/>
        <name val="Calibri"/>
        <family val="2"/>
        <scheme val="minor"/>
      </font>
      <fill>
        <patternFill patternType="solid">
          <bgColor theme="1"/>
        </patternFill>
      </fill>
      <alignment horizontal="left" vertical="bottom" indent="1"/>
      <border outline="0">
        <right/>
        <bottom style="thick">
          <color theme="0"/>
        </bottom>
      </border>
    </dxf>
  </rfmt>
  <rfmt sheetId="7" sqref="M49" start="0" length="0">
    <dxf>
      <font>
        <b val="0"/>
        <color theme="0"/>
        <name val="Calibri"/>
        <family val="2"/>
        <scheme val="minor"/>
      </font>
      <fill>
        <patternFill patternType="solid">
          <bgColor theme="1"/>
        </patternFill>
      </fill>
      <alignment vertical="bottom"/>
      <border outline="0">
        <left/>
        <right/>
        <bottom style="thick">
          <color theme="0"/>
        </bottom>
      </border>
    </dxf>
  </rfmt>
  <rfmt sheetId="7" sqref="N49" start="0" length="0">
    <dxf>
      <font>
        <b val="0"/>
        <color theme="0"/>
        <name val="Calibri"/>
        <family val="2"/>
        <scheme val="minor"/>
      </font>
      <fill>
        <patternFill patternType="solid">
          <bgColor theme="1"/>
        </patternFill>
      </fill>
      <alignment horizontal="general" vertical="bottom" indent="0"/>
      <border outline="0">
        <left/>
        <right/>
        <bottom style="thick">
          <color theme="0"/>
        </bottom>
      </border>
    </dxf>
  </rfmt>
  <rfmt sheetId="7" sqref="O49" start="0" length="0">
    <dxf>
      <font>
        <b val="0"/>
        <sz val="9"/>
        <color theme="0"/>
        <name val="Calibri"/>
        <family val="2"/>
        <scheme val="minor"/>
      </font>
      <fill>
        <patternFill patternType="solid">
          <bgColor theme="1"/>
        </patternFill>
      </fill>
      <border outline="0">
        <left/>
        <right/>
        <bottom style="thick">
          <color theme="0"/>
        </bottom>
      </border>
    </dxf>
  </rfmt>
  <rfmt sheetId="7" sqref="P49" start="0" length="0">
    <dxf>
      <font>
        <b val="0"/>
        <sz val="9"/>
        <color theme="0"/>
        <name val="Calibri"/>
        <family val="2"/>
        <scheme val="minor"/>
      </font>
      <fill>
        <patternFill patternType="solid">
          <bgColor theme="1"/>
        </patternFill>
      </fill>
      <border outline="0">
        <left/>
        <right/>
        <bottom style="thick">
          <color theme="0"/>
        </bottom>
      </border>
    </dxf>
  </rfmt>
  <rfmt sheetId="7" sqref="Q49" start="0" length="0">
    <dxf>
      <font>
        <b val="0"/>
        <sz val="9"/>
        <color theme="0"/>
        <name val="Calibri"/>
        <family val="2"/>
        <scheme val="minor"/>
      </font>
      <fill>
        <patternFill patternType="solid">
          <bgColor theme="1"/>
        </patternFill>
      </fill>
      <border outline="0">
        <left/>
        <right/>
        <bottom style="thick">
          <color theme="0"/>
        </bottom>
      </border>
    </dxf>
  </rfmt>
  <rfmt sheetId="7" sqref="R49" start="0" length="0">
    <dxf>
      <font>
        <b val="0"/>
        <sz val="9"/>
        <color theme="0"/>
        <name val="Calibri"/>
        <family val="2"/>
        <scheme val="minor"/>
      </font>
      <fill>
        <patternFill patternType="solid">
          <bgColor theme="1"/>
        </patternFill>
      </fill>
      <border outline="0">
        <left/>
        <bottom style="thick">
          <color theme="0"/>
        </bottom>
      </border>
    </dxf>
  </rfmt>
  <rfmt sheetId="7" sqref="T49" start="0" length="0">
    <dxf>
      <font>
        <color theme="0"/>
        <name val="Calibri"/>
        <family val="2"/>
        <scheme val="minor"/>
      </font>
      <fill>
        <patternFill patternType="solid">
          <bgColor theme="1"/>
        </patternFill>
      </fill>
      <alignment horizontal="left" vertical="bottom" indent="1"/>
      <border outline="0">
        <right/>
        <bottom style="thick">
          <color theme="0"/>
        </bottom>
      </border>
    </dxf>
  </rfmt>
  <rfmt sheetId="7" sqref="U49" start="0" length="0">
    <dxf>
      <font>
        <b val="0"/>
        <color theme="0"/>
        <name val="Calibri"/>
        <family val="2"/>
        <scheme val="minor"/>
      </font>
      <fill>
        <patternFill patternType="solid">
          <bgColor theme="1"/>
        </patternFill>
      </fill>
      <alignment vertical="bottom"/>
      <border outline="0">
        <left/>
        <right/>
        <bottom style="thick">
          <color theme="0"/>
        </bottom>
      </border>
    </dxf>
  </rfmt>
  <rfmt sheetId="7" sqref="V49" start="0" length="0">
    <dxf>
      <font>
        <b val="0"/>
        <color theme="0"/>
        <name val="Calibri"/>
        <family val="2"/>
        <scheme val="minor"/>
      </font>
      <fill>
        <patternFill patternType="solid">
          <bgColor theme="1"/>
        </patternFill>
      </fill>
      <alignment vertical="bottom"/>
      <border outline="0">
        <left/>
        <right/>
        <bottom style="thick">
          <color theme="0"/>
        </bottom>
      </border>
    </dxf>
  </rfmt>
  <rfmt sheetId="7" sqref="W49" start="0" length="0">
    <dxf>
      <font>
        <b val="0"/>
        <sz val="9"/>
        <color theme="0"/>
        <name val="Calibri"/>
        <family val="2"/>
        <scheme val="minor"/>
      </font>
      <fill>
        <patternFill patternType="solid">
          <bgColor theme="1"/>
        </patternFill>
      </fill>
      <border outline="0">
        <left/>
        <right/>
        <bottom style="thick">
          <color theme="0"/>
        </bottom>
      </border>
    </dxf>
  </rfmt>
  <rfmt sheetId="7" sqref="X49" start="0" length="0">
    <dxf>
      <font>
        <b val="0"/>
        <sz val="9"/>
        <color theme="0"/>
        <name val="Calibri"/>
        <family val="2"/>
        <scheme val="minor"/>
      </font>
      <fill>
        <patternFill patternType="solid">
          <bgColor theme="1"/>
        </patternFill>
      </fill>
      <border outline="0">
        <left/>
        <right/>
        <bottom style="thick">
          <color theme="0"/>
        </bottom>
      </border>
    </dxf>
  </rfmt>
  <rfmt sheetId="7" sqref="Y49" start="0" length="0">
    <dxf>
      <font>
        <b val="0"/>
        <sz val="9"/>
        <color theme="0"/>
        <name val="Calibri"/>
        <family val="2"/>
        <scheme val="minor"/>
      </font>
      <numFmt numFmtId="182" formatCode="_(* #,##0.0_);_(* \(#,##0.0\);_(* &quot;-&quot;??_);_(@_)"/>
      <fill>
        <patternFill patternType="solid">
          <bgColor theme="1"/>
        </patternFill>
      </fill>
      <border outline="0">
        <left/>
        <right/>
        <bottom style="thick">
          <color theme="0"/>
        </bottom>
      </border>
    </dxf>
  </rfmt>
  <rfmt sheetId="7" sqref="Z49" start="0" length="0">
    <dxf>
      <font>
        <b val="0"/>
        <sz val="9"/>
        <color theme="0"/>
        <name val="Calibri"/>
        <family val="2"/>
        <scheme val="minor"/>
      </font>
      <fill>
        <patternFill patternType="solid">
          <bgColor theme="1"/>
        </patternFill>
      </fill>
      <border outline="0">
        <left/>
        <bottom style="thick">
          <color theme="0"/>
        </bottom>
      </border>
    </dxf>
  </rfmt>
  <rcc rId="2625" sId="7">
    <nc r="L49" t="inlineStr">
      <is>
        <t>Sequestration</t>
      </is>
    </nc>
  </rcc>
  <rfmt sheetId="7" sqref="B50" start="0" length="0">
    <dxf>
      <numFmt numFmtId="3" formatCode="#,##0"/>
    </dxf>
  </rfmt>
  <rfmt sheetId="7" s="1" sqref="C50" start="0" length="0">
    <dxf>
      <numFmt numFmtId="181" formatCode="_(* #,##0_);_(* \(#,##0\);_(* &quot;-&quot;??_);_(@_)"/>
    </dxf>
  </rfmt>
  <rfmt sheetId="7" s="1" sqref="D50" start="0" length="0">
    <dxf>
      <numFmt numFmtId="181" formatCode="_(* #,##0_);_(* \(#,##0\);_(* &quot;-&quot;??_);_(@_)"/>
    </dxf>
  </rfmt>
  <rfmt sheetId="7" s="1" sqref="E50" start="0" length="0">
    <dxf>
      <numFmt numFmtId="181" formatCode="_(* #,##0_);_(* \(#,##0\);_(* &quot;-&quot;??_);_(@_)"/>
    </dxf>
  </rfmt>
  <rfmt sheetId="7" sqref="J50" start="0" length="0">
    <dxf>
      <fill>
        <patternFill patternType="solid">
          <bgColor theme="6" tint="0.79998168889431442"/>
        </patternFill>
      </fill>
    </dxf>
  </rfmt>
  <rfmt sheetId="7" sqref="L50" start="0" length="0">
    <dxf>
      <font>
        <color theme="1"/>
        <name val="Calibri"/>
        <family val="2"/>
        <scheme val="minor"/>
      </font>
      <fill>
        <patternFill patternType="none">
          <bgColor indexed="65"/>
        </patternFill>
      </fill>
      <alignment horizontal="left" vertical="bottom" indent="1"/>
      <border outline="0">
        <left style="thin">
          <color theme="0"/>
        </left>
        <right style="thin">
          <color theme="0"/>
        </right>
        <top style="thin">
          <color theme="0"/>
        </top>
        <bottom style="thin">
          <color theme="0"/>
        </bottom>
      </border>
    </dxf>
  </rfmt>
  <rfmt sheetId="7" sqref="M50" start="0" length="0">
    <dxf>
      <fill>
        <patternFill patternType="none">
          <bgColor indexed="65"/>
        </patternFill>
      </fill>
      <alignment vertical="bottom"/>
      <border outline="0">
        <left style="thin">
          <color theme="0"/>
        </left>
        <right style="thin">
          <color theme="0"/>
        </right>
        <top style="thin">
          <color theme="0"/>
        </top>
        <bottom style="thin">
          <color theme="0"/>
        </bottom>
      </border>
    </dxf>
  </rfmt>
  <rfmt sheetId="7" sqref="N50" start="0" length="0">
    <dxf>
      <fill>
        <patternFill patternType="none">
          <bgColor indexed="65"/>
        </patternFill>
      </fill>
      <alignment vertical="bottom"/>
      <border outline="0">
        <left style="thin">
          <color theme="0"/>
        </left>
        <right style="thin">
          <color theme="0"/>
        </right>
        <top style="thin">
          <color theme="0"/>
        </top>
        <bottom style="thin">
          <color theme="0"/>
        </bottom>
      </border>
    </dxf>
  </rfmt>
  <rfmt sheetId="7" sqref="O50" start="0" length="0">
    <dxf>
      <numFmt numFmtId="181" formatCode="_(* #,##0_);_(* \(#,##0\);_(* &quot;-&quot;??_);_(@_)"/>
      <fill>
        <patternFill patternType="none">
          <bgColor indexed="65"/>
        </patternFill>
      </fill>
      <border outline="0">
        <left style="thin">
          <color theme="0"/>
        </left>
        <right style="thin">
          <color theme="0"/>
        </right>
        <top style="thin">
          <color theme="0"/>
        </top>
        <bottom style="thin">
          <color theme="0"/>
        </bottom>
      </border>
    </dxf>
  </rfmt>
  <rfmt sheetId="7" sqref="P50" start="0" length="0">
    <dxf>
      <numFmt numFmtId="181" formatCode="_(* #,##0_);_(* \(#,##0\);_(* &quot;-&quot;??_);_(@_)"/>
      <fill>
        <patternFill patternType="none">
          <bgColor indexed="65"/>
        </patternFill>
      </fill>
      <border outline="0">
        <left style="thin">
          <color theme="0"/>
        </left>
        <right style="thin">
          <color theme="0"/>
        </right>
        <top style="thin">
          <color theme="0"/>
        </top>
        <bottom style="thin">
          <color theme="0"/>
        </bottom>
      </border>
    </dxf>
  </rfmt>
  <rfmt sheetId="7" sqref="Q50" start="0" length="0">
    <dxf>
      <numFmt numFmtId="181" formatCode="_(* #,##0_);_(* \(#,##0\);_(* &quot;-&quot;??_);_(@_)"/>
      <fill>
        <patternFill patternType="none">
          <bgColor indexed="65"/>
        </patternFill>
      </fill>
      <border outline="0">
        <left style="thin">
          <color theme="0"/>
        </left>
        <right style="thin">
          <color theme="0"/>
        </right>
        <top style="thin">
          <color theme="0"/>
        </top>
        <bottom style="thin">
          <color theme="0"/>
        </bottom>
      </border>
    </dxf>
  </rfmt>
  <rfmt sheetId="7" sqref="R50" start="0" length="0">
    <dxf>
      <numFmt numFmtId="181" formatCode="_(* #,##0_);_(* \(#,##0\);_(* &quot;-&quot;??_);_(@_)"/>
      <fill>
        <patternFill patternType="none">
          <bgColor indexed="65"/>
        </patternFill>
      </fill>
      <border outline="0">
        <left style="thin">
          <color theme="0"/>
        </left>
        <right style="thin">
          <color theme="0"/>
        </right>
        <top style="thin">
          <color theme="0"/>
        </top>
        <bottom style="thin">
          <color theme="0"/>
        </bottom>
      </border>
    </dxf>
  </rfmt>
  <rfmt sheetId="7" sqref="S50" start="0" length="0">
    <dxf>
      <fill>
        <patternFill patternType="none">
          <bgColor indexed="65"/>
        </patternFill>
      </fill>
    </dxf>
  </rfmt>
  <rfmt sheetId="7" sqref="T50" start="0" length="0">
    <dxf>
      <font>
        <color theme="1"/>
        <name val="Calibri"/>
        <family val="2"/>
        <scheme val="minor"/>
      </font>
      <fill>
        <patternFill patternType="none">
          <bgColor indexed="65"/>
        </patternFill>
      </fill>
      <alignment horizontal="left" vertical="bottom" indent="1"/>
      <border outline="0">
        <left style="thin">
          <color theme="0"/>
        </left>
        <right style="thin">
          <color theme="0"/>
        </right>
        <top style="thin">
          <color theme="0"/>
        </top>
        <bottom style="thin">
          <color theme="0"/>
        </bottom>
      </border>
    </dxf>
  </rfmt>
  <rfmt sheetId="7" sqref="U50" start="0" length="0">
    <dxf>
      <fill>
        <patternFill patternType="none">
          <bgColor indexed="65"/>
        </patternFill>
      </fill>
      <alignment vertical="bottom"/>
      <border outline="0">
        <left style="thin">
          <color theme="0"/>
        </left>
        <right style="thin">
          <color theme="0"/>
        </right>
        <top style="thin">
          <color theme="0"/>
        </top>
        <bottom style="thin">
          <color theme="0"/>
        </bottom>
      </border>
    </dxf>
  </rfmt>
  <rfmt sheetId="7" sqref="V50" start="0" length="0">
    <dxf>
      <fill>
        <patternFill patternType="none">
          <bgColor indexed="65"/>
        </patternFill>
      </fill>
      <alignment vertical="bottom"/>
      <border outline="0">
        <left style="thin">
          <color theme="0"/>
        </left>
        <right style="thin">
          <color theme="0"/>
        </right>
        <top style="thin">
          <color theme="0"/>
        </top>
        <bottom style="thin">
          <color theme="0"/>
        </bottom>
      </border>
    </dxf>
  </rfmt>
  <rfmt sheetId="7" sqref="W50" start="0" length="0">
    <dxf>
      <fill>
        <patternFill patternType="none">
          <bgColor indexed="65"/>
        </patternFill>
      </fill>
      <border outline="0">
        <left style="thin">
          <color theme="0"/>
        </left>
        <right style="thin">
          <color theme="0"/>
        </right>
        <top style="thin">
          <color theme="0"/>
        </top>
        <bottom style="thin">
          <color theme="0"/>
        </bottom>
      </border>
    </dxf>
  </rfmt>
  <rfmt sheetId="7" sqref="X50" start="0" length="0">
    <dxf>
      <fill>
        <patternFill patternType="none">
          <bgColor indexed="65"/>
        </patternFill>
      </fill>
      <border outline="0">
        <left style="thin">
          <color theme="0"/>
        </left>
        <right style="thin">
          <color theme="0"/>
        </right>
        <top style="thin">
          <color theme="0"/>
        </top>
        <bottom style="thin">
          <color theme="0"/>
        </bottom>
      </border>
    </dxf>
  </rfmt>
  <rfmt sheetId="7" sqref="Y50" start="0" length="0">
    <dxf>
      <fill>
        <patternFill patternType="none">
          <bgColor indexed="65"/>
        </patternFill>
      </fill>
      <border outline="0">
        <left style="thin">
          <color theme="0"/>
        </left>
        <right style="thin">
          <color theme="0"/>
        </right>
        <top style="thin">
          <color theme="0"/>
        </top>
        <bottom style="thin">
          <color theme="0"/>
        </bottom>
      </border>
    </dxf>
  </rfmt>
  <rfmt sheetId="7" sqref="Z50" start="0" length="0">
    <dxf>
      <fill>
        <patternFill patternType="none">
          <bgColor indexed="65"/>
        </patternFill>
      </fill>
      <border outline="0">
        <left style="thin">
          <color theme="0"/>
        </left>
        <right style="thin">
          <color theme="0"/>
        </right>
        <top style="thin">
          <color theme="0"/>
        </top>
        <bottom style="thin">
          <color theme="0"/>
        </bottom>
      </border>
    </dxf>
  </rfmt>
  <rcc rId="2626" sId="7">
    <nc r="M50" t="inlineStr">
      <is>
        <t>Solid waste disposal</t>
      </is>
    </nc>
  </rcc>
  <rcc rId="2627" sId="7">
    <nc r="O50">
      <f>'Waste- Management'!B33</f>
    </nc>
  </rcc>
  <rcc rId="2628" sId="7">
    <nc r="P50">
      <f>'Waste- Management'!F33</f>
    </nc>
  </rcc>
  <rcc rId="2629" sId="7">
    <nc r="Q50">
      <f>'Waste- Management'!K33</f>
    </nc>
  </rcc>
  <rcc rId="2630" sId="7">
    <nc r="R50">
      <f>'Waste- Management'!O33</f>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Q28" start="0" length="2147483647">
    <dxf>
      <font>
        <color theme="0"/>
        <family val="2"/>
      </font>
    </dxf>
  </rfmt>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1" sId="7">
    <nc r="D31">
      <f>SUM('Res- Garden &amp; Rec'!J10,'Res- Garden &amp; Rec'!J14,'Res- Garden &amp; Rec'!J18)</f>
    </nc>
  </rcc>
  <rfmt sheetId="7" sqref="Q31" start="0" length="2147483647">
    <dxf>
      <font>
        <color theme="0"/>
        <family val="2"/>
      </font>
    </dxf>
  </rfmt>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Y28:Y29" start="0" length="2147483647">
    <dxf>
      <font>
        <color theme="0"/>
        <family val="2"/>
      </font>
    </dxf>
  </rfmt>
  <rfmt sheetId="7" sqref="Y31" start="0" length="2147483647">
    <dxf>
      <font>
        <color theme="0"/>
        <family val="2"/>
      </font>
    </dxf>
  </rfmt>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1" sqref="O36">
    <dxf>
      <numFmt numFmtId="182" formatCode="_(* #,##0.0_);_(* \(#,##0.0\);_(* &quot;-&quot;??_);_(@_)"/>
    </dxf>
  </rfmt>
  <rfmt sheetId="11" sqref="O36">
    <dxf>
      <numFmt numFmtId="181" formatCode="_(* #,##0_);_(* \(#,##0\);_(* &quot;-&quot;??_);_(@_)"/>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22">
    <oc r="B22">
      <f>SUM(B18:B19)</f>
    </oc>
    <nc r="B22">
      <f>SUM(B18:B19)</f>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37" sId="7" ref="A44:XFD44" action="insertRow"/>
  <rm rId="2638" sheetId="7" source="A23:XFD23" destination="A44:XFD44" sourceSheetId="7">
    <rfmt sheetId="7" xfDxf="1" sqref="A44:XFD44" start="0" length="0">
      <dxf>
        <font>
          <name val="Calibri"/>
          <family val="2"/>
          <scheme val="minor"/>
        </font>
      </dxf>
    </rfmt>
    <rfmt sheetId="7" s="1" sqref="B44" start="0" length="0">
      <dxf>
        <numFmt numFmtId="181" formatCode="_(* #,##0_);_(* \(#,##0\);_(* &quot;-&quot;??_);_(@_)"/>
      </dxf>
    </rfmt>
    <rfmt sheetId="7" s="1" sqref="C44" start="0" length="0">
      <dxf>
        <numFmt numFmtId="181" formatCode="_(* #,##0_);_(* \(#,##0\);_(* &quot;-&quot;??_);_(@_)"/>
      </dxf>
    </rfmt>
    <rfmt sheetId="7" s="1" sqref="D44" start="0" length="0">
      <dxf>
        <numFmt numFmtId="181" formatCode="_(* #,##0_);_(* \(#,##0\);_(* &quot;-&quot;??_);_(@_)"/>
        <fill>
          <patternFill patternType="solid">
            <bgColor theme="6" tint="0.79998168889431442"/>
          </patternFill>
        </fill>
      </dxf>
    </rfmt>
    <rfmt sheetId="7" s="1" sqref="E44" start="0" length="0">
      <dxf>
        <numFmt numFmtId="181" formatCode="_(* #,##0_);_(* \(#,##0\);_(* &quot;-&quot;??_);_(@_)"/>
      </dxf>
    </rfmt>
    <rfmt sheetId="7" sqref="J44" start="0" length="0">
      <dxf>
        <fill>
          <patternFill patternType="solid">
            <bgColor theme="6" tint="0.79998168889431442"/>
          </patternFill>
        </fill>
      </dxf>
    </rfmt>
    <rfmt sheetId="7" sqref="L44" start="0" length="0">
      <dxf>
        <font>
          <color theme="1"/>
          <name val="Calibri"/>
          <family val="2"/>
          <scheme val="minor"/>
        </font>
        <alignment horizontal="left" vertical="bottom" indent="1"/>
        <border outline="0">
          <left style="thin">
            <color theme="0"/>
          </left>
        </border>
      </dxf>
    </rfmt>
    <rfmt sheetId="7" sqref="M44" start="0" length="0">
      <dxf>
        <font>
          <color theme="1"/>
          <name val="Calibri"/>
          <family val="2"/>
          <scheme val="minor"/>
        </font>
        <alignment vertical="bottom"/>
      </dxf>
    </rfmt>
    <rfmt sheetId="7" sqref="N44" start="0" length="0">
      <dxf>
        <font>
          <color theme="1"/>
          <name val="Calibri"/>
          <family val="2"/>
          <scheme val="minor"/>
        </font>
        <alignment vertical="bottom"/>
      </dxf>
    </rfmt>
    <rfmt sheetId="7" s="1" sqref="O44" start="0" length="0">
      <dxf>
        <numFmt numFmtId="181" formatCode="_(* #,##0_);_(* \(#,##0\);_(* &quot;-&quot;??_);_(@_)"/>
        <alignment vertical="bottom"/>
      </dxf>
    </rfmt>
    <rfmt sheetId="7" s="1" sqref="P44" start="0" length="0">
      <dxf>
        <numFmt numFmtId="181" formatCode="_(* #,##0_);_(* \(#,##0\);_(* &quot;-&quot;??_);_(@_)"/>
        <alignment vertical="bottom"/>
      </dxf>
    </rfmt>
    <rfmt sheetId="7" s="1" sqref="Q44" start="0" length="0">
      <dxf>
        <font>
          <sz val="9"/>
          <color theme="0" tint="-0.14999847407452621"/>
          <name val="Calibri"/>
          <family val="2"/>
          <scheme val="minor"/>
        </font>
        <numFmt numFmtId="181" formatCode="_(* #,##0_);_(* \(#,##0\);_(* &quot;-&quot;??_);_(@_)"/>
        <fill>
          <patternFill patternType="solid">
            <bgColor theme="0" tint="-0.14999847407452621"/>
          </patternFill>
        </fill>
        <alignment vertical="bottom"/>
      </dxf>
    </rfmt>
    <rfmt sheetId="7" s="1" sqref="R44" start="0" length="0">
      <dxf>
        <numFmt numFmtId="181" formatCode="_(* #,##0_);_(* \(#,##0\);_(* &quot;-&quot;??_);_(@_)"/>
        <alignment vertical="bottom"/>
        <border outline="0">
          <right style="thin">
            <color theme="0"/>
          </right>
        </border>
      </dxf>
    </rfmt>
    <rfmt sheetId="7" sqref="T44" start="0" length="0">
      <dxf>
        <font>
          <color theme="1"/>
          <name val="Calibri"/>
          <family val="2"/>
          <scheme val="minor"/>
        </font>
        <alignment horizontal="left" vertical="bottom" indent="1"/>
        <border outline="0">
          <left style="thin">
            <color theme="0"/>
          </left>
        </border>
      </dxf>
    </rfmt>
    <rfmt sheetId="7" sqref="U44" start="0" length="0">
      <dxf>
        <font>
          <color theme="1"/>
          <name val="Calibri"/>
          <family val="2"/>
          <scheme val="minor"/>
        </font>
        <alignment vertical="bottom"/>
      </dxf>
    </rfmt>
    <rfmt sheetId="7" sqref="V44" start="0" length="0">
      <dxf>
        <font>
          <color theme="1"/>
          <name val="Calibri"/>
          <family val="2"/>
          <scheme val="minor"/>
        </font>
        <alignment vertical="bottom"/>
      </dxf>
    </rfmt>
    <rfmt sheetId="7" s="1" sqref="W44" start="0" length="0">
      <dxf>
        <numFmt numFmtId="182" formatCode="_(* #,##0.0_);_(* \(#,##0.0\);_(* &quot;-&quot;??_);_(@_)"/>
        <alignment vertical="bottom"/>
      </dxf>
    </rfmt>
    <rfmt sheetId="7" s="1" sqref="X44" start="0" length="0">
      <dxf>
        <numFmt numFmtId="182" formatCode="_(* #,##0.0_);_(* \(#,##0.0\);_(* &quot;-&quot;??_);_(@_)"/>
        <alignment vertical="bottom"/>
      </dxf>
    </rfmt>
    <rfmt sheetId="7" s="1" sqref="Y44" start="0" length="0">
      <dxf>
        <font>
          <sz val="9"/>
          <color theme="0" tint="-0.14999847407452621"/>
          <name val="Calibri"/>
          <family val="2"/>
          <scheme val="minor"/>
        </font>
        <numFmt numFmtId="182" formatCode="_(* #,##0.0_);_(* \(#,##0.0\);_(* &quot;-&quot;??_);_(@_)"/>
        <fill>
          <patternFill patternType="solid">
            <bgColor theme="0" tint="-0.14999847407452621"/>
          </patternFill>
        </fill>
        <alignment vertical="bottom"/>
      </dxf>
    </rfmt>
    <rfmt sheetId="7" s="1" sqref="Z44" start="0" length="0">
      <dxf>
        <numFmt numFmtId="182" formatCode="_(* #,##0.0_);_(* \(#,##0.0\);_(* &quot;-&quot;??_);_(@_)"/>
        <alignment vertical="bottom"/>
        <border outline="0">
          <right style="thin">
            <color theme="0"/>
          </right>
        </border>
      </dxf>
    </rfmt>
  </rm>
  <rrc rId="2639" sId="7" ref="A23:XFD23" action="deleteRow">
    <rfmt sheetId="7" xfDxf="1" sqref="A23:XFD23" start="0" length="0">
      <dxf>
        <font>
          <name val="Calibri"/>
          <family val="2"/>
          <scheme val="minor"/>
        </font>
      </dxf>
    </rfmt>
    <rfmt sheetId="7" s="1" sqref="O23" start="0" length="0">
      <dxf>
        <numFmt numFmtId="182" formatCode="_(* #,##0.0_);_(* \(#,##0.0\);_(* &quot;-&quot;??_);_(@_)"/>
      </dxf>
    </rfmt>
    <rfmt sheetId="7" s="1" sqref="P23" start="0" length="0">
      <dxf>
        <numFmt numFmtId="182" formatCode="_(* #,##0.0_);_(* \(#,##0.0\);_(* &quot;-&quot;??_);_(@_)"/>
      </dxf>
    </rfmt>
    <rfmt sheetId="7" s="1" sqref="Q23" start="0" length="0">
      <dxf>
        <numFmt numFmtId="182" formatCode="_(* #,##0.0_);_(* \(#,##0.0\);_(* &quot;-&quot;??_);_(@_)"/>
      </dxf>
    </rfmt>
    <rfmt sheetId="7" s="1" sqref="R23" start="0" length="0">
      <dxf>
        <numFmt numFmtId="182" formatCode="_(* #,##0.0_);_(* \(#,##0.0\);_(* &quot;-&quot;??_);_(@_)"/>
      </dxf>
    </rfmt>
    <rfmt sheetId="7" s="1" sqref="W23" start="0" length="0">
      <dxf>
        <numFmt numFmtId="182" formatCode="_(* #,##0.0_);_(* \(#,##0.0\);_(* &quot;-&quot;??_);_(@_)"/>
      </dxf>
    </rfmt>
    <rfmt sheetId="7" s="1" sqref="X23" start="0" length="0">
      <dxf>
        <numFmt numFmtId="182" formatCode="_(* #,##0.0_);_(* \(#,##0.0\);_(* &quot;-&quot;??_);_(@_)"/>
      </dxf>
    </rfmt>
    <rfmt sheetId="7" s="1" sqref="Y23" start="0" length="0">
      <dxf>
        <numFmt numFmtId="182" formatCode="_(* #,##0.0_);_(* \(#,##0.0\);_(* &quot;-&quot;??_);_(@_)"/>
      </dxf>
    </rfmt>
    <rfmt sheetId="7" s="1" sqref="Z23" start="0" length="0">
      <dxf>
        <numFmt numFmtId="182" formatCode="_(* #,##0.0_);_(* \(#,##0.0\);_(* &quot;-&quot;??_);_(@_)"/>
      </dxf>
    </rfmt>
  </rrc>
  <rcc rId="2640" sId="7">
    <nc r="M43" t="inlineStr">
      <is>
        <t xml:space="preserve">Fugitive gas </t>
      </is>
    </nc>
  </rcc>
  <rcc rId="2641" sId="7">
    <oc r="N43" t="inlineStr">
      <is>
        <t xml:space="preserve">Fugitive gas </t>
      </is>
    </oc>
    <nc r="N43"/>
  </rcc>
  <rcc rId="2642" sId="7">
    <nc r="U43" t="inlineStr">
      <is>
        <t xml:space="preserve">Fugitive gas </t>
      </is>
    </nc>
  </rcc>
  <rcc rId="2643" sId="7">
    <oc r="V43" t="inlineStr">
      <is>
        <t xml:space="preserve">Fugitive gas </t>
      </is>
    </oc>
    <nc r="V43"/>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Summary_RptTbls!$A$5:$A$42</formula>
    <oldFormula>Summary_RptTbls!$A$5:$A$42</oldFormula>
  </rdn>
  <rcv guid="{15CC7F3D-99AB-49C1-AC00-E04D3FE3FBC1}" action="add"/>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9" sId="7">
    <oc r="E25">
      <f>'Trans- Road'!O76</f>
    </oc>
    <nc r="E25">
      <f>'Trans- Road'!O14</f>
    </nc>
  </rcc>
  <rcc rId="2650" sId="18">
    <oc r="B56">
      <f>SUM(B52:B53)</f>
    </oc>
    <nc r="B56">
      <f>SUM(B52:B53)</f>
    </nc>
  </rcc>
  <rcc rId="2651" sId="18">
    <nc r="P40" t="inlineStr">
      <is>
        <t>gal</t>
      </is>
    </nc>
  </rcc>
  <rcc rId="2652" sId="7">
    <oc r="E27">
      <f>'Trans- Road'!O56</f>
    </oc>
    <nc r="E27">
      <f>'Trans- Road'!O23+'Trans- Road'!O56</f>
    </nc>
  </rcc>
  <rfmt sheetId="7" sqref="E27">
    <dxf>
      <fill>
        <patternFill patternType="none">
          <bgColor auto="1"/>
        </patternFill>
      </fill>
    </dxf>
  </rfmt>
  <rfmt sheetId="7" sqref="E25">
    <dxf>
      <fill>
        <patternFill patternType="none">
          <bgColor auto="1"/>
        </patternFill>
      </fill>
    </dxf>
  </rfmt>
  <rfmt sheetId="7" sqref="E22">
    <dxf>
      <fill>
        <patternFill patternType="none">
          <bgColor auto="1"/>
        </patternFill>
      </fill>
    </dxf>
  </rfmt>
  <rfmt sheetId="7" sqref="B11:E11">
    <dxf>
      <fill>
        <patternFill patternType="none">
          <bgColor auto="1"/>
        </patternFill>
      </fill>
    </dxf>
  </rfmt>
  <rfmt sheetId="7" sqref="B18:E18">
    <dxf>
      <fill>
        <patternFill patternType="none">
          <bgColor auto="1"/>
        </patternFill>
      </fill>
    </dxf>
  </rfmt>
  <rcc rId="2653" sId="7" odxf="1" s="1" dxf="1">
    <oc r="B30">
      <f>SUM('Res- Garden &amp; Rec'!B10,'Res- Garden &amp; Rec'!B14,'Res- Garden &amp; Rec'!B18)</f>
    </oc>
    <nc r="B30">
      <f>SUM('Res- Garden &amp; Rec'!B10,'Res- Garden &amp; Rec'!B14,'Res- Garden &amp; Rec'!B18)</f>
    </nc>
    <o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rgb="FFFFFF00"/>
        </patternFill>
      </fill>
    </odxf>
    <ndxf>
      <numFmt numFmtId="181" formatCode="_(* #,##0_);_(* \(#,##0\);_(* &quot;-&quot;??_);_(@_)"/>
      <fill>
        <patternFill patternType="none">
          <bgColor indexed="65"/>
        </patternFill>
      </fill>
    </ndxf>
  </rcc>
  <rcc rId="2654" sId="7" odxf="1" dxf="1">
    <oc r="C30">
      <f>SUM('Res- Garden &amp; Rec'!F10,'Res- Garden &amp; Rec'!F14,'Res- Garden &amp; Rec'!F18)</f>
    </oc>
    <nc r="C30">
      <f>SUM('Res- Garden &amp; Rec'!F10,'Res- Garden &amp; Rec'!F14,'Res- Garden &amp; Rec'!F18)</f>
    </nc>
    <odxf>
      <fill>
        <patternFill patternType="solid">
          <bgColor rgb="FFFFFF00"/>
        </patternFill>
      </fill>
    </odxf>
    <ndxf>
      <fill>
        <patternFill patternType="none">
          <bgColor indexed="65"/>
        </patternFill>
      </fill>
    </ndxf>
  </rcc>
  <rcc rId="2655" sId="7" odxf="1" dxf="1">
    <oc r="E30">
      <f>SUM('Res- Garden &amp; Rec'!N10,'Res- Garden &amp; Rec'!N14,'Res- Garden &amp; Rec'!N18)</f>
    </oc>
    <nc r="E30">
      <f>SUM('Res- Garden &amp; Rec'!N10,'Res- Garden &amp; Rec'!N14,'Res- Garden &amp; Rec'!N18)</f>
    </nc>
    <odxf>
      <fill>
        <patternFill patternType="solid">
          <bgColor rgb="FFFFFF00"/>
        </patternFill>
      </fill>
    </odxf>
    <ndxf>
      <fill>
        <patternFill patternType="none">
          <bgColor indexed="65"/>
        </patternFill>
      </fill>
    </ndxf>
  </rcc>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D32:E32">
    <dxf>
      <fill>
        <patternFill patternType="none">
          <bgColor auto="1"/>
        </patternFill>
      </fill>
    </dxf>
  </rfmt>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B34:E34">
    <dxf>
      <fill>
        <patternFill patternType="none">
          <bgColor auto="1"/>
        </patternFill>
      </fill>
    </dxf>
  </rfmt>
  <rcmt sheetId="27" cell="A7" guid="{00000000-0000-0000-0000-000000000000}" action="delete" alwaysShow="1" author="Andrea Martin"/>
  <rcmt sheetId="7" cell="O47" guid="{00000000-0000-0000-0000-000000000000}" action="delete" alwaysShow="1" author="Andrea Martin"/>
  <rfmt sheetId="7" sqref="O47">
    <dxf>
      <fill>
        <patternFill patternType="none">
          <bgColor auto="1"/>
        </patternFill>
      </fill>
    </dxf>
  </rfmt>
  <rcmt sheetId="7" cell="R34" guid="{3F824BD3-09CA-4C2E-9F29-066408CFB95D}" alwaysShow="1" author="Andrea Martin" newLength="34"/>
  <rcmt sheetId="7" cell="R38" guid="{0366A3B4-C590-491B-87FD-11B0D7555B32}" alwaysShow="1" author="Andrea Martin" newLength="30"/>
  <rcmt sheetId="7" cell="R42" guid="{F5A6C26D-AE96-4F31-8A10-D1491E7FAC20}" alwaysShow="1" author="Andrea Martin" newLength="54"/>
  <rcmt sheetId="7" cell="M45" guid="{77805468-9360-4A38-B632-7D2CD67A4719}" alwaysShow="1" author="Andrea Martin" newLength="56"/>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N16:N18">
    <dxf>
      <fill>
        <patternFill patternType="none">
          <bgColor auto="1"/>
        </patternFill>
      </fill>
    </dxf>
  </rfmt>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6" sId="7">
    <oc r="N46" t="inlineStr">
      <is>
        <t>Basic Required Emissions</t>
      </is>
    </oc>
    <nc r="N46" t="inlineStr">
      <is>
        <t>Core</t>
      </is>
    </nc>
  </rcc>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2" sqref="F7">
    <dxf>
      <numFmt numFmtId="35" formatCode="_(* #,##0.00_);_(* \(#,##0.00\);_(* &quot;-&quot;??_);_(@_)"/>
    </dxf>
  </rfmt>
  <rfmt sheetId="12" sqref="F7">
    <dxf>
      <numFmt numFmtId="182" formatCode="_(* #,##0.0_);_(* \(#,##0.0\);_(* &quot;-&quot;??_);_(@_)"/>
    </dxf>
  </rfmt>
  <rfmt sheetId="12" sqref="F7">
    <dxf>
      <numFmt numFmtId="181" formatCode="_(* #,##0_);_(* \(#,##0\);_(* &quot;-&quot;??_);_(@_)"/>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Summary_RptTbls!$A$5:$A$42</formula>
    <oldFormula>Summary_RptTbls!$A$5:$A$42</oldFormula>
  </rdn>
  <rcv guid="{15CC7F3D-99AB-49C1-AC00-E04D3FE3FBC1}"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G144" start="0" length="2147483647">
    <dxf>
      <font>
        <color auto="1"/>
        <family val="2"/>
      </font>
    </dxf>
  </rfmt>
  <rfmt sheetId="26" sqref="G145" start="0" length="0">
    <dxf>
      <font>
        <color theme="3" tint="0.39997558519241921"/>
        <name val="Calibri"/>
        <family val="2"/>
        <scheme val="minor"/>
      </font>
    </dxf>
  </rfmt>
  <rfmt sheetId="26" sqref="G146" start="0" length="0">
    <dxf>
      <font>
        <color theme="3" tint="0.39997558519241921"/>
        <name val="Calibri"/>
        <family val="2"/>
        <scheme val="minor"/>
      </font>
    </dxf>
  </rfmt>
  <rfmt sheetId="26" sqref="G147" start="0" length="0">
    <dxf>
      <font>
        <color theme="3" tint="0.39997558519241921"/>
        <name val="Calibri"/>
        <family val="2"/>
        <scheme val="minor"/>
      </font>
    </dxf>
  </rfmt>
  <rfmt sheetId="26" sqref="G148" start="0" length="0">
    <dxf>
      <font>
        <color theme="3" tint="0.39997558519241921"/>
        <name val="Calibri"/>
        <family val="2"/>
        <scheme val="minor"/>
      </font>
    </dxf>
  </rfmt>
  <rfmt sheetId="26" sqref="G149" start="0" length="0">
    <dxf>
      <font>
        <color theme="3" tint="0.39997558519241921"/>
        <name val="Calibri"/>
        <family val="2"/>
        <scheme val="minor"/>
      </font>
    </dxf>
  </rfmt>
  <rfmt sheetId="26" sqref="G150" start="0" length="0">
    <dxf>
      <font>
        <color theme="3" tint="0.39997558519241921"/>
        <name val="Calibri"/>
        <family val="2"/>
        <scheme val="minor"/>
      </font>
    </dxf>
  </rfmt>
  <rfmt sheetId="26" sqref="G151" start="0" length="0">
    <dxf>
      <font>
        <color theme="3" tint="0.39997558519241921"/>
        <name val="Calibri"/>
        <family val="2"/>
        <scheme val="minor"/>
      </font>
    </dxf>
  </rfmt>
  <rfmt sheetId="26" sqref="G152" start="0" length="0">
    <dxf>
      <font>
        <color theme="3" tint="0.39997558519241921"/>
        <name val="Calibri"/>
        <family val="2"/>
        <scheme val="minor"/>
      </font>
    </dxf>
  </rfmt>
  <rfmt sheetId="26" sqref="G153" start="0" length="0">
    <dxf>
      <font>
        <color theme="3" tint="0.39997558519241921"/>
        <name val="Calibri"/>
        <family val="2"/>
        <scheme val="minor"/>
      </font>
    </dxf>
  </rfmt>
  <rfmt sheetId="26" sqref="G154" start="0" length="2147483647">
    <dxf>
      <font>
        <color auto="1"/>
        <family val="2"/>
      </font>
    </dxf>
  </rfmt>
  <rfmt sheetId="26" sqref="C144" start="0" length="0">
    <dxf>
      <font>
        <color theme="3" tint="0.39997558519241921"/>
        <name val="Calibri"/>
        <family val="2"/>
        <scheme val="minor"/>
      </font>
    </dxf>
  </rfmt>
  <rfmt sheetId="26" sqref="C145" start="0" length="0">
    <dxf>
      <font>
        <color theme="3" tint="0.39997558519241921"/>
        <name val="Calibri"/>
        <family val="2"/>
        <scheme val="minor"/>
      </font>
    </dxf>
  </rfmt>
  <rfmt sheetId="26" sqref="C146" start="0" length="0">
    <dxf>
      <font>
        <color theme="3" tint="0.39997558519241921"/>
        <name val="Calibri"/>
        <family val="2"/>
        <scheme val="minor"/>
      </font>
    </dxf>
  </rfmt>
  <rfmt sheetId="26" sqref="C147" start="0" length="0">
    <dxf>
      <font>
        <color theme="3" tint="0.39997558519241921"/>
        <name val="Calibri"/>
        <family val="2"/>
        <scheme val="minor"/>
      </font>
    </dxf>
  </rfmt>
  <rfmt sheetId="26" sqref="C148" start="0" length="0">
    <dxf>
      <font>
        <color theme="3" tint="0.39997558519241921"/>
        <name val="Calibri"/>
        <family val="2"/>
        <scheme val="minor"/>
      </font>
    </dxf>
  </rfmt>
  <rfmt sheetId="26" sqref="C149" start="0" length="0">
    <dxf>
      <font>
        <color theme="3" tint="0.39997558519241921"/>
        <name val="Calibri"/>
        <family val="2"/>
        <scheme val="minor"/>
      </font>
    </dxf>
  </rfmt>
  <rfmt sheetId="26" sqref="C150" start="0" length="0">
    <dxf>
      <font>
        <color theme="3" tint="0.39997558519241921"/>
        <name val="Calibri"/>
        <family val="2"/>
        <scheme val="minor"/>
      </font>
    </dxf>
  </rfmt>
  <rfmt sheetId="26" sqref="C151" start="0" length="0">
    <dxf>
      <font>
        <color theme="3" tint="0.39997558519241921"/>
        <name val="Calibri"/>
        <family val="2"/>
        <scheme val="minor"/>
      </font>
    </dxf>
  </rfmt>
  <rfmt sheetId="26" sqref="C152" start="0" length="0">
    <dxf>
      <font>
        <color theme="3" tint="0.39997558519241921"/>
        <name val="Calibri"/>
        <family val="2"/>
        <scheme val="minor"/>
      </font>
    </dxf>
  </rfmt>
  <rfmt sheetId="26" sqref="C153" start="0" length="0">
    <dxf>
      <font>
        <color theme="3" tint="0.39997558519241921"/>
        <name val="Calibri"/>
        <family val="2"/>
        <scheme val="minor"/>
      </font>
    </dxf>
  </rfmt>
  <rfmt sheetId="26" sqref="C154" start="0" length="0">
    <dxf>
      <font>
        <color theme="3" tint="0.39997558519241921"/>
        <name val="Calibri"/>
        <family val="2"/>
        <scheme val="minor"/>
      </font>
    </dxf>
  </rfmt>
  <rcmt sheetId="26" cell="J161" guid="{00000000-0000-0000-0000-000000000000}" action="delete" alwaysShow="1" author="Andrea Martin"/>
  <rfmt sheetId="25" sqref="B46" start="0" length="0">
    <dxf/>
  </rfmt>
  <rfmt sheetId="25" xfDxf="1" sqref="B46" start="0" length="0">
    <dxf>
      <numFmt numFmtId="1" formatCode="0"/>
      <fill>
        <patternFill patternType="solid">
          <bgColor theme="9" tint="0.79998168889431442"/>
        </patternFill>
      </fill>
    </dxf>
  </rfmt>
  <rfmt sheetId="25" xfDxf="1" sqref="B47" start="0" length="0">
    <dxf>
      <numFmt numFmtId="1" formatCode="0"/>
      <fill>
        <patternFill patternType="solid">
          <bgColor theme="9" tint="0.79998168889431442"/>
        </patternFill>
      </fill>
    </dxf>
  </rfmt>
  <rcc rId="2662" sId="25">
    <oc r="B45">
      <f>B9*B10*B38*B39*B40*B41*B42*B43</f>
    </oc>
    <nc r="B45">
      <f>B9*thermTOBtu*B39*B40*B42*B43</f>
    </nc>
  </rcc>
  <rfmt sheetId="25" xfDxf="1" sqref="B46" start="0" length="0">
    <dxf>
      <numFmt numFmtId="1" formatCode="0"/>
      <fill>
        <patternFill patternType="solid">
          <bgColor theme="9" tint="0.79998168889431442"/>
        </patternFill>
      </fill>
    </dxf>
  </rfmt>
  <rfmt sheetId="25" xfDxf="1" sqref="B47" start="0" length="0">
    <dxf>
      <numFmt numFmtId="1" formatCode="0"/>
      <fill>
        <patternFill patternType="solid">
          <bgColor theme="9" tint="0.79998168889431442"/>
        </patternFill>
      </fill>
    </dxf>
  </rfmt>
  <rcmt sheetId="25" cell="B47" guid="{00000000-0000-0000-0000-000000000000}" action="delete" alwaysShow="1" author="Andrea Martin"/>
  <rcmt sheetId="25" cell="B46" guid="{00000000-0000-0000-0000-000000000000}" action="delete" alwaysShow="1" author="Andrea Martin"/>
  <rcmt sheetId="25" cell="B45" guid="{00000000-0000-0000-0000-000000000000}" action="delete" alwaysShow="1" author="Andrea Martin"/>
  <rcc rId="2663" sId="25">
    <oc r="B46">
      <f>B12*B13*B38*B39*B40*B41*B42*B43</f>
    </oc>
    <nc r="B46">
      <f>B12*thermTOBtu*B39*B40*B42*B43</f>
    </nc>
  </rcc>
  <rcc rId="2664" sId="25">
    <oc r="B47">
      <f>B15*B18*B38*B39*B40*B41*B42*B43</f>
    </oc>
    <nc r="B47">
      <f>B15*thermTOBtu*B39*B40*B42*B43</f>
    </nc>
  </rcc>
  <rrc rId="2665" sId="25" ref="A10:XFD10" action="deleteRow">
    <undo index="65535" exp="ref" v="1" dr="J10" r="J45" sId="25"/>
    <undo index="65535" exp="ref" v="1" dr="F10" r="F45" sId="25"/>
    <rfmt sheetId="25" xfDxf="1" sqref="A10:XFD10" start="0" length="0"/>
    <rcc rId="0" sId="25" dxf="1">
      <nc r="A10" t="inlineStr">
        <is>
          <t>Measured fraction of methane in biogas</t>
        </is>
      </nc>
      <ndxf>
        <numFmt numFmtId="30" formatCode="@"/>
        <alignment horizontal="left" vertical="bottom"/>
        <border outline="0">
          <right style="thin">
            <color indexed="64"/>
          </right>
        </border>
      </ndxf>
    </rcc>
    <rcc rId="0" sId="25" s="1" dxf="1" numFmtId="13">
      <nc r="B10">
        <v>0.60470000000000002</v>
      </nc>
      <ndxf>
        <numFmt numFmtId="13" formatCode="0%"/>
      </ndxf>
    </rcc>
    <rfmt sheetId="25" sqref="C10" start="0" length="0">
      <dxf/>
    </rfmt>
    <rfmt sheetId="25" sqref="D10" start="0" length="0">
      <dxf/>
    </rfmt>
    <rfmt sheetId="25" sqref="E10" start="0" length="0">
      <dxf>
        <font>
          <sz val="7"/>
          <color auto="1"/>
          <name val="Arial"/>
          <family val="2"/>
          <scheme val="none"/>
        </font>
        <border outline="0">
          <right style="thin">
            <color indexed="64"/>
          </right>
        </border>
      </dxf>
    </rfmt>
    <rcc rId="0" sId="25" s="1" dxf="1" numFmtId="13">
      <nc r="F10">
        <v>0.60470000000000002</v>
      </nc>
      <ndxf>
        <numFmt numFmtId="13" formatCode="0%"/>
      </ndxf>
    </rcc>
    <rfmt sheetId="25" sqref="G10" start="0" length="0">
      <dxf/>
    </rfmt>
    <rfmt sheetId="25" sqref="H10" start="0" length="0">
      <dxf/>
    </rfmt>
    <rfmt sheetId="25" sqref="I10" start="0" length="0">
      <dxf>
        <border outline="0">
          <right style="thin">
            <color indexed="64"/>
          </right>
        </border>
      </dxf>
    </rfmt>
    <rcc rId="0" sId="25" s="1" dxf="1" numFmtId="13">
      <nc r="J10">
        <v>0.60470000000000002</v>
      </nc>
      <ndxf>
        <numFmt numFmtId="13" formatCode="0%"/>
      </ndxf>
    </rcc>
    <rfmt sheetId="25" sqref="K10" start="0" length="0">
      <dxf/>
    </rfmt>
    <rcc rId="0" sId="25" dxf="1">
      <nc r="L10" t="inlineStr">
        <is>
          <t>No longer needed for the calculation because BTU of methane in the gas is known-- see row 22</t>
        </is>
      </nc>
      <ndxf>
        <numFmt numFmtId="30" formatCode="@"/>
      </ndxf>
    </rcc>
    <rfmt sheetId="25" sqref="M10" start="0" length="0">
      <dxf>
        <font>
          <sz val="7"/>
          <color auto="1"/>
          <name val="Arial"/>
          <family val="2"/>
          <scheme val="none"/>
        </font>
        <border outline="0">
          <right style="thin">
            <color indexed="64"/>
          </right>
        </border>
      </dxf>
    </rfmt>
    <rfmt sheetId="25" s="1" sqref="N10" start="0" length="0">
      <dxf>
        <numFmt numFmtId="13" formatCode="0%"/>
      </dxf>
    </rfmt>
    <rfmt sheetId="25" sqref="O10" start="0" length="0">
      <dxf/>
    </rfmt>
  </rrc>
  <rrc rId="2666" sId="25" ref="A12:XFD12" action="deleteRow">
    <undo index="65535" exp="ref" v="1" dr="J12" r="J45" sId="25"/>
    <undo index="65535" exp="ref" v="1" dr="F12" r="F45" sId="25"/>
    <rfmt sheetId="25" xfDxf="1" sqref="A12:XFD12" start="0" length="0"/>
    <rcc rId="0" sId="25" dxf="1">
      <nc r="A12" t="inlineStr">
        <is>
          <t>Measured fraction of methane in biogas</t>
        </is>
      </nc>
      <ndxf>
        <numFmt numFmtId="30" formatCode="@"/>
        <alignment horizontal="left" vertical="bottom"/>
        <border outline="0">
          <right style="thin">
            <color indexed="64"/>
          </right>
        </border>
      </ndxf>
    </rcc>
    <rcc rId="0" sId="25" s="1" dxf="1" numFmtId="13">
      <nc r="B12">
        <v>0.60470000000000002</v>
      </nc>
      <ndxf>
        <numFmt numFmtId="13" formatCode="0%"/>
      </ndxf>
    </rcc>
    <rfmt sheetId="25" sqref="C12" start="0" length="0">
      <dxf/>
    </rfmt>
    <rfmt sheetId="25" sqref="D12" start="0" length="0">
      <dxf>
        <numFmt numFmtId="30" formatCode="@"/>
        <alignment wrapText="1"/>
      </dxf>
    </rfmt>
    <rfmt sheetId="25" sqref="E12" start="0" length="0">
      <dxf>
        <font>
          <sz val="7"/>
          <color auto="1"/>
          <name val="Arial"/>
          <family val="2"/>
          <scheme val="none"/>
        </font>
        <numFmt numFmtId="30" formatCode="@"/>
        <alignment wrapText="1"/>
        <border outline="0">
          <right style="thin">
            <color indexed="64"/>
          </right>
        </border>
      </dxf>
    </rfmt>
    <rcc rId="0" sId="25" s="1" dxf="1" numFmtId="13">
      <nc r="F12">
        <v>0.60470000000000002</v>
      </nc>
      <ndxf>
        <numFmt numFmtId="13" formatCode="0%"/>
      </ndxf>
    </rcc>
    <rfmt sheetId="25" sqref="G12" start="0" length="0">
      <dxf/>
    </rfmt>
    <rfmt sheetId="25" sqref="H12" start="0" length="0">
      <dxf>
        <numFmt numFmtId="30" formatCode="@"/>
      </dxf>
    </rfmt>
    <rfmt sheetId="25" sqref="I12" start="0" length="0">
      <dxf>
        <font>
          <sz val="7"/>
          <color auto="1"/>
          <name val="Arial"/>
          <family val="2"/>
          <scheme val="none"/>
        </font>
        <border outline="0">
          <right style="thin">
            <color indexed="64"/>
          </right>
        </border>
      </dxf>
    </rfmt>
    <rcc rId="0" sId="25" s="1" dxf="1" numFmtId="13">
      <nc r="J12">
        <v>0.60470000000000002</v>
      </nc>
      <ndxf>
        <numFmt numFmtId="13" formatCode="0%"/>
      </ndxf>
    </rcc>
    <rfmt sheetId="25" sqref="K12" start="0" length="0">
      <dxf/>
    </rfmt>
    <rcc rId="0" sId="25" dxf="1">
      <nc r="L12" t="inlineStr">
        <is>
          <t>No longer needed for the calculation because BTU of methane in the gas is known-- see row 22</t>
        </is>
      </nc>
      <ndxf>
        <numFmt numFmtId="30" formatCode="@"/>
      </ndxf>
    </rcc>
    <rfmt sheetId="25" sqref="M12" start="0" length="0">
      <dxf>
        <font>
          <sz val="7"/>
          <color auto="1"/>
          <name val="Arial"/>
          <family val="2"/>
          <scheme val="none"/>
        </font>
        <border outline="0">
          <right style="thin">
            <color indexed="64"/>
          </right>
        </border>
      </dxf>
    </rfmt>
    <rfmt sheetId="25" s="1" sqref="N12" start="0" length="0">
      <dxf>
        <numFmt numFmtId="13" formatCode="0%"/>
      </dxf>
    </rfmt>
    <rfmt sheetId="25" sqref="O12" start="0" length="0">
      <dxf/>
    </rfmt>
  </rrc>
  <rcmt sheetId="25" cell="B9" guid="{00000000-0000-0000-0000-000000000000}" action="delete" alwaysShow="1" author="Andrea Martin"/>
  <rrc rId="2667" sId="25" ref="A23:XFD23" action="deleteRow">
    <rfmt sheetId="25" xfDxf="1" sqref="A23:XFD23" start="0" length="0"/>
    <rcc rId="0" sId="25" dxf="1">
      <nc r="A23" t="inlineStr">
        <is>
          <t>Days per year</t>
        </is>
      </nc>
      <ndxf>
        <numFmt numFmtId="30" formatCode="@"/>
        <border outline="0">
          <right style="thin">
            <color indexed="64"/>
          </right>
        </border>
      </ndxf>
    </rcc>
    <rcc rId="0" sId="25" dxf="1">
      <nc r="B23">
        <v>365.25</v>
      </nc>
      <ndxf/>
    </rcc>
    <rcc rId="0" sId="25" dxf="1">
      <nc r="C23" t="inlineStr">
        <is>
          <t>days/per</t>
        </is>
      </nc>
      <ndxf>
        <numFmt numFmtId="30" formatCode="@"/>
      </ndxf>
    </rcc>
    <rfmt sheetId="25" sqref="D23" start="0" length="0">
      <dxf/>
    </rfmt>
    <rfmt sheetId="25" sqref="E23" start="0" length="0">
      <dxf>
        <font>
          <sz val="7"/>
          <color auto="1"/>
          <name val="Arial"/>
          <family val="2"/>
          <scheme val="none"/>
        </font>
        <border outline="0">
          <right style="thin">
            <color indexed="64"/>
          </right>
        </border>
      </dxf>
    </rfmt>
    <rcc rId="0" sId="25" dxf="1">
      <nc r="F23">
        <v>365.25</v>
      </nc>
      <ndxf/>
    </rcc>
    <rcc rId="0" sId="25" dxf="1">
      <nc r="G23" t="inlineStr">
        <is>
          <t>days/per</t>
        </is>
      </nc>
      <ndxf>
        <numFmt numFmtId="30" formatCode="@"/>
      </ndxf>
    </rcc>
    <rfmt sheetId="25" sqref="H23" start="0" length="0">
      <dxf>
        <numFmt numFmtId="30" formatCode="@"/>
      </dxf>
    </rfmt>
    <rfmt sheetId="25" sqref="I23" start="0" length="0">
      <dxf>
        <font>
          <sz val="7"/>
          <color auto="1"/>
          <name val="Arial"/>
          <family val="2"/>
          <scheme val="none"/>
        </font>
        <numFmt numFmtId="30" formatCode="@"/>
        <border outline="0">
          <right style="thin">
            <color indexed="64"/>
          </right>
        </border>
      </dxf>
    </rfmt>
    <rcc rId="0" sId="25" dxf="1">
      <nc r="J23">
        <v>365.25</v>
      </nc>
      <ndxf/>
    </rcc>
    <rcc rId="0" sId="25" dxf="1">
      <nc r="K23" t="inlineStr">
        <is>
          <t>days/per</t>
        </is>
      </nc>
      <ndxf>
        <numFmt numFmtId="30" formatCode="@"/>
      </ndxf>
    </rcc>
    <rfmt sheetId="25" sqref="M23" start="0" length="0">
      <dxf>
        <font>
          <sz val="7"/>
          <color auto="1"/>
          <name val="Arial"/>
          <family val="2"/>
          <scheme val="none"/>
        </font>
        <border outline="0">
          <right style="thin">
            <color indexed="64"/>
          </right>
        </border>
      </dxf>
    </rfmt>
    <rfmt sheetId="25" sqref="N23" start="0" length="0">
      <dxf/>
    </rfmt>
    <rfmt sheetId="25" sqref="O23" start="0" length="0">
      <dxf>
        <numFmt numFmtId="30" formatCode="@"/>
      </dxf>
    </rfmt>
  </rrc>
  <rrc rId="2668" sId="25" ref="A38:XFD38" action="deleteRow">
    <undo index="65535" exp="ref" v="1" dr="J38" r="J44" sId="25"/>
    <undo index="65535" exp="ref" v="1" dr="F38" r="F44" sId="25"/>
    <undo index="65535" exp="ref" v="1" dr="J38" r="J43" sId="25"/>
    <undo index="65535" exp="ref" v="1" dr="F38" r="F43" sId="25"/>
    <undo index="65535" exp="ref" v="1" dr="J38" r="J42" sId="25"/>
    <undo index="65535" exp="ref" v="1" dr="F38" r="F42" sId="25"/>
    <rfmt sheetId="25" xfDxf="1" sqref="A38:XFD38" start="0" length="0"/>
    <rcc rId="0" sId="25" dxf="1">
      <nc r="A38" t="inlineStr">
        <is>
          <t>Days per year</t>
        </is>
      </nc>
      <ndxf>
        <numFmt numFmtId="30" formatCode="@"/>
        <border outline="0">
          <right style="thin">
            <color indexed="64"/>
          </right>
        </border>
      </ndxf>
    </rcc>
    <rcc rId="0" sId="25" dxf="1">
      <nc r="B38">
        <v>365.25</v>
      </nc>
      <ndxf/>
    </rcc>
    <rcc rId="0" sId="25" dxf="1">
      <nc r="C38" t="inlineStr">
        <is>
          <t>days/per</t>
        </is>
      </nc>
      <ndxf>
        <numFmt numFmtId="30" formatCode="@"/>
      </ndxf>
    </rcc>
    <rfmt sheetId="25" sqref="D38" start="0" length="0">
      <dxf/>
    </rfmt>
    <rfmt sheetId="25" sqref="E38" start="0" length="0">
      <dxf>
        <font>
          <sz val="7"/>
          <color auto="1"/>
          <name val="Arial"/>
          <family val="2"/>
          <scheme val="none"/>
        </font>
        <border outline="0">
          <right style="thin">
            <color indexed="64"/>
          </right>
        </border>
      </dxf>
    </rfmt>
    <rcc rId="0" sId="25" dxf="1">
      <nc r="F38">
        <v>365.25</v>
      </nc>
      <ndxf/>
    </rcc>
    <rcc rId="0" sId="25" dxf="1">
      <nc r="G38" t="inlineStr">
        <is>
          <t>days/per</t>
        </is>
      </nc>
      <ndxf>
        <numFmt numFmtId="30" formatCode="@"/>
      </ndxf>
    </rcc>
    <rfmt sheetId="25" sqref="H38" start="0" length="0">
      <dxf>
        <numFmt numFmtId="30" formatCode="@"/>
      </dxf>
    </rfmt>
    <rfmt sheetId="25" sqref="I38" start="0" length="0">
      <dxf>
        <font>
          <sz val="7"/>
          <color auto="1"/>
          <name val="Arial"/>
          <family val="2"/>
          <scheme val="none"/>
        </font>
        <numFmt numFmtId="30" formatCode="@"/>
        <border outline="0">
          <right style="thin">
            <color indexed="64"/>
          </right>
        </border>
      </dxf>
    </rfmt>
    <rcc rId="0" sId="25" dxf="1">
      <nc r="J38">
        <v>365.25</v>
      </nc>
      <ndxf/>
    </rcc>
    <rcc rId="0" sId="25" dxf="1">
      <nc r="K38" t="inlineStr">
        <is>
          <t>days/per</t>
        </is>
      </nc>
      <ndxf>
        <numFmt numFmtId="30" formatCode="@"/>
      </ndxf>
    </rcc>
    <rfmt sheetId="25" sqref="L38" start="0" length="0">
      <dxf>
        <numFmt numFmtId="30" formatCode="@"/>
      </dxf>
    </rfmt>
    <rfmt sheetId="25" sqref="M38" start="0" length="0">
      <dxf>
        <font>
          <sz val="7"/>
          <color auto="1"/>
          <name val="Arial"/>
          <family val="2"/>
          <scheme val="none"/>
        </font>
        <numFmt numFmtId="30" formatCode="@"/>
        <border outline="0">
          <right style="thin">
            <color indexed="64"/>
          </right>
        </border>
      </dxf>
    </rfmt>
  </rrc>
  <rrc rId="2669" sId="25" ref="A35:XFD35" action="deleteRow">
    <undo index="65535" exp="ref" v="1" dr="J35" r="J43" sId="25"/>
    <undo index="65535" exp="ref" v="1" dr="F35" r="F43" sId="25"/>
    <undo index="65535" exp="ref" v="1" dr="J35" r="J42" sId="25"/>
    <undo index="65535" exp="ref" v="1" dr="F35" r="F42" sId="25"/>
    <undo index="65535" exp="ref" v="1" dr="J35" r="J41" sId="25"/>
    <undo index="65535" exp="ref" v="1" dr="F35" r="F41" sId="25"/>
    <rfmt sheetId="25" xfDxf="1" sqref="A35:XFD35" start="0" length="0"/>
    <rcc rId="0" sId="25" dxf="1">
      <nc r="A35" t="inlineStr">
        <is>
          <t>Default BTU content of methane</t>
        </is>
      </nc>
      <ndxf>
        <numFmt numFmtId="30" formatCode="@"/>
        <border outline="0">
          <right style="thin">
            <color indexed="64"/>
          </right>
        </border>
      </ndxf>
    </rcc>
    <rcc rId="0" sId="25" dxf="1">
      <nc r="B35">
        <v>1028</v>
      </nc>
      <ndxf/>
    </rcc>
    <rcc rId="0" sId="25" dxf="1">
      <nc r="C35" t="inlineStr">
        <is>
          <t>BTU</t>
        </is>
      </nc>
      <ndxf>
        <numFmt numFmtId="30" formatCode="@"/>
      </ndxf>
    </rcc>
    <rfmt sheetId="25" sqref="D35" start="0" length="0">
      <dxf/>
    </rfmt>
    <rfmt sheetId="25" sqref="E35" start="0" length="0">
      <dxf>
        <font>
          <sz val="7"/>
          <color auto="1"/>
          <name val="Arial"/>
          <family val="2"/>
          <scheme val="none"/>
        </font>
        <border outline="0">
          <right style="thin">
            <color indexed="64"/>
          </right>
        </border>
      </dxf>
    </rfmt>
    <rcc rId="0" sId="25" dxf="1">
      <nc r="F35">
        <v>1028</v>
      </nc>
      <ndxf/>
    </rcc>
    <rcc rId="0" sId="25" dxf="1">
      <nc r="G35" t="inlineStr">
        <is>
          <t>BTU</t>
        </is>
      </nc>
      <ndxf>
        <numFmt numFmtId="30" formatCode="@"/>
      </ndxf>
    </rcc>
    <rfmt sheetId="25" sqref="H35" start="0" length="0">
      <dxf>
        <numFmt numFmtId="30" formatCode="@"/>
      </dxf>
    </rfmt>
    <rfmt sheetId="25" sqref="I35" start="0" length="0">
      <dxf>
        <font>
          <sz val="7"/>
          <color auto="1"/>
          <name val="Arial"/>
          <family val="2"/>
          <scheme val="none"/>
        </font>
        <numFmt numFmtId="30" formatCode="@"/>
        <border outline="0">
          <right style="thin">
            <color indexed="64"/>
          </right>
        </border>
      </dxf>
    </rfmt>
    <rcc rId="0" sId="25" dxf="1">
      <nc r="J35">
        <v>1028</v>
      </nc>
      <ndxf/>
    </rcc>
    <rcc rId="0" sId="25" dxf="1">
      <nc r="K35" t="inlineStr">
        <is>
          <t>BTU</t>
        </is>
      </nc>
      <ndxf>
        <numFmt numFmtId="30" formatCode="@"/>
      </ndxf>
    </rcc>
    <rfmt sheetId="25" sqref="L35" start="0" length="0">
      <dxf>
        <numFmt numFmtId="30" formatCode="@"/>
      </dxf>
    </rfmt>
    <rfmt sheetId="25" sqref="M35" start="0" length="0">
      <dxf>
        <font>
          <sz val="7"/>
          <color auto="1"/>
          <name val="Arial"/>
          <family val="2"/>
          <scheme val="none"/>
        </font>
        <numFmt numFmtId="30" formatCode="@"/>
        <border outline="0">
          <right style="thin">
            <color indexed="64"/>
          </right>
        </border>
      </dxf>
    </rfmt>
  </rrc>
  <rrc rId="2670" sId="25" ref="A20:XFD20" action="deleteRow">
    <rfmt sheetId="25" xfDxf="1" sqref="A20:XFD20" start="0" length="0"/>
    <rcc rId="0" sId="25" dxf="1">
      <nc r="A20" t="inlineStr">
        <is>
          <t xml:space="preserve"> BTU content of biogas</t>
        </is>
      </nc>
      <ndxf>
        <numFmt numFmtId="30" formatCode="@"/>
        <border outline="0">
          <right style="thin">
            <color indexed="64"/>
          </right>
        </border>
      </ndxf>
    </rcc>
    <rcc rId="0" sId="25" dxf="1">
      <nc r="B20">
        <v>600</v>
      </nc>
      <ndxf/>
    </rcc>
    <rcc rId="0" sId="25" dxf="1">
      <nc r="C20" t="inlineStr">
        <is>
          <t>BTU</t>
        </is>
      </nc>
      <ndxf>
        <numFmt numFmtId="30" formatCode="@"/>
      </ndxf>
    </rcc>
    <rcc rId="0" sId="25" dxf="1">
      <nc r="D20" t="inlineStr">
        <is>
          <t>KC15-90-06</t>
        </is>
      </nc>
      <ndxf/>
    </rcc>
    <rfmt sheetId="25" sqref="E20" start="0" length="0">
      <dxf>
        <font>
          <sz val="7"/>
          <color auto="1"/>
          <name val="Arial"/>
          <family val="2"/>
          <scheme val="none"/>
        </font>
        <border outline="0">
          <right style="thin">
            <color indexed="64"/>
          </right>
        </border>
      </dxf>
    </rfmt>
    <rcc rId="0" sId="25" dxf="1">
      <nc r="F20">
        <v>600</v>
      </nc>
      <ndxf/>
    </rcc>
    <rcc rId="0" sId="25" dxf="1">
      <nc r="G20" t="inlineStr">
        <is>
          <t>BTU</t>
        </is>
      </nc>
      <ndxf>
        <numFmt numFmtId="30" formatCode="@"/>
      </ndxf>
    </rcc>
    <rcc rId="0" sId="25" dxf="1">
      <nc r="H20" t="inlineStr">
        <is>
          <t>KC15-90-06</t>
        </is>
      </nc>
      <ndxf/>
    </rcc>
    <rfmt sheetId="25" sqref="I20" start="0" length="0">
      <dxf>
        <font>
          <sz val="7"/>
          <color auto="1"/>
          <name val="Arial"/>
          <family val="2"/>
          <scheme val="none"/>
        </font>
        <numFmt numFmtId="30" formatCode="@"/>
        <border outline="0">
          <right style="thin">
            <color indexed="64"/>
          </right>
        </border>
      </dxf>
    </rfmt>
    <rcc rId="0" sId="25" dxf="1">
      <nc r="J20">
        <v>600</v>
      </nc>
      <ndxf/>
    </rcc>
    <rcc rId="0" sId="25" dxf="1">
      <nc r="K20" t="inlineStr">
        <is>
          <t>BTU</t>
        </is>
      </nc>
      <ndxf>
        <numFmt numFmtId="30" formatCode="@"/>
      </ndxf>
    </rcc>
    <rcc rId="0" sId="25" dxf="1">
      <nc r="L20" t="inlineStr">
        <is>
          <t>KC15-90-06</t>
        </is>
      </nc>
      <ndxf/>
    </rcc>
    <rfmt sheetId="25" sqref="M20" start="0" length="0">
      <dxf>
        <font>
          <sz val="7"/>
          <color auto="1"/>
          <name val="Arial"/>
          <family val="2"/>
          <scheme val="none"/>
        </font>
        <border outline="0">
          <right style="thin">
            <color indexed="64"/>
          </right>
        </border>
      </dxf>
    </rfmt>
    <rfmt sheetId="25" sqref="N20" start="0" length="0">
      <dxf/>
    </rfmt>
    <rfmt sheetId="25" sqref="O20" start="0" length="0">
      <dxf>
        <numFmt numFmtId="30" formatCode="@"/>
      </dxf>
    </rfmt>
  </rrc>
  <rrc rId="2671" sId="25" ref="A16:XFD16" action="deleteRow">
    <undo index="65535" exp="ref" v="1" dr="J16" r="J41" sId="25"/>
    <undo index="65535" exp="ref" v="1" dr="F16" r="F41" sId="25"/>
    <rfmt sheetId="25" xfDxf="1" sqref="A16:XFD16" start="0" length="0"/>
    <rcc rId="0" sId="25" dxf="1">
      <nc r="A16" t="inlineStr">
        <is>
          <t>Measured fraction of methane in biogas</t>
        </is>
      </nc>
      <ndxf>
        <numFmt numFmtId="30" formatCode="@"/>
        <alignment horizontal="left" vertical="bottom"/>
        <border outline="0">
          <right style="thin">
            <color indexed="64"/>
          </right>
        </border>
      </ndxf>
    </rcc>
    <rcc rId="0" sId="25" s="1" dxf="1" numFmtId="13">
      <nc r="B16">
        <v>0.60470000000000002</v>
      </nc>
      <ndxf>
        <numFmt numFmtId="13" formatCode="0%"/>
      </ndxf>
    </rcc>
    <rfmt sheetId="25" sqref="D16" start="0" length="0">
      <dxf/>
    </rfmt>
    <rfmt sheetId="25" sqref="E16" start="0" length="0">
      <dxf>
        <font>
          <sz val="7"/>
          <color auto="1"/>
          <name val="Arial"/>
          <family val="2"/>
          <scheme val="none"/>
        </font>
        <border outline="0">
          <right style="thin">
            <color indexed="64"/>
          </right>
        </border>
      </dxf>
    </rfmt>
    <rcc rId="0" sId="25" s="1" dxf="1" numFmtId="13">
      <nc r="F16">
        <v>0.60470000000000002</v>
      </nc>
      <ndxf>
        <numFmt numFmtId="13" formatCode="0%"/>
      </ndxf>
    </rcc>
    <rfmt sheetId="25" sqref="G16" start="0" length="0">
      <dxf/>
    </rfmt>
    <rfmt sheetId="25" sqref="H16" start="0" length="0">
      <dxf>
        <numFmt numFmtId="30" formatCode="@"/>
      </dxf>
    </rfmt>
    <rfmt sheetId="25" sqref="I16" start="0" length="0">
      <dxf>
        <font>
          <sz val="7"/>
          <color auto="1"/>
          <name val="Arial"/>
          <family val="2"/>
          <scheme val="none"/>
        </font>
        <numFmt numFmtId="30" formatCode="@"/>
        <border outline="0">
          <right style="thin">
            <color indexed="64"/>
          </right>
        </border>
      </dxf>
    </rfmt>
    <rcc rId="0" sId="25" s="1" dxf="1" numFmtId="13">
      <nc r="J16">
        <v>0.60470000000000002</v>
      </nc>
      <ndxf>
        <numFmt numFmtId="13" formatCode="0%"/>
      </ndxf>
    </rcc>
    <rfmt sheetId="25" sqref="K16" start="0" length="0">
      <dxf/>
    </rfmt>
    <rcc rId="0" sId="25" dxf="1">
      <nc r="L16" t="inlineStr">
        <is>
          <t>No longer needed for the calculation because BTU of methane in the gas is known-- see row 22</t>
        </is>
      </nc>
      <ndxf>
        <numFmt numFmtId="30" formatCode="@"/>
      </ndxf>
    </rcc>
    <rfmt sheetId="25" sqref="M16" start="0" length="0">
      <dxf>
        <font>
          <sz val="7"/>
          <color auto="1"/>
          <name val="Arial"/>
          <family val="2"/>
          <scheme val="none"/>
        </font>
        <border outline="0">
          <right style="thin">
            <color indexed="64"/>
          </right>
        </border>
      </dxf>
    </rfmt>
    <rfmt sheetId="25" s="1" sqref="N16" start="0" length="0">
      <dxf>
        <numFmt numFmtId="13" formatCode="0%"/>
      </dxf>
    </rfmt>
    <rfmt sheetId="25" sqref="O16" start="0" length="0">
      <dxf/>
    </rfmt>
  </rrc>
  <rcc rId="2672" sId="25">
    <oc r="F38">
      <f>F9*#REF!*#REF!*F33*F34*#REF!*F35*F36</f>
    </oc>
    <nc r="F38">
      <f>F9*thermTOBtu*F33*F34*F35*F36</f>
    </nc>
  </rcc>
  <rcc rId="2673" sId="25" odxf="1" dxf="1">
    <oc r="F39">
      <f>F11*#REF!*#REF!*F33*F34*#REF!*F35*F36</f>
    </oc>
    <nc r="F39">
      <f>F11*thermTOBtu*F33*F34*F35*F36</f>
    </nc>
    <odxf/>
    <ndxf/>
  </rcc>
  <rcc rId="2674" sId="25">
    <oc r="F40">
      <f>F13*#REF!*#REF!*F33*F34*#REF!*F35*F36</f>
    </oc>
    <nc r="F40">
      <f>F13*thermTOBtu*F33*F34*F35*F36</f>
    </nc>
  </rcc>
  <rcc rId="2675" sId="25">
    <oc r="J38">
      <f>J9*#REF!*#REF!*J33*J34*#REF!*J35*J36</f>
    </oc>
    <nc r="J38">
      <f>J9*thermTOBtu*J33*J34*J35*J36</f>
    </nc>
  </rcc>
  <rcc rId="2676" sId="25" odxf="1" dxf="1">
    <oc r="J39">
      <f>J11*#REF!*#REF!*J33*J34*#REF!*J35*J36</f>
    </oc>
    <nc r="J39">
      <f>J11*thermTOBtu*J33*J34*J35*J36</f>
    </nc>
    <odxf/>
    <ndxf/>
  </rcc>
  <rcc rId="2677" sId="25">
    <oc r="J40">
      <f>J15*#REF!*#REF!*J33*J34*#REF!*J35*J36</f>
    </oc>
    <nc r="J40">
      <f>J13*thermTOBtu*J33*J34*J35*J36</f>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78" sId="23">
    <oc r="M13" t="inlineStr">
      <is>
        <t>KC15-50-08</t>
      </is>
    </oc>
    <nc r="M13" t="inlineStr">
      <is>
        <t>KC15-50-02</t>
      </is>
    </nc>
  </rcc>
  <rcc rId="2679" sId="23">
    <oc r="M22" t="inlineStr">
      <is>
        <t>KC15-50-08</t>
      </is>
    </oc>
    <nc r="M22" t="inlineStr">
      <is>
        <t>KC15-50-02</t>
      </is>
    </nc>
  </rcc>
  <rcc rId="2680" sId="23">
    <oc r="M31" t="inlineStr">
      <is>
        <t>KC15-50-08</t>
      </is>
    </oc>
    <nc r="M31" t="inlineStr">
      <is>
        <t>KC15-50-02</t>
      </is>
    </nc>
  </rcc>
  <rcc rId="2681" sId="23" numFmtId="34">
    <oc r="F13">
      <f>F9*F8</f>
    </oc>
    <nc r="F13">
      <v>15000</v>
    </nc>
  </rcc>
  <rcc rId="2682" sId="23" odxf="1" dxf="1">
    <nc r="H13" t="inlineStr">
      <is>
        <t>KC15-50-02</t>
      </is>
    </nc>
    <odxf>
      <font>
        <b/>
        <family val="2"/>
      </font>
    </odxf>
    <ndxf>
      <font>
        <b val="0"/>
        <sz val="9"/>
        <color auto="1"/>
        <name val="Arial"/>
        <family val="2"/>
        <scheme val="none"/>
      </font>
    </ndxf>
  </rcc>
  <rcmt sheetId="23" cell="F13" guid="{00000000-0000-0000-0000-000000000000}" action="delete" author="Kirstin Hervin"/>
  <rcc rId="2683" sId="23" numFmtId="34">
    <oc r="F22">
      <f>F19*F13</f>
    </oc>
    <nc r="F22">
      <v>15000</v>
    </nc>
  </rcc>
  <rcc rId="2684" sId="23" numFmtId="34">
    <oc r="F31">
      <f>F28*F13</f>
    </oc>
    <nc r="F31">
      <v>3000</v>
    </nc>
  </rcc>
  <rfmt sheetId="23" sqref="A64" start="0" length="0">
    <dxf>
      <border>
        <left/>
        <right style="thin">
          <color indexed="64"/>
        </right>
        <top/>
        <bottom/>
      </border>
    </dxf>
  </rfmt>
  <rcc rId="2685" sId="23" numFmtId="34">
    <oc r="F59">
      <f>F58*GWPCH4</f>
    </oc>
    <nc r="F59">
      <v>3000</v>
    </nc>
  </rcc>
  <rfmt sheetId="23" s="1" sqref="B57" start="0" length="0">
    <dxf>
      <font>
        <sz val="9"/>
        <color auto="1"/>
        <name val="Arial"/>
        <family val="2"/>
        <scheme val="none"/>
      </font>
      <alignment horizontal="left"/>
    </dxf>
  </rfmt>
  <rfmt sheetId="23" s="1" sqref="B58" start="0" length="0">
    <dxf>
      <font>
        <sz val="9"/>
        <color auto="1"/>
        <name val="Arial"/>
        <family val="2"/>
        <scheme val="none"/>
      </font>
      <numFmt numFmtId="181" formatCode="_(* #,##0_);_(* \(#,##0\);_(* &quot;-&quot;??_);_(@_)"/>
      <alignment horizontal="left"/>
    </dxf>
  </rfmt>
  <rrc rId="2686" sId="23" ref="A5:XFD5" action="insertRow"/>
  <rcc rId="2687" sId="23">
    <nc r="A5" t="inlineStr">
      <is>
        <t>Landfills reported in the City of Seattle Inventory</t>
      </is>
    </nc>
  </rcc>
  <rcc rId="2688" sId="23" odxf="1" dxf="1">
    <oc r="A14" t="inlineStr">
      <is>
        <t>1. Calculate emissions</t>
      </is>
    </oc>
    <nc r="A14" t="inlineStr">
      <is>
        <t>Interbay Landfills</t>
      </is>
    </nc>
    <odxf>
      <numFmt numFmtId="30" formatCode="@"/>
      <fill>
        <patternFill patternType="none">
          <bgColor indexed="65"/>
        </patternFill>
      </fill>
    </odxf>
    <ndxf>
      <numFmt numFmtId="0" formatCode="General"/>
      <fill>
        <patternFill patternType="solid">
          <bgColor indexed="50"/>
        </patternFill>
      </fill>
    </ndxf>
  </rcc>
  <rfmt sheetId="23" sqref="K60" start="0" length="0">
    <dxf>
      <fill>
        <patternFill patternType="none">
          <bgColor indexed="65"/>
        </patternFill>
      </fill>
    </dxf>
  </rfmt>
  <rcc rId="2689" sId="23" odxf="1" dxf="1">
    <oc r="B57">
      <f>B54*ft3TOL/minTOday</f>
    </oc>
    <nc r="B57"/>
    <odxf>
      <font>
        <b val="0"/>
        <sz val="9"/>
        <family val="2"/>
      </font>
    </odxf>
    <ndxf>
      <font>
        <b/>
        <sz val="9"/>
        <family val="2"/>
      </font>
    </ndxf>
  </rcc>
  <rcc rId="2690" sId="23" odxf="1" dxf="1">
    <oc r="C57" t="inlineStr">
      <is>
        <t>L/day</t>
      </is>
    </oc>
    <nc r="C57"/>
    <odxf>
      <font>
        <b val="0"/>
        <family val="2"/>
      </font>
      <numFmt numFmtId="0" formatCode="General"/>
      <alignment horizontal="general"/>
    </odxf>
    <ndxf>
      <font>
        <b/>
        <family val="2"/>
      </font>
      <numFmt numFmtId="30" formatCode="@"/>
      <alignment horizontal="left"/>
    </ndxf>
  </rcc>
  <rcc rId="2691" sId="23" odxf="1" dxf="1">
    <oc r="B58">
      <f>B56*B52*densityCH4</f>
    </oc>
    <nc r="B58"/>
    <ndxf>
      <font>
        <b/>
        <sz val="9"/>
        <family val="2"/>
      </font>
    </ndxf>
  </rcc>
  <rcc rId="2692" sId="23" odxf="1" dxf="1">
    <oc r="C58" t="inlineStr">
      <is>
        <t>g/day</t>
      </is>
    </oc>
    <nc r="C58"/>
    <ndxf>
      <font>
        <b/>
        <family val="2"/>
      </font>
      <numFmt numFmtId="30" formatCode="@"/>
      <alignment horizontal="left"/>
    </ndxf>
  </rcc>
  <rcc rId="2693" sId="23" odxf="1" dxf="1">
    <oc r="B59">
      <f>B57/(dayTOyr)/1000000</f>
    </oc>
    <nc r="B59"/>
    <ndxf>
      <font>
        <b/>
        <sz val="9"/>
        <family val="2"/>
      </font>
    </ndxf>
  </rcc>
  <rcc rId="2694" sId="23" odxf="1" dxf="1">
    <oc r="C59" t="inlineStr">
      <is>
        <t>Mg/yr</t>
      </is>
    </oc>
    <nc r="C59"/>
    <ndxf>
      <font>
        <b/>
        <family val="2"/>
      </font>
      <numFmt numFmtId="30" formatCode="@"/>
      <alignment horizontal="left"/>
    </ndxf>
  </rcc>
  <rcc rId="2695" sId="23" numFmtId="34">
    <oc r="B60">
      <f>B58*GWPCH4</f>
    </oc>
    <nc r="B60">
      <v>3000</v>
    </nc>
  </rcc>
  <rrc rId="2696" sId="23" ref="A52:XFD52" action="deleteRow">
    <rfmt sheetId="23" xfDxf="1" sqref="A52:XFD52" start="0" length="0"/>
    <rcc rId="0" sId="23" dxf="1">
      <nc r="A52" t="inlineStr">
        <is>
          <t>West Seattle emissions monitoring</t>
        </is>
      </nc>
      <ndxf>
        <font>
          <sz val="9"/>
          <color auto="1"/>
          <name val="Arial"/>
          <family val="2"/>
          <scheme val="none"/>
        </font>
        <numFmt numFmtId="30" formatCode="@"/>
        <alignment horizontal="left"/>
      </ndxf>
    </rcc>
    <rfmt sheetId="23" sqref="B52" start="0" length="0">
      <dxf>
        <numFmt numFmtId="3" formatCode="#,##0"/>
        <border outline="0">
          <left style="thin">
            <color indexed="64"/>
          </left>
        </border>
      </dxf>
    </rfmt>
    <rfmt sheetId="23" sqref="C52" start="0" length="0">
      <dxf>
        <font>
          <sz val="9"/>
          <color auto="1"/>
          <name val="Arial"/>
          <family val="2"/>
          <scheme val="none"/>
        </font>
        <numFmt numFmtId="3" formatCode="#,##0"/>
      </dxf>
    </rfmt>
    <rfmt sheetId="23" sqref="D52" start="0" length="0">
      <dxf>
        <numFmt numFmtId="30" formatCode="@"/>
        <alignment horizontal="center"/>
      </dxf>
    </rfmt>
    <rfmt sheetId="23" sqref="E52" start="0" length="0">
      <dxf>
        <font>
          <sz val="7"/>
          <color auto="1"/>
          <name val="Arial"/>
          <family val="2"/>
          <scheme val="none"/>
        </font>
        <numFmt numFmtId="30" formatCode="@"/>
        <alignment horizontal="center"/>
      </dxf>
    </rfmt>
    <rfmt sheetId="23" sqref="F52" start="0" length="0">
      <dxf>
        <numFmt numFmtId="3" formatCode="#,##0"/>
        <border outline="0">
          <left style="thin">
            <color indexed="64"/>
          </left>
        </border>
      </dxf>
    </rfmt>
    <rfmt sheetId="23" sqref="G52" start="0" length="0">
      <dxf>
        <font>
          <sz val="9"/>
          <color auto="1"/>
          <name val="Arial"/>
          <family val="2"/>
          <scheme val="none"/>
        </font>
        <numFmt numFmtId="3" formatCode="#,##0"/>
      </dxf>
    </rfmt>
    <rfmt sheetId="23" sqref="H52" start="0" length="0">
      <dxf>
        <numFmt numFmtId="30" formatCode="@"/>
        <alignment horizontal="center"/>
      </dxf>
    </rfmt>
    <rfmt sheetId="23" sqref="I52" start="0" length="0">
      <dxf>
        <font>
          <sz val="7"/>
          <color auto="1"/>
          <name val="Arial"/>
          <family val="2"/>
          <scheme val="none"/>
        </font>
        <numFmt numFmtId="30" formatCode="@"/>
        <alignment horizontal="center"/>
      </dxf>
    </rfmt>
    <rfmt sheetId="23" sqref="J52" start="0" length="0">
      <dxf>
        <numFmt numFmtId="30" formatCode="@"/>
        <alignment horizontal="center"/>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numFmt numFmtId="30" formatCode="@"/>
        <alignment horizontal="center"/>
        <border outline="0">
          <right style="thin">
            <color indexed="64"/>
          </right>
        </border>
      </dxf>
    </rfmt>
    <rfmt sheetId="23" sqref="O52" start="0" length="0">
      <dxf>
        <font>
          <sz val="7"/>
          <color auto="1"/>
          <name val="Arial"/>
          <family val="2"/>
          <scheme val="none"/>
        </font>
        <numFmt numFmtId="30" formatCode="@"/>
        <alignment horizontal="center"/>
      </dxf>
    </rfmt>
    <rfmt sheetId="23" sqref="P52" start="0" length="0">
      <dxf>
        <font>
          <sz val="7"/>
          <color auto="1"/>
          <name val="Arial"/>
          <family val="2"/>
          <scheme val="none"/>
        </font>
        <numFmt numFmtId="30" formatCode="@"/>
        <alignment horizontal="center"/>
      </dxf>
    </rfmt>
    <rfmt sheetId="23" sqref="Q52" start="0" length="0">
      <dxf>
        <font>
          <sz val="7"/>
          <color auto="1"/>
          <name val="Arial"/>
          <family val="2"/>
          <scheme val="none"/>
        </font>
        <numFmt numFmtId="30" formatCode="@"/>
        <alignment horizontal="center"/>
      </dxf>
    </rfmt>
  </rrc>
  <rrc rId="2697" sId="23" ref="A52:XFD52" action="deleteRow">
    <undo index="65535" exp="ref" v="1" dr="F52" r="F57" sId="23"/>
    <rfmt sheetId="23" xfDxf="1" sqref="A52:XFD52" start="0" length="0"/>
    <rcc rId="0" sId="23" dxf="1">
      <nc r="A52" t="inlineStr">
        <is>
          <t>system methane concentration</t>
        </is>
      </nc>
      <ndxf>
        <font>
          <sz val="9"/>
          <color auto="1"/>
          <name val="Arial"/>
          <family val="2"/>
          <scheme val="none"/>
        </font>
        <numFmt numFmtId="30" formatCode="@"/>
        <alignment horizontal="left" indent="1"/>
      </ndxf>
    </rcc>
    <rcc rId="0" sId="23" dxf="1" numFmtId="14">
      <nc r="B52">
        <v>8.3000000000000004E-2</v>
      </nc>
      <ndxf>
        <numFmt numFmtId="178" formatCode="0.0%"/>
        <border outline="0">
          <left style="thin">
            <color indexed="64"/>
          </left>
        </border>
      </ndxf>
    </rcc>
    <rcc rId="0" sId="23" dxf="1">
      <nc r="D52" t="inlineStr">
        <is>
          <t xml:space="preserve">05-174 </t>
        </is>
      </nc>
      <ndxf>
        <font>
          <sz val="9"/>
          <color auto="1"/>
          <name val="Arial"/>
          <family val="2"/>
          <scheme val="none"/>
        </font>
        <numFmt numFmtId="30" formatCode="@"/>
        <alignment horizontal="center"/>
      </ndxf>
    </rcc>
    <rcc rId="0" sId="23" dxf="1">
      <nc r="E52" t="inlineStr">
        <is>
          <t>fourth quarter average, p. 2</t>
        </is>
      </nc>
      <ndxf>
        <font>
          <sz val="7"/>
          <color auto="1"/>
          <name val="Arial"/>
          <family val="2"/>
          <scheme val="none"/>
        </font>
        <numFmt numFmtId="30" formatCode="@"/>
        <alignment horizontal="center"/>
      </ndxf>
    </rcc>
    <rcc rId="0" sId="23" dxf="1" numFmtId="14">
      <nc r="F52">
        <v>7.4999999999999997E-2</v>
      </nc>
      <ndxf>
        <numFmt numFmtId="178" formatCode="0.0%"/>
        <border outline="0">
          <left style="thin">
            <color indexed="64"/>
          </left>
        </border>
      </ndxf>
    </rcc>
    <rcc rId="0" sId="23" dxf="1">
      <nc r="H52" t="inlineStr">
        <is>
          <t xml:space="preserve">08-50-2 </t>
        </is>
      </nc>
      <ndxf>
        <font>
          <sz val="9"/>
          <color auto="1"/>
          <name val="Arial"/>
          <family val="2"/>
          <scheme val="none"/>
        </font>
        <numFmt numFmtId="165" formatCode="#,##0.0"/>
        <alignment horizontal="center"/>
      </ndxf>
    </rcc>
    <rcc rId="0" sId="23" dxf="1">
      <nc r="I52" t="inlineStr">
        <is>
          <t>fourth quarter average pg 2</t>
        </is>
      </nc>
      <ndxf>
        <font>
          <sz val="7"/>
          <color auto="1"/>
          <name val="Arial"/>
          <family val="2"/>
          <scheme val="none"/>
        </font>
        <numFmt numFmtId="165" formatCode="#,##0.0"/>
        <alignment horizontal="center" wrapText="1"/>
      </ndxf>
    </rcc>
    <rfmt sheetId="23" sqref="J52" start="0" length="0">
      <dxf>
        <numFmt numFmtId="165" formatCode="#,##0.0"/>
        <alignment horizontal="center" wrapText="1"/>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numFmt numFmtId="165" formatCode="#,##0.0"/>
        <alignment horizontal="center" wrapText="1"/>
        <border outline="0">
          <right style="thin">
            <color indexed="64"/>
          </right>
        </border>
      </dxf>
    </rfmt>
    <rfmt sheetId="23" sqref="O52" start="0" length="0">
      <dxf>
        <font>
          <sz val="7"/>
          <color auto="1"/>
          <name val="Arial"/>
          <family val="2"/>
          <scheme val="none"/>
        </font>
        <numFmt numFmtId="165" formatCode="#,##0.0"/>
        <alignment horizontal="center" wrapText="1"/>
      </dxf>
    </rfmt>
    <rfmt sheetId="23" sqref="P52" start="0" length="0">
      <dxf>
        <font>
          <sz val="7"/>
          <color auto="1"/>
          <name val="Arial"/>
          <family val="2"/>
          <scheme val="none"/>
        </font>
        <numFmt numFmtId="165" formatCode="#,##0.0"/>
        <alignment horizontal="center" wrapText="1"/>
      </dxf>
    </rfmt>
    <rfmt sheetId="23" sqref="Q52" start="0" length="0">
      <dxf>
        <font>
          <sz val="7"/>
          <color auto="1"/>
          <name val="Arial"/>
          <family val="2"/>
          <scheme val="none"/>
        </font>
        <numFmt numFmtId="165" formatCode="#,##0.0"/>
        <alignment horizontal="center" wrapText="1"/>
      </dxf>
    </rfmt>
  </rrc>
  <rrc rId="2698" sId="23" ref="A52:XFD52" action="deleteRow">
    <undo index="0" exp="ref" v="1" dr="F52" r="F55" sId="23"/>
    <rfmt sheetId="23" xfDxf="1" sqref="A52:XFD52" start="0" length="0"/>
    <rcc rId="0" sId="23" dxf="1">
      <nc r="A52" t="inlineStr">
        <is>
          <t>system flow</t>
        </is>
      </nc>
      <ndxf>
        <font>
          <sz val="9"/>
          <color auto="1"/>
          <name val="Arial"/>
          <family val="2"/>
          <scheme val="none"/>
        </font>
        <numFmt numFmtId="30" formatCode="@"/>
        <alignment horizontal="left" indent="1"/>
      </ndxf>
    </rcc>
    <rcc rId="0" sId="23" dxf="1" numFmtId="4">
      <nc r="B52">
        <v>127</v>
      </nc>
      <ndxf>
        <numFmt numFmtId="3" formatCode="#,##0"/>
        <border outline="0">
          <left style="thin">
            <color indexed="64"/>
          </left>
        </border>
      </ndxf>
    </rcc>
    <rcc rId="0" sId="23" dxf="1">
      <nc r="C52" t="inlineStr">
        <is>
          <r>
            <t>ft</t>
          </r>
          <r>
            <rPr>
              <vertAlign val="superscript"/>
              <sz val="9"/>
              <rFont val="Arial"/>
              <family val="2"/>
            </rPr>
            <t>3</t>
          </r>
          <r>
            <rPr>
              <sz val="9"/>
              <rFont val="Arial"/>
              <family val="2"/>
            </rPr>
            <t>/min</t>
          </r>
        </is>
      </nc>
      <ndxf>
        <font>
          <sz val="9"/>
          <color auto="1"/>
          <name val="Arial"/>
          <family val="2"/>
          <scheme val="none"/>
        </font>
      </ndxf>
    </rcc>
    <rcc rId="0" sId="23" dxf="1">
      <nc r="D52" t="inlineStr">
        <is>
          <t>05-174</t>
        </is>
      </nc>
      <ndxf>
        <font>
          <sz val="9"/>
          <color auto="1"/>
          <name val="Arial"/>
          <family val="2"/>
          <scheme val="none"/>
        </font>
        <numFmt numFmtId="30" formatCode="@"/>
        <alignment horizontal="center"/>
      </ndxf>
    </rcc>
    <rfmt sheetId="23" sqref="E52" start="0" length="0">
      <dxf>
        <font>
          <sz val="7"/>
          <color auto="1"/>
          <name val="Arial"/>
          <family val="2"/>
          <scheme val="none"/>
        </font>
        <numFmt numFmtId="30" formatCode="@"/>
        <alignment horizontal="center"/>
      </dxf>
    </rfmt>
    <rcc rId="0" sId="23" dxf="1" numFmtId="4">
      <nc r="F52">
        <v>130</v>
      </nc>
      <ndxf>
        <numFmt numFmtId="3" formatCode="#,##0"/>
        <border outline="0">
          <left style="thin">
            <color indexed="64"/>
          </left>
        </border>
      </ndxf>
    </rcc>
    <rcc rId="0" sId="23" dxf="1">
      <nc r="G52" t="inlineStr">
        <is>
          <r>
            <t>ft</t>
          </r>
          <r>
            <rPr>
              <vertAlign val="superscript"/>
              <sz val="9"/>
              <rFont val="Arial"/>
              <family val="2"/>
            </rPr>
            <t>3</t>
          </r>
          <r>
            <rPr>
              <sz val="9"/>
              <rFont val="Arial"/>
              <family val="2"/>
            </rPr>
            <t>/min</t>
          </r>
        </is>
      </nc>
      <ndxf>
        <font>
          <sz val="9"/>
          <color auto="1"/>
          <name val="Arial"/>
          <family val="2"/>
          <scheme val="none"/>
        </font>
      </ndxf>
    </rcc>
    <rcc rId="0" sId="23" dxf="1">
      <nc r="H52" t="inlineStr">
        <is>
          <t xml:space="preserve">08-50-2 </t>
        </is>
      </nc>
      <ndxf>
        <font>
          <sz val="9"/>
          <color auto="1"/>
          <name val="Arial"/>
          <family val="2"/>
          <scheme val="none"/>
        </font>
        <numFmt numFmtId="30" formatCode="@"/>
        <alignment horizontal="center"/>
      </ndxf>
    </rcc>
    <rcc rId="0" sId="23" dxf="1">
      <nc r="I52" t="inlineStr">
        <is>
          <t>pg 2</t>
        </is>
      </nc>
      <ndxf>
        <font>
          <sz val="7"/>
          <color auto="1"/>
          <name val="Arial"/>
          <family val="2"/>
          <scheme val="none"/>
        </font>
        <numFmt numFmtId="30" formatCode="@"/>
        <alignment horizontal="left"/>
      </ndxf>
    </rcc>
    <rfmt sheetId="23" sqref="J52" start="0" length="0">
      <dxf>
        <numFmt numFmtId="30" formatCode="@"/>
        <alignment horizontal="left"/>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numFmt numFmtId="30" formatCode="@"/>
        <alignment horizontal="left"/>
        <border outline="0">
          <right style="thin">
            <color indexed="64"/>
          </right>
        </border>
      </dxf>
    </rfmt>
    <rfmt sheetId="23" sqref="O52" start="0" length="0">
      <dxf>
        <font>
          <sz val="7"/>
          <color auto="1"/>
          <name val="Arial"/>
          <family val="2"/>
          <scheme val="none"/>
        </font>
        <numFmt numFmtId="30" formatCode="@"/>
        <alignment horizontal="left"/>
      </dxf>
    </rfmt>
    <rfmt sheetId="23" sqref="P52" start="0" length="0">
      <dxf>
        <font>
          <sz val="7"/>
          <color auto="1"/>
          <name val="Arial"/>
          <family val="2"/>
          <scheme val="none"/>
        </font>
        <numFmt numFmtId="30" formatCode="@"/>
        <alignment horizontal="left"/>
      </dxf>
    </rfmt>
    <rfmt sheetId="23" sqref="Q52" start="0" length="0">
      <dxf>
        <font>
          <sz val="7"/>
          <color auto="1"/>
          <name val="Arial"/>
          <family val="2"/>
          <scheme val="none"/>
        </font>
        <numFmt numFmtId="30" formatCode="@"/>
        <alignment horizontal="left"/>
      </dxf>
    </rfmt>
  </rrc>
  <rrc rId="2699" sId="23" ref="A52:XFD52" action="deleteRow">
    <rfmt sheetId="23" xfDxf="1" sqref="A52:XFD52" start="0" length="0"/>
    <rfmt sheetId="23" sqref="A52" start="0" length="0">
      <dxf>
        <numFmt numFmtId="30" formatCode="@"/>
        <alignment horizontal="left" wrapText="1" indent="2"/>
      </dxf>
    </rfmt>
    <rfmt sheetId="23" sqref="B52" start="0" length="0">
      <dxf>
        <numFmt numFmtId="3" formatCode="#,##0"/>
        <border outline="0">
          <left style="thin">
            <color indexed="64"/>
          </left>
        </border>
      </dxf>
    </rfmt>
    <rfmt sheetId="23" sqref="C52" start="0" length="0">
      <dxf>
        <numFmt numFmtId="3" formatCode="#,##0"/>
      </dxf>
    </rfmt>
    <rfmt sheetId="23" sqref="D52" start="0" length="0">
      <dxf>
        <numFmt numFmtId="30" formatCode="@"/>
        <alignment horizontal="center"/>
      </dxf>
    </rfmt>
    <rfmt sheetId="23" sqref="E52" start="0" length="0">
      <dxf>
        <font>
          <sz val="7"/>
          <color auto="1"/>
          <name val="Arial"/>
          <family val="2"/>
          <scheme val="none"/>
        </font>
        <numFmt numFmtId="30" formatCode="@"/>
        <alignment horizontal="center"/>
      </dxf>
    </rfmt>
    <rfmt sheetId="23" sqref="F52" start="0" length="0">
      <dxf>
        <numFmt numFmtId="3" formatCode="#,##0"/>
        <border outline="0">
          <left style="thin">
            <color indexed="64"/>
          </left>
        </border>
      </dxf>
    </rfmt>
    <rfmt sheetId="23" sqref="G52" start="0" length="0">
      <dxf>
        <font>
          <b/>
          <sz val="9"/>
          <color auto="1"/>
          <name val="Arial"/>
          <family val="2"/>
          <scheme val="none"/>
        </font>
      </dxf>
    </rfmt>
    <rfmt sheetId="23" sqref="H52" start="0" length="0">
      <dxf>
        <alignment horizontal="center"/>
      </dxf>
    </rfmt>
    <rfmt sheetId="23" sqref="I52" start="0" length="0">
      <dxf>
        <font>
          <sz val="7"/>
          <color auto="1"/>
          <name val="Arial"/>
          <family val="2"/>
          <scheme val="none"/>
        </font>
      </dxf>
    </rfmt>
    <rfmt sheetId="23" sqref="J52" start="0" length="0">
      <dxf>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border outline="0">
          <right style="thin">
            <color indexed="64"/>
          </right>
        </border>
      </dxf>
    </rfmt>
    <rfmt sheetId="23" sqref="O52" start="0" length="0">
      <dxf>
        <font>
          <sz val="7"/>
          <color auto="1"/>
          <name val="Arial"/>
          <family val="2"/>
          <scheme val="none"/>
        </font>
      </dxf>
    </rfmt>
    <rfmt sheetId="23" sqref="P52" start="0" length="0">
      <dxf>
        <font>
          <sz val="7"/>
          <color auto="1"/>
          <name val="Arial"/>
          <family val="2"/>
          <scheme val="none"/>
        </font>
      </dxf>
    </rfmt>
    <rfmt sheetId="23" sqref="Q52" start="0" length="0">
      <dxf>
        <font>
          <sz val="7"/>
          <color auto="1"/>
          <name val="Arial"/>
          <family val="2"/>
          <scheme val="none"/>
        </font>
      </dxf>
    </rfmt>
  </rrc>
  <rrc rId="2700" sId="23" ref="A52:XFD52" action="deleteRow">
    <rfmt sheetId="23" xfDxf="1" sqref="A52:XFD52" start="0" length="0"/>
    <rcc rId="0" sId="23" dxf="1">
      <nc r="A52" t="inlineStr">
        <is>
          <t>Calculation steps</t>
        </is>
      </nc>
      <ndxf>
        <font>
          <b/>
          <sz val="9"/>
          <color auto="1"/>
          <name val="Arial"/>
          <family val="2"/>
          <scheme val="none"/>
        </font>
        <numFmt numFmtId="30" formatCode="@"/>
        <fill>
          <patternFill patternType="solid">
            <bgColor rgb="FF00B0F0"/>
          </patternFill>
        </fill>
        <alignment horizontal="left" vertical="bottom"/>
      </ndxf>
    </rcc>
    <rfmt sheetId="23" s="1" sqref="B52" start="0" length="0">
      <dxf>
        <font>
          <b/>
          <sz val="9"/>
          <color auto="1"/>
          <name val="Arial"/>
          <family val="2"/>
          <scheme val="none"/>
        </font>
        <numFmt numFmtId="181" formatCode="_(* #,##0_);_(* \(#,##0\);_(* &quot;-&quot;??_);_(@_)"/>
        <alignment horizontal="left"/>
        <border outline="0">
          <left style="thin">
            <color indexed="64"/>
          </left>
        </border>
      </dxf>
    </rfmt>
    <rfmt sheetId="23" sqref="C52" start="0" length="0">
      <dxf>
        <font>
          <b/>
          <sz val="9"/>
          <color auto="1"/>
          <name val="Arial"/>
          <family val="2"/>
          <scheme val="none"/>
        </font>
        <numFmt numFmtId="30" formatCode="@"/>
        <alignment horizontal="left"/>
      </dxf>
    </rfmt>
    <rfmt sheetId="23" sqref="D52" start="0" length="0">
      <dxf>
        <font>
          <b/>
          <sz val="9"/>
          <color auto="1"/>
          <name val="Arial"/>
          <family val="2"/>
          <scheme val="none"/>
        </font>
        <numFmt numFmtId="30" formatCode="@"/>
        <alignment horizontal="center"/>
      </dxf>
    </rfmt>
    <rfmt sheetId="23" sqref="E52" start="0" length="0">
      <dxf>
        <font>
          <b/>
          <sz val="7"/>
          <color auto="1"/>
          <name val="Arial"/>
          <family val="2"/>
          <scheme val="none"/>
        </font>
        <numFmt numFmtId="30" formatCode="@"/>
        <alignment horizontal="left"/>
      </dxf>
    </rfmt>
    <rfmt sheetId="23" s="1" sqref="F52" start="0" length="0">
      <dxf>
        <font>
          <b/>
          <sz val="9"/>
          <color auto="1"/>
          <name val="Arial"/>
          <family val="2"/>
          <scheme val="none"/>
        </font>
        <numFmt numFmtId="181" formatCode="_(* #,##0_);_(* \(#,##0\);_(* &quot;-&quot;??_);_(@_)"/>
        <alignment horizontal="left"/>
        <border outline="0">
          <left style="thin">
            <color indexed="64"/>
          </left>
        </border>
      </dxf>
    </rfmt>
    <rfmt sheetId="23" sqref="G52" start="0" length="0">
      <dxf>
        <font>
          <b/>
          <sz val="9"/>
          <color auto="1"/>
          <name val="Arial"/>
          <family val="2"/>
          <scheme val="none"/>
        </font>
        <numFmt numFmtId="30" formatCode="@"/>
        <alignment horizontal="left"/>
      </dxf>
    </rfmt>
    <rfmt sheetId="23" sqref="H52" start="0" length="0">
      <dxf>
        <font>
          <b/>
          <sz val="9"/>
          <color auto="1"/>
          <name val="Arial"/>
          <family val="2"/>
          <scheme val="none"/>
        </font>
        <numFmt numFmtId="30" formatCode="@"/>
        <alignment horizontal="center"/>
      </dxf>
    </rfmt>
    <rfmt sheetId="23" sqref="I52" start="0" length="0">
      <dxf>
        <font>
          <b/>
          <sz val="7"/>
          <color auto="1"/>
          <name val="Arial"/>
          <family val="2"/>
          <scheme val="none"/>
        </font>
        <numFmt numFmtId="30" formatCode="@"/>
        <alignment horizontal="left"/>
      </dxf>
    </rfmt>
    <rfmt sheetId="23" sqref="J52" start="0" length="0">
      <dxf>
        <numFmt numFmtId="30" formatCode="@"/>
        <alignment horizontal="left"/>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b/>
          <sz val="7"/>
          <color auto="1"/>
          <name val="Arial"/>
          <family val="2"/>
          <scheme val="none"/>
        </font>
        <numFmt numFmtId="30" formatCode="@"/>
        <alignment horizontal="left"/>
        <border outline="0">
          <right style="thin">
            <color indexed="64"/>
          </right>
        </border>
      </dxf>
    </rfmt>
    <rfmt sheetId="23" sqref="O52" start="0" length="0">
      <dxf>
        <font>
          <b/>
          <sz val="7"/>
          <color auto="1"/>
          <name val="Arial"/>
          <family val="2"/>
          <scheme val="none"/>
        </font>
        <numFmt numFmtId="30" formatCode="@"/>
        <alignment horizontal="left"/>
      </dxf>
    </rfmt>
    <rfmt sheetId="23" sqref="P52" start="0" length="0">
      <dxf>
        <font>
          <b/>
          <sz val="7"/>
          <color auto="1"/>
          <name val="Arial"/>
          <family val="2"/>
          <scheme val="none"/>
        </font>
        <numFmt numFmtId="30" formatCode="@"/>
        <alignment horizontal="left"/>
      </dxf>
    </rfmt>
    <rfmt sheetId="23" sqref="Q52" start="0" length="0">
      <dxf>
        <font>
          <b/>
          <sz val="7"/>
          <color auto="1"/>
          <name val="Arial"/>
          <family val="2"/>
          <scheme val="none"/>
        </font>
        <numFmt numFmtId="30" formatCode="@"/>
        <alignment horizontal="left"/>
      </dxf>
    </rfmt>
  </rrc>
  <rrc rId="2701" sId="23" ref="A52:XFD52" action="deleteRow">
    <undo index="0" exp="ref" v="1" dr="F52" r="F53" sId="23"/>
    <rfmt sheetId="23" xfDxf="1" sqref="A52:XFD52" start="0" length="0"/>
    <rcc rId="0" sId="23" dxf="1">
      <nc r="A52" t="inlineStr">
        <is>
          <t>1. Convert to L/day</t>
        </is>
      </nc>
      <ndxf>
        <font>
          <sz val="9"/>
          <color auto="1"/>
          <name val="Arial"/>
          <family val="2"/>
          <scheme val="none"/>
        </font>
        <numFmt numFmtId="30" formatCode="@"/>
        <alignment horizontal="left" vertical="bottom"/>
      </ndxf>
    </rcc>
    <rfmt sheetId="23" s="1" sqref="B52" start="0" length="0">
      <dxf>
        <font>
          <b/>
          <sz val="9"/>
          <color auto="1"/>
          <name val="Arial"/>
          <family val="2"/>
          <scheme val="none"/>
        </font>
        <numFmt numFmtId="181" formatCode="_(* #,##0_);_(* \(#,##0\);_(* &quot;-&quot;??_);_(@_)"/>
        <alignment horizontal="left"/>
        <border outline="0">
          <left style="thin">
            <color indexed="64"/>
          </left>
        </border>
      </dxf>
    </rfmt>
    <rfmt sheetId="23" sqref="C52" start="0" length="0">
      <dxf>
        <font>
          <b/>
          <sz val="9"/>
          <color auto="1"/>
          <name val="Arial"/>
          <family val="2"/>
          <scheme val="none"/>
        </font>
        <numFmt numFmtId="30" formatCode="@"/>
        <alignment horizontal="left"/>
      </dxf>
    </rfmt>
    <rfmt sheetId="23" sqref="D52" start="0" length="0">
      <dxf>
        <font>
          <b/>
          <sz val="9"/>
          <color auto="1"/>
          <name val="Arial"/>
          <family val="2"/>
          <scheme val="none"/>
        </font>
        <numFmt numFmtId="30" formatCode="@"/>
        <alignment horizontal="center"/>
      </dxf>
    </rfmt>
    <rfmt sheetId="23" sqref="E52" start="0" length="0">
      <dxf>
        <font>
          <b/>
          <sz val="7"/>
          <color auto="1"/>
          <name val="Arial"/>
          <family val="2"/>
          <scheme val="none"/>
        </font>
        <numFmt numFmtId="30" formatCode="@"/>
        <alignment horizontal="left"/>
      </dxf>
    </rfmt>
    <rcc rId="0" sId="23" s="1" dxf="1">
      <nc r="F52">
        <f>#REF!*ft3TOL/minTOday</f>
      </nc>
      <ndxf>
        <font>
          <sz val="9"/>
          <color auto="1"/>
          <name val="Arial"/>
          <family val="2"/>
          <scheme val="none"/>
        </font>
        <numFmt numFmtId="181" formatCode="_(* #,##0_);_(* \(#,##0\);_(* &quot;-&quot;??_);_(@_)"/>
        <alignment horizontal="left"/>
        <border outline="0">
          <left style="thin">
            <color indexed="64"/>
          </left>
        </border>
      </ndxf>
    </rcc>
    <rcc rId="0" sId="23" dxf="1">
      <nc r="G52" t="inlineStr">
        <is>
          <t>L/day</t>
        </is>
      </nc>
      <ndxf>
        <font>
          <sz val="9"/>
          <color auto="1"/>
          <name val="Arial"/>
          <family val="2"/>
          <scheme val="none"/>
        </font>
      </ndxf>
    </rcc>
    <rfmt sheetId="23" sqref="H52" start="0" length="0">
      <dxf>
        <font>
          <b/>
          <sz val="9"/>
          <color auto="1"/>
          <name val="Arial"/>
          <family val="2"/>
          <scheme val="none"/>
        </font>
        <numFmt numFmtId="30" formatCode="@"/>
        <alignment horizontal="center"/>
      </dxf>
    </rfmt>
    <rfmt sheetId="23" sqref="I52" start="0" length="0">
      <dxf>
        <font>
          <b/>
          <sz val="7"/>
          <color auto="1"/>
          <name val="Arial"/>
          <family val="2"/>
          <scheme val="none"/>
        </font>
        <numFmt numFmtId="30" formatCode="@"/>
        <alignment horizontal="left"/>
      </dxf>
    </rfmt>
    <rfmt sheetId="23" sqref="J52" start="0" length="0">
      <dxf>
        <numFmt numFmtId="30" formatCode="@"/>
        <alignment horizontal="left"/>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b/>
          <sz val="7"/>
          <color auto="1"/>
          <name val="Arial"/>
          <family val="2"/>
          <scheme val="none"/>
        </font>
        <numFmt numFmtId="30" formatCode="@"/>
        <alignment horizontal="left"/>
        <border outline="0">
          <right style="thin">
            <color indexed="64"/>
          </right>
        </border>
      </dxf>
    </rfmt>
    <rfmt sheetId="23" sqref="O52" start="0" length="0">
      <dxf>
        <font>
          <b/>
          <sz val="7"/>
          <color auto="1"/>
          <name val="Arial"/>
          <family val="2"/>
          <scheme val="none"/>
        </font>
        <numFmt numFmtId="30" formatCode="@"/>
        <alignment horizontal="left"/>
      </dxf>
    </rfmt>
    <rfmt sheetId="23" sqref="P52" start="0" length="0">
      <dxf>
        <font>
          <b/>
          <sz val="7"/>
          <color auto="1"/>
          <name val="Arial"/>
          <family val="2"/>
          <scheme val="none"/>
        </font>
        <numFmt numFmtId="30" formatCode="@"/>
        <alignment horizontal="left"/>
      </dxf>
    </rfmt>
    <rfmt sheetId="23" sqref="Q52" start="0" length="0">
      <dxf>
        <font>
          <b/>
          <sz val="7"/>
          <color auto="1"/>
          <name val="Arial"/>
          <family val="2"/>
          <scheme val="none"/>
        </font>
        <numFmt numFmtId="30" formatCode="@"/>
        <alignment horizontal="left"/>
      </dxf>
    </rfmt>
  </rrc>
  <rrc rId="2702" sId="23" ref="A52:XFD52" action="deleteRow">
    <undo index="0" exp="ref" v="1" dr="F52" r="F53" sId="23"/>
    <rfmt sheetId="23" xfDxf="1" sqref="A52:XFD52" start="0" length="0"/>
    <rcc rId="0" sId="23" dxf="1">
      <nc r="A52" t="inlineStr">
        <is>
          <t>2. Calculate methane flow</t>
        </is>
      </nc>
      <ndxf>
        <font>
          <sz val="9"/>
          <color auto="1"/>
          <name val="Arial"/>
          <family val="2"/>
          <scheme val="none"/>
        </font>
        <numFmt numFmtId="30" formatCode="@"/>
        <alignment horizontal="left"/>
      </ndxf>
    </rcc>
    <rfmt sheetId="23" s="1" sqref="B52" start="0" length="0">
      <dxf>
        <font>
          <b/>
          <sz val="9"/>
          <color auto="1"/>
          <name val="Arial"/>
          <family val="2"/>
          <scheme val="none"/>
        </font>
        <numFmt numFmtId="181" formatCode="_(* #,##0_);_(* \(#,##0\);_(* &quot;-&quot;??_);_(@_)"/>
        <alignment horizontal="left"/>
        <border outline="0">
          <left style="thin">
            <color indexed="64"/>
          </left>
        </border>
      </dxf>
    </rfmt>
    <rfmt sheetId="23" sqref="C52" start="0" length="0">
      <dxf>
        <font>
          <b/>
          <sz val="9"/>
          <color auto="1"/>
          <name val="Arial"/>
          <family val="2"/>
          <scheme val="none"/>
        </font>
        <numFmt numFmtId="30" formatCode="@"/>
        <alignment horizontal="left"/>
      </dxf>
    </rfmt>
    <rfmt sheetId="23" sqref="D52" start="0" length="0">
      <dxf>
        <numFmt numFmtId="30" formatCode="@"/>
        <alignment horizontal="center"/>
      </dxf>
    </rfmt>
    <rfmt sheetId="23" sqref="E52" start="0" length="0">
      <dxf>
        <font>
          <sz val="7"/>
          <color auto="1"/>
          <name val="Arial"/>
          <family val="2"/>
          <scheme val="none"/>
        </font>
        <numFmt numFmtId="30" formatCode="@"/>
        <alignment horizontal="center"/>
      </dxf>
    </rfmt>
    <rcc rId="0" sId="23" dxf="1">
      <nc r="F52">
        <f>#REF!*#REF!*densityCH4</f>
      </nc>
      <ndxf>
        <numFmt numFmtId="181" formatCode="_(* #,##0_);_(* \(#,##0\);_(* &quot;-&quot;??_);_(@_)"/>
        <border outline="0">
          <left style="thin">
            <color indexed="64"/>
          </left>
        </border>
      </ndxf>
    </rcc>
    <rcc rId="0" sId="23" dxf="1">
      <nc r="G52" t="inlineStr">
        <is>
          <t>g/day</t>
        </is>
      </nc>
      <ndxf>
        <font>
          <sz val="9"/>
          <color auto="1"/>
          <name val="Arial"/>
          <family val="2"/>
          <scheme val="none"/>
        </font>
      </ndxf>
    </rcc>
    <rfmt sheetId="23" sqref="H52" start="0" length="0">
      <dxf>
        <numFmt numFmtId="30" formatCode="@"/>
        <alignment horizontal="center"/>
      </dxf>
    </rfmt>
    <rfmt sheetId="23" sqref="I52" start="0" length="0">
      <dxf>
        <font>
          <sz val="7"/>
          <color auto="1"/>
          <name val="Arial"/>
          <family val="2"/>
          <scheme val="none"/>
        </font>
        <numFmt numFmtId="30" formatCode="@"/>
        <alignment horizontal="center"/>
      </dxf>
    </rfmt>
    <rfmt sheetId="23" sqref="J52" start="0" length="0">
      <dxf>
        <numFmt numFmtId="30" formatCode="@"/>
        <alignment horizontal="center"/>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numFmt numFmtId="30" formatCode="@"/>
        <alignment horizontal="center"/>
        <border outline="0">
          <right style="thin">
            <color indexed="64"/>
          </right>
        </border>
      </dxf>
    </rfmt>
    <rfmt sheetId="23" sqref="O52" start="0" length="0">
      <dxf>
        <font>
          <sz val="7"/>
          <color auto="1"/>
          <name val="Arial"/>
          <family val="2"/>
          <scheme val="none"/>
        </font>
        <numFmt numFmtId="30" formatCode="@"/>
        <alignment horizontal="center"/>
      </dxf>
    </rfmt>
    <rfmt sheetId="23" sqref="P52" start="0" length="0">
      <dxf>
        <font>
          <sz val="7"/>
          <color auto="1"/>
          <name val="Arial"/>
          <family val="2"/>
          <scheme val="none"/>
        </font>
        <numFmt numFmtId="30" formatCode="@"/>
        <alignment horizontal="center"/>
      </dxf>
    </rfmt>
    <rfmt sheetId="23" sqref="Q52" start="0" length="0">
      <dxf>
        <font>
          <sz val="7"/>
          <color auto="1"/>
          <name val="Arial"/>
          <family val="2"/>
          <scheme val="none"/>
        </font>
        <numFmt numFmtId="30" formatCode="@"/>
        <alignment horizontal="center"/>
      </dxf>
    </rfmt>
  </rrc>
  <rrc rId="2703" sId="23" ref="A52:XFD52" action="deleteRow">
    <rfmt sheetId="23" xfDxf="1" sqref="A52:XFD52" start="0" length="0"/>
    <rcc rId="0" sId="23" dxf="1">
      <nc r="A52" t="inlineStr">
        <is>
          <t>3. Convert methane flow to mg/yr</t>
        </is>
      </nc>
      <ndxf>
        <font>
          <sz val="9"/>
          <color auto="1"/>
          <name val="Arial"/>
          <family val="2"/>
          <scheme val="none"/>
        </font>
        <numFmt numFmtId="30" formatCode="@"/>
        <alignment horizontal="left" wrapText="1"/>
      </ndxf>
    </rcc>
    <rfmt sheetId="23" s="1" sqref="B52" start="0" length="0">
      <dxf>
        <font>
          <b/>
          <sz val="9"/>
          <color auto="1"/>
          <name val="Arial"/>
          <family val="2"/>
          <scheme val="none"/>
        </font>
        <numFmt numFmtId="181" formatCode="_(* #,##0_);_(* \(#,##0\);_(* &quot;-&quot;??_);_(@_)"/>
        <alignment horizontal="left"/>
        <border outline="0">
          <left style="thin">
            <color indexed="64"/>
          </left>
        </border>
      </dxf>
    </rfmt>
    <rfmt sheetId="23" sqref="C52" start="0" length="0">
      <dxf>
        <font>
          <b/>
          <sz val="9"/>
          <color auto="1"/>
          <name val="Arial"/>
          <family val="2"/>
          <scheme val="none"/>
        </font>
        <numFmt numFmtId="30" formatCode="@"/>
        <alignment horizontal="left"/>
      </dxf>
    </rfmt>
    <rfmt sheetId="23" sqref="D52" start="0" length="0">
      <dxf>
        <numFmt numFmtId="30" formatCode="@"/>
        <alignment horizontal="center"/>
      </dxf>
    </rfmt>
    <rfmt sheetId="23" sqref="E52" start="0" length="0">
      <dxf>
        <font>
          <sz val="7"/>
          <color auto="1"/>
          <name val="Arial"/>
          <family val="2"/>
          <scheme val="none"/>
        </font>
        <numFmt numFmtId="30" formatCode="@"/>
        <alignment horizontal="center"/>
      </dxf>
    </rfmt>
    <rcc rId="0" sId="23" dxf="1">
      <nc r="F52">
        <f>#REF!/(dayTOyr)/1000000</f>
      </nc>
      <ndxf>
        <numFmt numFmtId="1" formatCode="0"/>
        <border outline="0">
          <left style="thin">
            <color indexed="64"/>
          </left>
        </border>
      </ndxf>
    </rcc>
    <rcc rId="0" sId="23" dxf="1">
      <nc r="G52" t="inlineStr">
        <is>
          <t>Mg/yr</t>
        </is>
      </nc>
      <ndxf>
        <font>
          <sz val="9"/>
          <color auto="1"/>
          <name val="Arial"/>
          <family val="2"/>
          <scheme val="none"/>
        </font>
      </ndxf>
    </rcc>
    <rfmt sheetId="23" sqref="H52" start="0" length="0">
      <dxf>
        <numFmt numFmtId="30" formatCode="@"/>
        <alignment horizontal="center"/>
      </dxf>
    </rfmt>
    <rfmt sheetId="23" sqref="I52" start="0" length="0">
      <dxf>
        <font>
          <sz val="7"/>
          <color auto="1"/>
          <name val="Arial"/>
          <family val="2"/>
          <scheme val="none"/>
        </font>
        <numFmt numFmtId="30" formatCode="@"/>
        <alignment horizontal="center"/>
      </dxf>
    </rfmt>
    <rfmt sheetId="23" sqref="J52" start="0" length="0">
      <dxf>
        <numFmt numFmtId="30" formatCode="@"/>
        <alignment horizontal="center"/>
        <border outline="0">
          <left style="thin">
            <color indexed="64"/>
          </left>
          <right style="thin">
            <color indexed="64"/>
          </right>
        </border>
      </dxf>
    </rfmt>
    <rfmt sheetId="23" s="1" sqref="K52" start="0" length="0">
      <dxf>
        <numFmt numFmtId="181" formatCode="_(* #,##0_);_(* \(#,##0\);_(* &quot;-&quot;??_);_(@_)"/>
        <border outline="0">
          <left style="thin">
            <color indexed="64"/>
          </left>
        </border>
      </dxf>
    </rfmt>
    <rfmt sheetId="23" sqref="L52" start="0" length="0">
      <dxf/>
    </rfmt>
    <rfmt sheetId="23" sqref="M52" start="0" length="0">
      <dxf>
        <numFmt numFmtId="30" formatCode="@"/>
        <alignment horizontal="center"/>
      </dxf>
    </rfmt>
    <rfmt sheetId="23" sqref="N52" start="0" length="0">
      <dxf>
        <font>
          <sz val="7"/>
          <color auto="1"/>
          <name val="Arial"/>
          <family val="2"/>
          <scheme val="none"/>
        </font>
        <numFmt numFmtId="30" formatCode="@"/>
        <alignment horizontal="center"/>
        <border outline="0">
          <right style="thin">
            <color indexed="64"/>
          </right>
        </border>
      </dxf>
    </rfmt>
    <rfmt sheetId="23" sqref="O52" start="0" length="0">
      <dxf>
        <font>
          <sz val="7"/>
          <color auto="1"/>
          <name val="Arial"/>
          <family val="2"/>
          <scheme val="none"/>
        </font>
        <numFmt numFmtId="30" formatCode="@"/>
        <alignment horizontal="center"/>
      </dxf>
    </rfmt>
    <rfmt sheetId="23" sqref="P52" start="0" length="0">
      <dxf>
        <font>
          <sz val="7"/>
          <color auto="1"/>
          <name val="Arial"/>
          <family val="2"/>
          <scheme val="none"/>
        </font>
        <numFmt numFmtId="30" formatCode="@"/>
        <alignment horizontal="center"/>
      </dxf>
    </rfmt>
    <rfmt sheetId="23" sqref="Q52" start="0" length="0">
      <dxf>
        <font>
          <sz val="7"/>
          <color auto="1"/>
          <name val="Arial"/>
          <family val="2"/>
          <scheme val="none"/>
        </font>
        <numFmt numFmtId="30" formatCode="@"/>
        <alignment horizontal="center"/>
      </dxf>
    </rfmt>
  </rrc>
  <rcc rId="2704" sId="23">
    <oc r="A52" t="inlineStr">
      <is>
        <t>4. Calculate methane emissions</t>
      </is>
    </oc>
    <nc r="A52" t="inlineStr">
      <is>
        <t>Seattle reported CO2e</t>
      </is>
    </nc>
  </rcc>
  <rcc rId="2705" sId="23" odxf="1" dxf="1">
    <nc r="D52" t="inlineStr">
      <is>
        <t>KC15-50-08</t>
      </is>
    </nc>
    <odxf>
      <font>
        <b/>
        <family val="2"/>
      </font>
      <numFmt numFmtId="0" formatCode="General"/>
    </odxf>
    <ndxf>
      <font>
        <b val="0"/>
        <sz val="9"/>
        <color auto="1"/>
        <name val="Arial"/>
        <family val="2"/>
        <scheme val="none"/>
      </font>
      <numFmt numFmtId="30" formatCode="@"/>
    </ndxf>
  </rcc>
  <rcc rId="2706" sId="23">
    <nc r="H52" t="inlineStr">
      <is>
        <t>KC15-50-08</t>
      </is>
    </nc>
  </rcc>
  <rcc rId="2707" sId="23">
    <nc r="M52" t="inlineStr">
      <is>
        <t>No longer reported by City of Seattle</t>
      </is>
    </nc>
  </rcc>
  <rfmt sheetId="23" sqref="M52">
    <dxf>
      <alignment horizontal="left"/>
    </dxf>
  </rfmt>
  <rcc rId="2708" sId="23" numFmtId="34">
    <oc r="F46">
      <f>F42*F13</f>
    </oc>
    <nc r="F46">
      <v>6000</v>
    </nc>
  </rcc>
  <rfmt sheetId="23" sqref="G41" start="0" length="0">
    <dxf>
      <font>
        <sz val="9"/>
        <color auto="1"/>
        <name val="Arial"/>
        <family val="2"/>
        <scheme val="none"/>
      </font>
    </dxf>
  </rfmt>
  <rfmt sheetId="23" sqref="H41" start="0" length="0">
    <dxf>
      <numFmt numFmtId="165" formatCode="#,##0.0"/>
    </dxf>
  </rfmt>
  <rfmt sheetId="23" sqref="G42" start="0" length="0">
    <dxf>
      <font>
        <sz val="9"/>
        <color auto="1"/>
        <name val="Arial"/>
        <family val="2"/>
        <scheme val="none"/>
      </font>
    </dxf>
  </rfmt>
  <rfmt sheetId="23" sqref="H42" start="0" length="0">
    <dxf>
      <numFmt numFmtId="165" formatCode="#,##0.0"/>
    </dxf>
  </rfmt>
  <rfmt sheetId="23" sqref="F43" start="0" length="0">
    <dxf>
      <numFmt numFmtId="3" formatCode="#,##0"/>
    </dxf>
  </rfmt>
  <rfmt sheetId="23" sqref="G43" start="0" length="0">
    <dxf>
      <font>
        <sz val="9"/>
        <color auto="1"/>
        <name val="Arial"/>
        <family val="2"/>
        <scheme val="none"/>
      </font>
    </dxf>
  </rfmt>
  <rfmt sheetId="23" sqref="H43" start="0" length="0">
    <dxf>
      <numFmt numFmtId="165" formatCode="#,##0.0"/>
    </dxf>
  </rfmt>
  <rfmt sheetId="23" sqref="F44" start="0" length="0">
    <dxf>
      <numFmt numFmtId="3" formatCode="#,##0"/>
    </dxf>
  </rfmt>
  <rfmt sheetId="23" sqref="G44" start="0" length="0">
    <dxf>
      <font>
        <sz val="9"/>
        <color auto="1"/>
        <name val="Arial"/>
        <family val="2"/>
        <scheme val="none"/>
      </font>
    </dxf>
  </rfmt>
  <rfmt sheetId="23" sqref="H44" start="0" length="0">
    <dxf>
      <numFmt numFmtId="165" formatCode="#,##0.0"/>
    </dxf>
  </rfmt>
  <rcc rId="2709" sId="23" odxf="1" dxf="1" numFmtId="4">
    <oc r="F38">
      <v>0.1</v>
    </oc>
    <nc r="F38"/>
    <odxf>
      <numFmt numFmtId="4" formatCode="#,##0.00"/>
    </odxf>
    <ndxf>
      <numFmt numFmtId="3" formatCode="#,##0"/>
    </ndxf>
  </rcc>
  <rfmt sheetId="23" sqref="G38" start="0" length="0">
    <dxf/>
  </rfmt>
  <rcc rId="2710" sId="23" odxf="1" dxf="1">
    <oc r="H38" t="inlineStr">
      <is>
        <t>05-066</t>
      </is>
    </oc>
    <nc r="H38"/>
    <odxf>
      <numFmt numFmtId="30" formatCode="@"/>
    </odxf>
    <ndxf>
      <numFmt numFmtId="165" formatCode="#,##0.0"/>
    </ndxf>
  </rcc>
  <rcc rId="2711" sId="23" odxf="1" dxf="1">
    <oc r="I38" t="inlineStr">
      <is>
        <t xml:space="preserve"> 11 City-owned acres only</t>
      </is>
    </oc>
    <nc r="I38"/>
    <odxf>
      <numFmt numFmtId="30" formatCode="@"/>
      <alignment horizontal="left" wrapText="1"/>
    </odxf>
    <ndxf>
      <numFmt numFmtId="165" formatCode="#,##0.0"/>
      <alignment horizontal="general" wrapText="0"/>
    </ndxf>
  </rcc>
  <rfmt sheetId="23" sqref="F39" start="0" length="0">
    <dxf>
      <numFmt numFmtId="3" formatCode="#,##0"/>
    </dxf>
  </rfmt>
  <rfmt sheetId="23" sqref="G39" start="0" length="0">
    <dxf>
      <font>
        <sz val="9"/>
        <color auto="1"/>
        <name val="Arial"/>
        <family val="2"/>
        <scheme val="none"/>
      </font>
    </dxf>
  </rfmt>
  <rfmt sheetId="23" sqref="G40" start="0" length="0">
    <dxf>
      <font>
        <sz val="9"/>
        <color auto="1"/>
        <name val="Arial"/>
        <family val="2"/>
        <scheme val="none"/>
      </font>
    </dxf>
  </rfmt>
  <rfmt sheetId="23" sqref="H40" start="0" length="0">
    <dxf>
      <font>
        <sz val="9"/>
        <color auto="1"/>
        <name val="Arial"/>
        <family val="2"/>
        <scheme val="none"/>
      </font>
    </dxf>
  </rfmt>
  <rcc rId="2712" sId="23">
    <oc r="F41">
      <v>55</v>
    </oc>
    <nc r="F41"/>
  </rcc>
  <rcc rId="2713" sId="23" odxf="1" dxf="1">
    <oc r="G41" t="inlineStr">
      <is>
        <t>acre</t>
      </is>
    </oc>
    <nc r="G41"/>
    <ndxf>
      <font>
        <sz val="9"/>
        <color auto="1"/>
        <name val="Arial"/>
        <family val="2"/>
        <scheme val="none"/>
      </font>
    </ndxf>
  </rcc>
  <rcc rId="2714" sId="23" odxf="1" dxf="1">
    <oc r="H41" t="inlineStr">
      <is>
        <t>05-015</t>
      </is>
    </oc>
    <nc r="H41"/>
    <ndxf>
      <font>
        <sz val="9"/>
        <color auto="1"/>
        <name val="Arial"/>
        <family val="2"/>
        <scheme val="none"/>
      </font>
    </ndxf>
  </rcc>
  <rfmt sheetId="23" sqref="I41" start="0" length="0">
    <dxf>
      <numFmt numFmtId="165" formatCode="#,##0.0"/>
      <alignment horizontal="general"/>
    </dxf>
  </rfmt>
  <rcc rId="2715" sId="23">
    <oc r="F42">
      <v>20</v>
    </oc>
    <nc r="F42"/>
  </rcc>
  <rcc rId="2716" sId="23" odxf="1" dxf="1">
    <oc r="G42" t="inlineStr">
      <is>
        <t>acre</t>
      </is>
    </oc>
    <nc r="G42"/>
    <ndxf>
      <font>
        <sz val="9"/>
        <color auto="1"/>
        <name val="Arial"/>
        <family val="2"/>
        <scheme val="none"/>
      </font>
    </ndxf>
  </rcc>
  <rcc rId="2717" sId="23" odxf="1" dxf="1">
    <oc r="H42" t="inlineStr">
      <is>
        <t>05-015</t>
      </is>
    </oc>
    <nc r="H42"/>
    <ndxf>
      <font>
        <sz val="9"/>
        <color auto="1"/>
        <name val="Arial"/>
        <family val="2"/>
        <scheme val="none"/>
      </font>
    </ndxf>
  </rcc>
  <rfmt sheetId="23" sqref="I42" start="0" length="0">
    <dxf>
      <numFmt numFmtId="165" formatCode="#,##0.0"/>
      <alignment horizontal="general"/>
    </dxf>
  </rfmt>
  <rcc rId="2718" sId="23">
    <oc r="F43">
      <f>F42/F41</f>
    </oc>
    <nc r="F43"/>
  </rcc>
  <rfmt sheetId="23" sqref="G43" start="0" length="0">
    <dxf>
      <font>
        <sz val="9"/>
        <color auto="1"/>
        <name val="Arial"/>
        <family val="2"/>
        <scheme val="none"/>
      </font>
    </dxf>
  </rfmt>
  <rfmt sheetId="23" sqref="H43" start="0" length="0">
    <dxf>
      <font>
        <sz val="9"/>
        <color auto="1"/>
        <name val="Arial"/>
        <family val="2"/>
        <scheme val="none"/>
      </font>
    </dxf>
  </rfmt>
  <rfmt sheetId="23" sqref="I43" start="0" length="0">
    <dxf>
      <numFmt numFmtId="165" formatCode="#,##0.0"/>
    </dxf>
  </rfmt>
  <rfmt sheetId="23" sqref="G44" start="0" length="0">
    <dxf>
      <font>
        <sz val="9"/>
        <color auto="1"/>
        <name val="Arial"/>
        <family val="2"/>
        <scheme val="none"/>
      </font>
    </dxf>
  </rfmt>
  <rfmt sheetId="23" sqref="H44" start="0" length="0">
    <dxf>
      <font>
        <sz val="9"/>
        <color auto="1"/>
        <name val="Arial"/>
        <family val="2"/>
        <scheme val="none"/>
      </font>
    </dxf>
  </rfmt>
  <rfmt sheetId="23" sqref="I44" start="0" length="0">
    <dxf>
      <numFmt numFmtId="165" formatCode="#,##0.0"/>
    </dxf>
  </rfmt>
  <rcc rId="2719" sId="23" odxf="1" dxf="1">
    <nc r="H46" t="inlineStr">
      <is>
        <t>KC15-50-08</t>
      </is>
    </nc>
    <odxf>
      <font>
        <b/>
        <family val="2"/>
      </font>
    </odxf>
    <ndxf>
      <font>
        <b val="0"/>
        <sz val="9"/>
        <color auto="1"/>
        <name val="Arial"/>
        <family val="2"/>
        <scheme val="none"/>
      </font>
    </ndxf>
  </rcc>
  <rcc rId="2720" sId="23" odxf="1" dxf="1">
    <oc r="F29">
      <v>0.17</v>
    </oc>
    <nc r="F29"/>
    <odxf>
      <numFmt numFmtId="4" formatCode="#,##0.00"/>
    </odxf>
    <ndxf>
      <numFmt numFmtId="0" formatCode="General"/>
    </ndxf>
  </rcc>
  <rfmt sheetId="23" sqref="G29" start="0" length="0">
    <dxf/>
  </rfmt>
  <rcc rId="2721" sId="23">
    <oc r="H29" t="inlineStr">
      <is>
        <t>05-066</t>
      </is>
    </oc>
    <nc r="H29"/>
  </rcc>
  <rcc rId="2722" sId="23" odxf="1" dxf="1">
    <nc r="H32" t="inlineStr">
      <is>
        <t>KC15-50-02</t>
      </is>
    </nc>
    <odxf>
      <font>
        <b/>
        <family val="2"/>
      </font>
    </odxf>
    <ndxf>
      <font>
        <b val="0"/>
        <sz val="9"/>
        <color auto="1"/>
        <name val="Arial"/>
        <family val="2"/>
        <scheme val="none"/>
      </font>
    </ndxf>
  </rcc>
  <rfmt sheetId="23" sqref="G21:G39" start="0" length="2147483647">
    <dxf>
      <font>
        <b/>
        <family val="2"/>
      </font>
    </dxf>
  </rfmt>
  <rfmt sheetId="23" sqref="G43:G51" start="0" length="2147483647">
    <dxf>
      <font>
        <b/>
        <family val="2"/>
      </font>
    </dxf>
  </rfmt>
  <rcc rId="2723" sId="23" odxf="1" dxf="1">
    <nc r="H23" t="inlineStr">
      <is>
        <t>KC15-50-02</t>
      </is>
    </nc>
    <odxf>
      <font>
        <b/>
        <family val="2"/>
      </font>
    </odxf>
    <ndxf>
      <font>
        <b val="0"/>
        <sz val="9"/>
        <color auto="1"/>
        <name val="Arial"/>
        <family val="2"/>
        <scheme val="none"/>
      </font>
    </ndxf>
  </rcc>
  <rcc rId="2724" sId="23" numFmtId="4">
    <oc r="F20">
      <v>0.95</v>
    </oc>
    <nc r="F20"/>
  </rcc>
  <rcc rId="2725" sId="23">
    <oc r="H20" t="inlineStr">
      <is>
        <t>05-066</t>
      </is>
    </oc>
    <nc r="H20"/>
  </rcc>
  <rfmt sheetId="23" sqref="F8" start="0" length="0">
    <dxf>
      <numFmt numFmtId="3" formatCode="#,##0"/>
    </dxf>
  </rfmt>
  <rcc rId="2726" sId="23" numFmtId="4">
    <oc r="F9">
      <v>3875.9587448773873</v>
    </oc>
    <nc r="F9"/>
  </rcc>
  <rcc rId="2727" sId="23" odxf="1" dxf="1">
    <oc r="G9" t="inlineStr">
      <is>
        <r>
          <t>MgCO</t>
        </r>
        <r>
          <rPr>
            <vertAlign val="subscript"/>
            <sz val="9"/>
            <rFont val="Arial"/>
            <family val="2"/>
          </rPr>
          <t>2</t>
        </r>
        <r>
          <rPr>
            <sz val="9"/>
            <rFont val="Arial"/>
            <family val="2"/>
          </rPr>
          <t>e</t>
        </r>
      </is>
    </oc>
    <nc r="G9"/>
    <odxf/>
    <ndxf/>
  </rcc>
  <rcc rId="2728" sId="23" odxf="1" dxf="1">
    <oc r="H9" t="inlineStr">
      <is>
        <t xml:space="preserve">08-50-1 </t>
      </is>
    </oc>
    <nc r="H9"/>
    <odxf>
      <font>
        <family val="2"/>
      </font>
    </odxf>
    <ndxf>
      <font>
        <sz val="9"/>
        <color auto="1"/>
        <name val="Arial"/>
        <family val="2"/>
        <scheme val="none"/>
      </font>
    </ndxf>
  </rcc>
  <rcc rId="2729" sId="23">
    <oc r="I9" t="inlineStr">
      <is>
        <t>Cell R22</t>
      </is>
    </oc>
    <nc r="I9"/>
  </rcc>
  <rcc rId="2730" sId="23" odxf="1" dxf="1" numFmtId="4">
    <oc r="F10">
      <v>7.2</v>
    </oc>
    <nc r="F10"/>
    <odxf>
      <numFmt numFmtId="165" formatCode="#,##0.0"/>
    </odxf>
    <ndxf>
      <numFmt numFmtId="3" formatCode="#,##0"/>
    </ndxf>
  </rcc>
  <rfmt sheetId="23" sqref="G10" start="0" length="0">
    <dxf/>
  </rfmt>
  <rcc rId="2731" sId="23" odxf="1" dxf="1">
    <oc r="H10" t="inlineStr">
      <is>
        <t>08-50-1</t>
      </is>
    </oc>
    <nc r="H10"/>
    <odxf>
      <font>
        <family val="2"/>
      </font>
    </odxf>
    <ndxf>
      <font>
        <sz val="9"/>
        <color auto="1"/>
        <name val="Arial"/>
        <family val="2"/>
        <scheme val="none"/>
      </font>
    </ndxf>
  </rcc>
  <rfmt sheetId="23" sqref="F11" start="0" length="0">
    <dxf>
      <numFmt numFmtId="3" formatCode="#,##0"/>
    </dxf>
  </rfmt>
  <rfmt sheetId="23" sqref="G11" start="0" length="0">
    <dxf/>
  </rfmt>
  <rfmt sheetId="23" sqref="H11" start="0" length="0">
    <dxf>
      <font>
        <sz val="9"/>
        <color auto="1"/>
        <name val="Arial"/>
        <family val="2"/>
        <scheme val="none"/>
      </font>
    </dxf>
  </rfmt>
  <rcc rId="2732" sId="23" odxf="1" dxf="1">
    <oc r="H80" t="inlineStr">
      <is>
        <t>MRR reporting does not go back to 2008 and before</t>
      </is>
    </oc>
    <nc r="H80"/>
    <odxf>
      <font>
        <sz val="7"/>
        <family val="2"/>
      </font>
      <alignment horizontal="general"/>
      <border outline="0">
        <left style="thin">
          <color indexed="64"/>
        </left>
        <right style="thin">
          <color indexed="64"/>
        </right>
      </border>
    </odxf>
    <ndxf>
      <font>
        <sz val="9"/>
        <color auto="1"/>
        <name val="Arial"/>
        <family val="2"/>
        <scheme val="none"/>
      </font>
      <alignment horizontal="center"/>
      <border outline="0">
        <left/>
        <right/>
      </border>
    </ndxf>
  </rcc>
  <rfmt sheetId="23" sqref="I76" start="0" length="0">
    <dxf>
      <border>
        <left/>
        <right style="thin">
          <color indexed="64"/>
        </right>
        <top/>
        <bottom/>
      </border>
    </dxf>
  </rfmt>
  <rcc rId="2733" sId="23" numFmtId="34">
    <nc r="K84">
      <v>2425.2979999999998</v>
    </nc>
  </rcc>
  <rfmt sheetId="23" sqref="K84">
    <dxf>
      <fill>
        <patternFill patternType="none">
          <bgColor auto="1"/>
        </patternFill>
      </fill>
    </dxf>
  </rfmt>
  <rfmt sheetId="23" sqref="K66" start="0" length="0">
    <dxf>
      <fill>
        <patternFill patternType="none">
          <bgColor indexed="65"/>
        </patternFill>
      </fill>
    </dxf>
  </rfmt>
  <rcc rId="2734" sId="23">
    <nc r="M84" t="inlineStr">
      <is>
        <t>KC15_40_03</t>
      </is>
    </nc>
  </rcc>
  <rcc rId="2735" sId="23" odxf="1" dxf="1">
    <oc r="M80" t="inlineStr">
      <is>
        <t>KC15_40_03</t>
      </is>
    </oc>
    <nc r="M80"/>
    <odxf>
      <border outline="0">
        <right style="thin">
          <color indexed="64"/>
        </right>
      </border>
    </odxf>
    <ndxf>
      <border outline="0">
        <right/>
      </border>
    </ndxf>
  </rcc>
  <rfmt sheetId="23" sqref="K84" start="0" length="2147483647">
    <dxf>
      <font>
        <b/>
        <family val="2"/>
      </font>
    </dxf>
  </rfmt>
  <rfmt sheetId="23" sqref="N77" start="0" length="0">
    <dxf>
      <border>
        <left/>
        <right/>
        <top/>
        <bottom/>
      </border>
    </dxf>
  </rfmt>
  <rfmt sheetId="23" sqref="N77" start="0" length="0">
    <dxf>
      <border>
        <left/>
        <right style="thin">
          <color indexed="64"/>
        </right>
        <top/>
        <bottom/>
      </border>
    </dxf>
  </rfmt>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F8" guid="{00000000-0000-0000-0000-000000000000}" action="delete" alwaysShow="1" author="Andrea Martin"/>
  <rcc rId="2736" sId="9">
    <oc r="C8" t="inlineStr">
      <is>
        <r>
          <t>tCO</t>
        </r>
        <r>
          <rPr>
            <vertAlign val="subscript"/>
            <sz val="9"/>
            <rFont val="Arial"/>
            <family val="2"/>
          </rPr>
          <t>2</t>
        </r>
        <r>
          <rPr>
            <sz val="9"/>
            <rFont val="Arial"/>
            <family val="2"/>
          </rPr>
          <t>/MWh</t>
        </r>
      </is>
    </oc>
    <nc r="C8" t="inlineStr">
      <is>
        <r>
          <t>tCO</t>
        </r>
        <r>
          <rPr>
            <vertAlign val="subscript"/>
            <sz val="9"/>
            <rFont val="Arial"/>
            <family val="2"/>
          </rPr>
          <t>2</t>
        </r>
        <r>
          <rPr>
            <sz val="9"/>
            <rFont val="Arial"/>
            <family val="2"/>
          </rPr>
          <t>e/MWh</t>
        </r>
      </is>
    </nc>
  </rcc>
  <rcc rId="2737" sId="9">
    <oc r="G8" t="inlineStr">
      <is>
        <r>
          <t>tCO</t>
        </r>
        <r>
          <rPr>
            <vertAlign val="subscript"/>
            <sz val="9"/>
            <rFont val="Arial"/>
            <family val="2"/>
          </rPr>
          <t>2</t>
        </r>
        <r>
          <rPr>
            <sz val="9"/>
            <rFont val="Arial"/>
            <family val="2"/>
          </rPr>
          <t>/MWh</t>
        </r>
      </is>
    </oc>
    <nc r="G8" t="inlineStr">
      <is>
        <r>
          <t>tCO</t>
        </r>
        <r>
          <rPr>
            <vertAlign val="subscript"/>
            <sz val="9"/>
            <rFont val="Arial"/>
            <family val="2"/>
          </rPr>
          <t>2</t>
        </r>
        <r>
          <rPr>
            <sz val="9"/>
            <rFont val="Arial"/>
            <family val="2"/>
          </rPr>
          <t>e/MWh</t>
        </r>
      </is>
    </nc>
  </rcc>
  <rcc rId="2738" sId="9" odxf="1" dxf="1">
    <oc r="K8" t="inlineStr">
      <is>
        <r>
          <t>tCO</t>
        </r>
        <r>
          <rPr>
            <vertAlign val="subscript"/>
            <sz val="9"/>
            <rFont val="Arial"/>
            <family val="2"/>
          </rPr>
          <t>2</t>
        </r>
        <r>
          <rPr>
            <sz val="9"/>
            <rFont val="Arial"/>
            <family val="2"/>
          </rPr>
          <t>/MWh</t>
        </r>
      </is>
    </oc>
    <nc r="K8" t="inlineStr">
      <is>
        <r>
          <t>tCO</t>
        </r>
        <r>
          <rPr>
            <vertAlign val="subscript"/>
            <sz val="9"/>
            <rFont val="Arial"/>
            <family val="2"/>
          </rPr>
          <t>2</t>
        </r>
        <r>
          <rPr>
            <sz val="9"/>
            <rFont val="Arial"/>
            <family val="2"/>
          </rPr>
          <t>e/MWh</t>
        </r>
      </is>
    </nc>
    <odxf/>
    <ndxf/>
  </rcc>
  <rcc rId="2739" sId="9" odxf="1" dxf="1">
    <oc r="O8" t="inlineStr">
      <is>
        <r>
          <t>tCO</t>
        </r>
        <r>
          <rPr>
            <vertAlign val="subscript"/>
            <sz val="9"/>
            <rFont val="Arial"/>
            <family val="2"/>
          </rPr>
          <t>2</t>
        </r>
        <r>
          <rPr>
            <sz val="9"/>
            <rFont val="Arial"/>
            <family val="2"/>
          </rPr>
          <t>/MWh</t>
        </r>
      </is>
    </oc>
    <nc r="O8" t="inlineStr">
      <is>
        <r>
          <t>tCO</t>
        </r>
        <r>
          <rPr>
            <vertAlign val="subscript"/>
            <sz val="9"/>
            <rFont val="Arial"/>
            <family val="2"/>
          </rPr>
          <t>2</t>
        </r>
        <r>
          <rPr>
            <sz val="9"/>
            <rFont val="Arial"/>
            <family val="2"/>
          </rPr>
          <t>e/MWh</t>
        </r>
      </is>
    </nc>
    <odxf/>
    <ndxf/>
  </rcc>
  <rcc rId="2740" sId="9" odxf="1" dxf="1">
    <oc r="C49" t="inlineStr">
      <is>
        <r>
          <t>tCO</t>
        </r>
        <r>
          <rPr>
            <vertAlign val="subscript"/>
            <sz val="9"/>
            <rFont val="Arial"/>
            <family val="2"/>
          </rPr>
          <t>2</t>
        </r>
        <r>
          <rPr>
            <sz val="9"/>
            <rFont val="Arial"/>
            <family val="2"/>
          </rPr>
          <t>/MWh</t>
        </r>
      </is>
    </oc>
    <nc r="C49" t="inlineStr">
      <is>
        <r>
          <t>tCO</t>
        </r>
        <r>
          <rPr>
            <vertAlign val="subscript"/>
            <sz val="9"/>
            <rFont val="Arial"/>
            <family val="2"/>
          </rPr>
          <t>2</t>
        </r>
        <r>
          <rPr>
            <sz val="9"/>
            <rFont val="Arial"/>
            <family val="2"/>
          </rPr>
          <t>e/MWh</t>
        </r>
      </is>
    </nc>
    <odxf>
      <numFmt numFmtId="30" formatCode="@"/>
    </odxf>
    <ndxf>
      <numFmt numFmtId="0" formatCode="General"/>
    </ndxf>
  </rcc>
  <rcc rId="2741" sId="9" odxf="1" dxf="1">
    <oc r="G49" t="inlineStr">
      <is>
        <r>
          <t>tCO</t>
        </r>
        <r>
          <rPr>
            <vertAlign val="subscript"/>
            <sz val="9"/>
            <rFont val="Arial"/>
            <family val="2"/>
          </rPr>
          <t>2</t>
        </r>
        <r>
          <rPr>
            <sz val="9"/>
            <rFont val="Arial"/>
            <family val="2"/>
          </rPr>
          <t>/MWh</t>
        </r>
      </is>
    </oc>
    <nc r="G49" t="inlineStr">
      <is>
        <r>
          <t>tCO</t>
        </r>
        <r>
          <rPr>
            <vertAlign val="subscript"/>
            <sz val="9"/>
            <rFont val="Arial"/>
            <family val="2"/>
          </rPr>
          <t>2</t>
        </r>
        <r>
          <rPr>
            <sz val="9"/>
            <rFont val="Arial"/>
            <family val="2"/>
          </rPr>
          <t>e/MWh</t>
        </r>
      </is>
    </nc>
    <odxf>
      <numFmt numFmtId="30" formatCode="@"/>
    </odxf>
    <ndxf>
      <numFmt numFmtId="0" formatCode="General"/>
    </ndxf>
  </rcc>
  <rcmt sheetId="9" cell="G49" guid="{00000000-0000-0000-0000-000000000000}" action="delete" alwaysShow="1" author="Andrea Martin"/>
  <rcc rId="2742" sId="9" odxf="1" dxf="1">
    <oc r="K49" t="inlineStr">
      <is>
        <r>
          <t>tCO</t>
        </r>
        <r>
          <rPr>
            <vertAlign val="subscript"/>
            <sz val="9"/>
            <rFont val="Arial"/>
            <family val="2"/>
          </rPr>
          <t>2</t>
        </r>
        <r>
          <rPr>
            <sz val="9"/>
            <rFont val="Arial"/>
            <family val="2"/>
          </rPr>
          <t>/MWh</t>
        </r>
      </is>
    </oc>
    <nc r="K49" t="inlineStr">
      <is>
        <r>
          <t>tCO</t>
        </r>
        <r>
          <rPr>
            <vertAlign val="subscript"/>
            <sz val="9"/>
            <rFont val="Arial"/>
            <family val="2"/>
          </rPr>
          <t>2</t>
        </r>
        <r>
          <rPr>
            <sz val="9"/>
            <rFont val="Arial"/>
            <family val="2"/>
          </rPr>
          <t>e/MWh</t>
        </r>
      </is>
    </nc>
    <odxf>
      <numFmt numFmtId="30" formatCode="@"/>
    </odxf>
    <ndxf>
      <numFmt numFmtId="0" formatCode="General"/>
    </ndxf>
  </rcc>
  <rcc rId="2743" sId="9" odxf="1" dxf="1">
    <oc r="O49" t="inlineStr">
      <is>
        <r>
          <t>tCO</t>
        </r>
        <r>
          <rPr>
            <vertAlign val="subscript"/>
            <sz val="9"/>
            <rFont val="Arial"/>
            <family val="2"/>
          </rPr>
          <t>2</t>
        </r>
        <r>
          <rPr>
            <sz val="9"/>
            <rFont val="Arial"/>
            <family val="2"/>
          </rPr>
          <t>/MWh</t>
        </r>
      </is>
    </oc>
    <nc r="O49" t="inlineStr">
      <is>
        <r>
          <t>tCO</t>
        </r>
        <r>
          <rPr>
            <vertAlign val="subscript"/>
            <sz val="9"/>
            <rFont val="Arial"/>
            <family val="2"/>
          </rPr>
          <t>2</t>
        </r>
        <r>
          <rPr>
            <sz val="9"/>
            <rFont val="Arial"/>
            <family val="2"/>
          </rPr>
          <t>e/MWh</t>
        </r>
      </is>
    </nc>
    <odxf>
      <numFmt numFmtId="30" formatCode="@"/>
    </odxf>
    <ndxf>
      <numFmt numFmtId="0" formatCode="General"/>
    </ndxf>
  </rcc>
  <rfmt sheetId="9" sqref="K70" start="0" length="0">
    <dxf>
      <numFmt numFmtId="0" formatCode="General"/>
    </dxf>
  </rfmt>
  <rcc rId="2744" sId="9">
    <oc r="K70" t="inlineStr">
      <is>
        <r>
          <t>tCO</t>
        </r>
        <r>
          <rPr>
            <vertAlign val="subscript"/>
            <sz val="9"/>
            <rFont val="Arial"/>
            <family val="2"/>
          </rPr>
          <t>2</t>
        </r>
      </is>
    </oc>
    <nc r="K70" t="inlineStr">
      <is>
        <r>
          <t>tCO</t>
        </r>
        <r>
          <rPr>
            <vertAlign val="subscript"/>
            <sz val="9"/>
            <rFont val="Arial"/>
            <family val="2"/>
          </rPr>
          <t>2</t>
        </r>
        <r>
          <rPr>
            <sz val="9"/>
            <rFont val="Arial"/>
            <family val="2"/>
          </rPr>
          <t>e</t>
        </r>
      </is>
    </nc>
  </rcc>
  <rcc rId="2745" sId="9" odxf="1" dxf="1">
    <oc r="G70" t="inlineStr">
      <is>
        <r>
          <t>tCO</t>
        </r>
        <r>
          <rPr>
            <vertAlign val="subscript"/>
            <sz val="9"/>
            <rFont val="Arial"/>
            <family val="2"/>
          </rPr>
          <t>2</t>
        </r>
      </is>
    </oc>
    <nc r="G70" t="inlineStr">
      <is>
        <r>
          <t>tCO</t>
        </r>
        <r>
          <rPr>
            <vertAlign val="subscript"/>
            <sz val="9"/>
            <rFont val="Arial"/>
            <family val="2"/>
          </rPr>
          <t>2</t>
        </r>
        <r>
          <rPr>
            <sz val="9"/>
            <rFont val="Arial"/>
            <family val="2"/>
          </rPr>
          <t>e</t>
        </r>
      </is>
    </nc>
    <odxf>
      <numFmt numFmtId="30" formatCode="@"/>
    </odxf>
    <ndxf>
      <numFmt numFmtId="0" formatCode="General"/>
    </ndxf>
  </rcc>
  <rcc rId="2746" sId="9" odxf="1" dxf="1">
    <oc r="G64" t="inlineStr">
      <is>
        <r>
          <t>tCO</t>
        </r>
        <r>
          <rPr>
            <vertAlign val="subscript"/>
            <sz val="9"/>
            <rFont val="Arial"/>
            <family val="2"/>
          </rPr>
          <t>2</t>
        </r>
      </is>
    </oc>
    <nc r="G64" t="inlineStr">
      <is>
        <r>
          <t>tCO</t>
        </r>
        <r>
          <rPr>
            <vertAlign val="subscript"/>
            <sz val="9"/>
            <rFont val="Arial"/>
            <family val="2"/>
          </rPr>
          <t>2</t>
        </r>
        <r>
          <rPr>
            <sz val="9"/>
            <rFont val="Arial"/>
            <family val="2"/>
          </rPr>
          <t>e</t>
        </r>
      </is>
    </nc>
    <odxf>
      <numFmt numFmtId="30" formatCode="@"/>
    </odxf>
    <ndxf>
      <numFmt numFmtId="0" formatCode="General"/>
    </ndxf>
  </rcc>
  <rcc rId="2747" sId="9" odxf="1" dxf="1">
    <oc r="G59" t="inlineStr">
      <is>
        <r>
          <t>tCO</t>
        </r>
        <r>
          <rPr>
            <vertAlign val="subscript"/>
            <sz val="9"/>
            <rFont val="Arial"/>
            <family val="2"/>
          </rPr>
          <t>2</t>
        </r>
      </is>
    </oc>
    <nc r="G59" t="inlineStr">
      <is>
        <r>
          <t>tCO</t>
        </r>
        <r>
          <rPr>
            <vertAlign val="subscript"/>
            <sz val="9"/>
            <rFont val="Arial"/>
            <family val="2"/>
          </rPr>
          <t>2</t>
        </r>
        <r>
          <rPr>
            <sz val="9"/>
            <rFont val="Arial"/>
            <family val="2"/>
          </rPr>
          <t>e</t>
        </r>
      </is>
    </nc>
    <odxf>
      <numFmt numFmtId="30" formatCode="@"/>
    </odxf>
    <ndxf>
      <numFmt numFmtId="0" formatCode="General"/>
    </ndxf>
  </rcc>
  <rcc rId="2748" sId="9" odxf="1" dxf="1">
    <oc r="K59" t="inlineStr">
      <is>
        <r>
          <t>tCO</t>
        </r>
        <r>
          <rPr>
            <vertAlign val="subscript"/>
            <sz val="9"/>
            <rFont val="Arial"/>
            <family val="2"/>
          </rPr>
          <t>2</t>
        </r>
      </is>
    </oc>
    <nc r="K59" t="inlineStr">
      <is>
        <r>
          <t>tCO</t>
        </r>
        <r>
          <rPr>
            <vertAlign val="subscript"/>
            <sz val="9"/>
            <rFont val="Arial"/>
            <family val="2"/>
          </rPr>
          <t>2</t>
        </r>
        <r>
          <rPr>
            <sz val="9"/>
            <rFont val="Arial"/>
            <family val="2"/>
          </rPr>
          <t>e</t>
        </r>
      </is>
    </nc>
    <odxf>
      <numFmt numFmtId="30" formatCode="@"/>
    </odxf>
    <ndxf>
      <numFmt numFmtId="0" formatCode="General"/>
    </ndxf>
  </rcc>
  <rcc rId="2749" sId="9" odxf="1" dxf="1">
    <oc r="K64" t="inlineStr">
      <is>
        <r>
          <t>tCO</t>
        </r>
        <r>
          <rPr>
            <vertAlign val="subscript"/>
            <sz val="9"/>
            <rFont val="Arial"/>
            <family val="2"/>
          </rPr>
          <t>2</t>
        </r>
      </is>
    </oc>
    <nc r="K64" t="inlineStr">
      <is>
        <r>
          <t>tCO</t>
        </r>
        <r>
          <rPr>
            <vertAlign val="subscript"/>
            <sz val="9"/>
            <rFont val="Arial"/>
            <family val="2"/>
          </rPr>
          <t>2</t>
        </r>
        <r>
          <rPr>
            <sz val="9"/>
            <rFont val="Arial"/>
            <family val="2"/>
          </rPr>
          <t>e</t>
        </r>
      </is>
    </nc>
    <odxf>
      <numFmt numFmtId="30" formatCode="@"/>
    </odxf>
    <ndxf>
      <numFmt numFmtId="0" formatCode="General"/>
    </ndxf>
  </rcc>
  <rcc rId="2750" sId="9" odxf="1" dxf="1">
    <oc r="K75" t="inlineStr">
      <is>
        <r>
          <t>tCO</t>
        </r>
        <r>
          <rPr>
            <vertAlign val="subscript"/>
            <sz val="9"/>
            <rFont val="Arial"/>
            <family val="2"/>
          </rPr>
          <t>2</t>
        </r>
      </is>
    </oc>
    <nc r="K75" t="inlineStr">
      <is>
        <r>
          <t>tCO</t>
        </r>
        <r>
          <rPr>
            <vertAlign val="subscript"/>
            <sz val="9"/>
            <rFont val="Arial"/>
            <family val="2"/>
          </rPr>
          <t>2</t>
        </r>
        <r>
          <rPr>
            <sz val="9"/>
            <rFont val="Arial"/>
            <family val="2"/>
          </rPr>
          <t>e</t>
        </r>
      </is>
    </nc>
    <odxf>
      <numFmt numFmtId="30" formatCode="@"/>
    </odxf>
    <ndxf>
      <numFmt numFmtId="0" formatCode="General"/>
    </ndxf>
  </rcc>
  <rcc rId="2751" sId="9" odxf="1" dxf="1">
    <oc r="G75" t="inlineStr">
      <is>
        <r>
          <t>tCO</t>
        </r>
        <r>
          <rPr>
            <vertAlign val="subscript"/>
            <sz val="9"/>
            <rFont val="Arial"/>
            <family val="2"/>
          </rPr>
          <t>2</t>
        </r>
      </is>
    </oc>
    <nc r="G75" t="inlineStr">
      <is>
        <r>
          <t>tCO</t>
        </r>
        <r>
          <rPr>
            <vertAlign val="subscript"/>
            <sz val="9"/>
            <rFont val="Arial"/>
            <family val="2"/>
          </rPr>
          <t>2</t>
        </r>
        <r>
          <rPr>
            <sz val="9"/>
            <rFont val="Arial"/>
            <family val="2"/>
          </rPr>
          <t>e</t>
        </r>
      </is>
    </nc>
    <odxf>
      <numFmt numFmtId="30" formatCode="@"/>
    </odxf>
    <ndxf>
      <numFmt numFmtId="0" formatCode="General"/>
    </ndxf>
  </rcc>
  <rcc rId="2752" sId="9" odxf="1" dxf="1">
    <oc r="O59" t="inlineStr">
      <is>
        <r>
          <t>tCO</t>
        </r>
        <r>
          <rPr>
            <vertAlign val="subscript"/>
            <sz val="9"/>
            <rFont val="Arial"/>
            <family val="2"/>
          </rPr>
          <t>2</t>
        </r>
      </is>
    </oc>
    <nc r="O59" t="inlineStr">
      <is>
        <r>
          <t>tCO</t>
        </r>
        <r>
          <rPr>
            <vertAlign val="subscript"/>
            <sz val="9"/>
            <rFont val="Arial"/>
            <family val="2"/>
          </rPr>
          <t>2</t>
        </r>
        <r>
          <rPr>
            <sz val="9"/>
            <rFont val="Arial"/>
            <family val="2"/>
          </rPr>
          <t>e</t>
        </r>
      </is>
    </nc>
    <odxf>
      <numFmt numFmtId="30" formatCode="@"/>
    </odxf>
    <ndxf>
      <numFmt numFmtId="0" formatCode="General"/>
    </ndxf>
  </rcc>
  <rcc rId="2753" sId="9" odxf="1" dxf="1">
    <oc r="O64" t="inlineStr">
      <is>
        <r>
          <t>tCO</t>
        </r>
        <r>
          <rPr>
            <vertAlign val="subscript"/>
            <sz val="9"/>
            <rFont val="Arial"/>
            <family val="2"/>
          </rPr>
          <t>2</t>
        </r>
      </is>
    </oc>
    <nc r="O64" t="inlineStr">
      <is>
        <r>
          <t>tCO</t>
        </r>
        <r>
          <rPr>
            <vertAlign val="subscript"/>
            <sz val="9"/>
            <rFont val="Arial"/>
            <family val="2"/>
          </rPr>
          <t>2</t>
        </r>
        <r>
          <rPr>
            <sz val="9"/>
            <rFont val="Arial"/>
            <family val="2"/>
          </rPr>
          <t>e</t>
        </r>
      </is>
    </nc>
    <odxf>
      <numFmt numFmtId="30" formatCode="@"/>
    </odxf>
    <ndxf>
      <numFmt numFmtId="0" formatCode="General"/>
    </ndxf>
  </rcc>
  <rcc rId="2754" sId="9" odxf="1" dxf="1">
    <oc r="O70" t="inlineStr">
      <is>
        <r>
          <t>tCO</t>
        </r>
        <r>
          <rPr>
            <vertAlign val="subscript"/>
            <sz val="9"/>
            <rFont val="Arial"/>
            <family val="2"/>
          </rPr>
          <t>2</t>
        </r>
      </is>
    </oc>
    <nc r="O70" t="inlineStr">
      <is>
        <r>
          <t>tCO</t>
        </r>
        <r>
          <rPr>
            <vertAlign val="subscript"/>
            <sz val="9"/>
            <rFont val="Arial"/>
            <family val="2"/>
          </rPr>
          <t>2</t>
        </r>
        <r>
          <rPr>
            <sz val="9"/>
            <rFont val="Arial"/>
            <family val="2"/>
          </rPr>
          <t>e</t>
        </r>
      </is>
    </nc>
    <odxf>
      <numFmt numFmtId="30" formatCode="@"/>
    </odxf>
    <ndxf>
      <numFmt numFmtId="0" formatCode="General"/>
    </ndxf>
  </rcc>
  <rcc rId="2755" sId="9" odxf="1" dxf="1">
    <oc r="O75" t="inlineStr">
      <is>
        <r>
          <t>tCO</t>
        </r>
        <r>
          <rPr>
            <vertAlign val="subscript"/>
            <sz val="9"/>
            <rFont val="Arial"/>
            <family val="2"/>
          </rPr>
          <t>2</t>
        </r>
      </is>
    </oc>
    <nc r="O75" t="inlineStr">
      <is>
        <r>
          <t>tCO</t>
        </r>
        <r>
          <rPr>
            <vertAlign val="subscript"/>
            <sz val="9"/>
            <rFont val="Arial"/>
            <family val="2"/>
          </rPr>
          <t>2</t>
        </r>
        <r>
          <rPr>
            <sz val="9"/>
            <rFont val="Arial"/>
            <family val="2"/>
          </rPr>
          <t>e</t>
        </r>
      </is>
    </nc>
    <odxf>
      <numFmt numFmtId="30" formatCode="@"/>
    </odxf>
    <ndxf>
      <numFmt numFmtId="0" formatCode="General"/>
    </ndxf>
  </rcc>
  <rcc rId="2756" sId="9" odxf="1" dxf="1">
    <oc r="C59" t="inlineStr">
      <is>
        <r>
          <t>tCO</t>
        </r>
        <r>
          <rPr>
            <vertAlign val="subscript"/>
            <sz val="9"/>
            <rFont val="Arial"/>
            <family val="2"/>
          </rPr>
          <t>2</t>
        </r>
      </is>
    </oc>
    <nc r="C59" t="inlineStr">
      <is>
        <r>
          <t>tCO</t>
        </r>
        <r>
          <rPr>
            <vertAlign val="subscript"/>
            <sz val="9"/>
            <rFont val="Arial"/>
            <family val="2"/>
          </rPr>
          <t>2</t>
        </r>
        <r>
          <rPr>
            <sz val="9"/>
            <rFont val="Arial"/>
            <family val="2"/>
          </rPr>
          <t>e</t>
        </r>
      </is>
    </nc>
    <odxf>
      <numFmt numFmtId="30" formatCode="@"/>
    </odxf>
    <ndxf>
      <numFmt numFmtId="0" formatCode="General"/>
    </ndxf>
  </rcc>
  <rcc rId="2757" sId="9" odxf="1" dxf="1">
    <oc r="C64" t="inlineStr">
      <is>
        <r>
          <t>tCO</t>
        </r>
        <r>
          <rPr>
            <vertAlign val="subscript"/>
            <sz val="9"/>
            <rFont val="Arial"/>
            <family val="2"/>
          </rPr>
          <t>2</t>
        </r>
      </is>
    </oc>
    <nc r="C64" t="inlineStr">
      <is>
        <r>
          <t>tCO</t>
        </r>
        <r>
          <rPr>
            <vertAlign val="subscript"/>
            <sz val="9"/>
            <rFont val="Arial"/>
            <family val="2"/>
          </rPr>
          <t>2</t>
        </r>
        <r>
          <rPr>
            <sz val="9"/>
            <rFont val="Arial"/>
            <family val="2"/>
          </rPr>
          <t>e</t>
        </r>
      </is>
    </nc>
    <odxf>
      <numFmt numFmtId="30" formatCode="@"/>
    </odxf>
    <ndxf>
      <numFmt numFmtId="0" formatCode="General"/>
    </ndxf>
  </rcc>
  <rcc rId="2758" sId="9" odxf="1" dxf="1">
    <oc r="C70" t="inlineStr">
      <is>
        <r>
          <t>tCO</t>
        </r>
        <r>
          <rPr>
            <vertAlign val="subscript"/>
            <sz val="9"/>
            <rFont val="Arial"/>
            <family val="2"/>
          </rPr>
          <t>2</t>
        </r>
      </is>
    </oc>
    <nc r="C70" t="inlineStr">
      <is>
        <r>
          <t>tCO</t>
        </r>
        <r>
          <rPr>
            <vertAlign val="subscript"/>
            <sz val="9"/>
            <rFont val="Arial"/>
            <family val="2"/>
          </rPr>
          <t>2</t>
        </r>
        <r>
          <rPr>
            <sz val="9"/>
            <rFont val="Arial"/>
            <family val="2"/>
          </rPr>
          <t>e</t>
        </r>
      </is>
    </nc>
    <odxf>
      <numFmt numFmtId="30" formatCode="@"/>
    </odxf>
    <ndxf>
      <numFmt numFmtId="0" formatCode="General"/>
    </ndxf>
  </rcc>
  <rcc rId="2759" sId="9" odxf="1" dxf="1">
    <oc r="C75" t="inlineStr">
      <is>
        <r>
          <t>tCO</t>
        </r>
        <r>
          <rPr>
            <vertAlign val="subscript"/>
            <sz val="9"/>
            <rFont val="Arial"/>
            <family val="2"/>
          </rPr>
          <t>2</t>
        </r>
      </is>
    </oc>
    <nc r="C75" t="inlineStr">
      <is>
        <r>
          <t>tCO</t>
        </r>
        <r>
          <rPr>
            <vertAlign val="subscript"/>
            <sz val="9"/>
            <rFont val="Arial"/>
            <family val="2"/>
          </rPr>
          <t>2</t>
        </r>
        <r>
          <rPr>
            <sz val="9"/>
            <rFont val="Arial"/>
            <family val="2"/>
          </rPr>
          <t>e</t>
        </r>
      </is>
    </nc>
    <odxf>
      <numFmt numFmtId="30" formatCode="@"/>
    </odxf>
    <ndxf>
      <numFmt numFmtId="0" formatCode="General"/>
    </ndxf>
  </rcc>
  <rfmt sheetId="18" sqref="F35 J41 F41">
    <dxf>
      <fill>
        <patternFill patternType="none">
          <bgColor auto="1"/>
        </patternFill>
      </fill>
    </dxf>
  </rfmt>
  <rfmt sheetId="18" sqref="B41">
    <dxf>
      <fill>
        <patternFill patternType="none">
          <bgColor auto="1"/>
        </patternFill>
      </fill>
    </dxf>
  </rfmt>
  <rfmt sheetId="9" sqref="N20">
    <dxf>
      <numFmt numFmtId="13" formatCode="0%"/>
    </dxf>
  </rfmt>
  <rcc rId="2760" sId="9" numFmtId="13">
    <oc r="N20">
      <v>0.06</v>
    </oc>
    <nc r="N20">
      <v>4.7899999999999998E-2</v>
    </nc>
  </rcc>
  <rcmt sheetId="9" cell="N20" guid="{00000000-0000-0000-0000-000000000000}" action="delete" alwaysShow="1" author="Andrea Martin"/>
  <rfmt sheetId="9" sqref="J20" start="0" length="0">
    <dxf>
      <font>
        <b/>
        <sz val="9"/>
        <family val="2"/>
      </font>
      <numFmt numFmtId="13" formatCode="0%"/>
      <fill>
        <patternFill patternType="solid">
          <bgColor theme="9" tint="0.79998168889431442"/>
        </patternFill>
      </fill>
      <alignment horizontal="right"/>
    </dxf>
  </rfmt>
  <rcc rId="2761" sId="9" odxf="1" dxf="1">
    <nc r="J21">
      <f>J22*J20</f>
    </nc>
    <odxf>
      <font>
        <b val="0"/>
        <sz val="9"/>
        <family val="2"/>
      </font>
      <fill>
        <patternFill patternType="none">
          <bgColor indexed="65"/>
        </patternFill>
      </fill>
      <alignment horizontal="general"/>
    </odxf>
    <ndxf>
      <font>
        <b/>
        <sz val="9"/>
        <family val="2"/>
      </font>
      <fill>
        <patternFill patternType="solid">
          <bgColor theme="9" tint="0.79998168889431442"/>
        </patternFill>
      </fill>
      <alignment horizontal="right"/>
    </ndxf>
  </rcc>
  <rfmt sheetId="9" s="1" sqref="F20" start="0" length="0">
    <dxf>
      <font>
        <b/>
        <sz val="9"/>
        <color auto="1"/>
        <name val="Arial"/>
        <family val="2"/>
        <scheme val="none"/>
      </font>
      <numFmt numFmtId="13" formatCode="0%"/>
      <fill>
        <patternFill patternType="solid">
          <bgColor theme="9" tint="0.79998168889431442"/>
        </patternFill>
      </fill>
    </dxf>
  </rfmt>
  <rcc rId="2762" sId="9" odxf="1" s="1" dxf="1">
    <nc r="F21">
      <f>F22*F20</f>
    </nc>
    <odxf>
      <numFmt numFmtId="3" formatCode="#,##0"/>
      <alignment horizontal="right" vertical="top" textRotation="0" wrapText="0" indent="0" justifyLastLine="0" shrinkToFit="0" readingOrder="0"/>
      <border diagonalUp="0" diagonalDown="0" outline="0">
        <left/>
        <right/>
        <top/>
        <bottom/>
      </border>
    </odxf>
    <ndxf>
      <font>
        <b/>
        <sz val="9"/>
        <color auto="1"/>
        <name val="Arial"/>
        <family val="2"/>
        <scheme val="none"/>
      </font>
      <numFmt numFmtId="181" formatCode="_(* #,##0_);_(* \(#,##0\);_(* &quot;-&quot;??_);_(@_)"/>
      <fill>
        <patternFill patternType="solid">
          <bgColor theme="9" tint="0.79998168889431442"/>
        </patternFill>
      </fill>
    </ndxf>
  </rcc>
  <rfmt sheetId="9" s="1" sqref="B20" start="0" length="0">
    <dxf>
      <font>
        <b/>
        <sz val="9"/>
        <color auto="1"/>
        <name val="Arial"/>
        <family val="2"/>
        <scheme val="none"/>
      </font>
      <numFmt numFmtId="13" formatCode="0%"/>
      <fill>
        <patternFill patternType="solid">
          <bgColor theme="9" tint="0.79998168889431442"/>
        </patternFill>
      </fill>
    </dxf>
  </rfmt>
  <rcc rId="2763" sId="9" odxf="1" s="1" dxf="1">
    <nc r="B21">
      <f>B22*B20</f>
    </nc>
    <odxf>
      <font>
        <b val="0"/>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font>
        <b/>
        <sz val="9"/>
        <color auto="1"/>
        <name val="Arial"/>
        <family val="2"/>
        <scheme val="none"/>
      </font>
      <numFmt numFmtId="181" formatCode="_(* #,##0_);_(* \(#,##0\);_(* &quot;-&quot;??_);_(@_)"/>
      <fill>
        <patternFill patternType="solid">
          <bgColor theme="9" tint="0.79998168889431442"/>
        </patternFill>
      </fill>
    </ndxf>
  </rcc>
  <rcc rId="2764" sId="9" numFmtId="13">
    <nc r="J20">
      <v>6.8400000000000002E-2</v>
    </nc>
  </rcc>
  <rcc rId="2765" sId="9" numFmtId="13">
    <nc r="F20">
      <v>8.2100000000000006E-2</v>
    </nc>
  </rcc>
  <rcc rId="2766" sId="9" numFmtId="13">
    <nc r="B20">
      <v>8.2100000000000006E-2</v>
    </nc>
  </rcc>
  <rcc rId="2767" sId="9" quotePrefix="1">
    <nc r="E20" t="inlineStr">
      <is>
        <t>2009 value- not recorded pre-2009</t>
      </is>
    </nc>
  </rcc>
  <rcc rId="2768" sId="9" quotePrefix="1">
    <nc r="I20" t="inlineStr">
      <is>
        <t>2009 value</t>
      </is>
    </nc>
  </rcc>
  <rcc rId="2769" sId="9" quotePrefix="1">
    <nc r="M20" t="inlineStr">
      <is>
        <t>2010 value</t>
      </is>
    </nc>
  </rcc>
  <rcc rId="2770" sId="9">
    <nc r="Q20" t="inlineStr">
      <is>
        <t>2014 value</t>
      </is>
    </nc>
  </rcc>
  <rcc rId="2771" sId="9">
    <oc r="P20" t="inlineStr">
      <is>
        <t>KC15_65_03</t>
      </is>
    </oc>
    <nc r="P20"/>
  </rcc>
  <rcc rId="2772" sId="9" odxf="1" dxf="1">
    <nc r="J42">
      <f>J21</f>
    </nc>
    <odxf>
      <font>
        <b/>
        <sz val="9"/>
        <color theme="3" tint="0.39997558519241921"/>
        <family val="2"/>
      </font>
      <fill>
        <patternFill patternType="none">
          <bgColor indexed="65"/>
        </patternFill>
      </fill>
    </odxf>
    <ndxf>
      <font>
        <b val="0"/>
        <sz val="9"/>
        <color theme="3" tint="0.39997558519241921"/>
        <family val="2"/>
      </font>
      <fill>
        <patternFill patternType="solid">
          <bgColor rgb="FFFFFF00"/>
        </patternFill>
      </fill>
    </ndxf>
  </rcc>
  <rcc rId="2773" sId="9" odxf="1" dxf="1">
    <nc r="J43">
      <f>J42/1000</f>
    </nc>
    <odxf>
      <font>
        <b/>
        <sz val="9"/>
        <color theme="3" tint="0.39997558519241921"/>
        <family val="2"/>
      </font>
    </odxf>
    <ndxf>
      <font>
        <b val="0"/>
        <sz val="9"/>
        <color theme="3" tint="0.39997558519241921"/>
        <family val="2"/>
      </font>
    </ndxf>
  </rcc>
  <rcc rId="2774" sId="9" odxf="1" s="1" dxf="1">
    <nc r="J44">
      <f>J43*J8*tonTOMg</f>
    </nc>
    <odxf>
      <font>
        <b val="0"/>
        <i val="0"/>
        <strike val="0"/>
        <condense val="0"/>
        <extend val="0"/>
        <outline val="0"/>
        <shadow val="0"/>
        <u val="none"/>
        <vertAlign val="baseline"/>
        <sz val="9"/>
        <color auto="1"/>
        <name val="Arial"/>
        <family val="2"/>
        <scheme val="none"/>
      </font>
      <numFmt numFmtId="0" formatCode="General"/>
      <alignment horizontal="general" vertical="top" textRotation="0" wrapText="0" indent="0" justifyLastLine="0" shrinkToFit="0" readingOrder="0"/>
      <border diagonalUp="0" diagonalDown="0" outline="0">
        <left/>
        <right/>
        <top/>
        <bottom/>
      </border>
    </odxf>
    <ndxf>
      <numFmt numFmtId="181" formatCode="_(* #,##0_);_(* \(#,##0\);_(* &quot;-&quot;??_);_(@_)"/>
      <fill>
        <patternFill patternType="solid">
          <bgColor rgb="FFFFFF00"/>
        </patternFill>
      </fill>
      <alignment horizontal="right" vertical="bottom"/>
    </ndxf>
  </rcc>
  <rcmt sheetId="9" cell="J42" guid="{00000000-0000-0000-0000-000000000000}" action="delete" alwaysShow="1" author="Andrea Martin"/>
  <rcmt sheetId="9" cell="J44" guid="{00000000-0000-0000-0000-000000000000}" action="delete" alwaysShow="1" author="Andrea Martin"/>
  <rcc rId="2775" sId="9" odxf="1" dxf="1">
    <nc r="F42">
      <f>F21</f>
    </nc>
    <odxf>
      <font>
        <b/>
        <sz val="9"/>
        <color theme="3" tint="0.39997558519241921"/>
        <family val="2"/>
      </font>
      <fill>
        <patternFill patternType="none">
          <bgColor indexed="65"/>
        </patternFill>
      </fill>
    </odxf>
    <ndxf>
      <font>
        <b val="0"/>
        <sz val="9"/>
        <color theme="3" tint="0.39997558519241921"/>
        <family val="2"/>
      </font>
      <fill>
        <patternFill patternType="solid">
          <bgColor rgb="FFFFFF00"/>
        </patternFill>
      </fill>
    </ndxf>
  </rcc>
  <rcc rId="2776" sId="9" odxf="1" dxf="1">
    <nc r="F43">
      <f>F42/1000</f>
    </nc>
    <odxf>
      <font>
        <b/>
        <sz val="9"/>
        <color theme="3" tint="0.39997558519241921"/>
        <family val="2"/>
      </font>
    </odxf>
    <ndxf>
      <font>
        <b val="0"/>
        <sz val="9"/>
        <color theme="3" tint="0.39997558519241921"/>
        <family val="2"/>
      </font>
    </ndxf>
  </rcc>
  <rcc rId="2777" sId="9" odxf="1" dxf="1">
    <nc r="F44">
      <f>F43*F8*tonTOMg</f>
    </nc>
    <odxf>
      <font>
        <b/>
        <sz val="9"/>
        <family val="2"/>
      </font>
      <fill>
        <patternFill patternType="none">
          <bgColor indexed="65"/>
        </patternFill>
      </fill>
    </odxf>
    <ndxf>
      <font>
        <b val="0"/>
        <sz val="9"/>
        <family val="2"/>
      </font>
      <fill>
        <patternFill patternType="solid">
          <bgColor rgb="FFFFFF00"/>
        </patternFill>
      </fill>
    </ndxf>
  </rcc>
  <rcc rId="2778" sId="9" odxf="1" dxf="1">
    <nc r="B42">
      <f>B21</f>
    </nc>
    <odxf>
      <font>
        <b/>
        <sz val="9"/>
        <color theme="3" tint="0.39997558519241921"/>
        <family val="2"/>
      </font>
      <fill>
        <patternFill patternType="none">
          <bgColor indexed="65"/>
        </patternFill>
      </fill>
    </odxf>
    <ndxf>
      <font>
        <b val="0"/>
        <sz val="9"/>
        <color theme="3" tint="0.39997558519241921"/>
        <family val="2"/>
      </font>
      <fill>
        <patternFill patternType="solid">
          <bgColor rgb="FFFFFF00"/>
        </patternFill>
      </fill>
    </ndxf>
  </rcc>
  <rcc rId="2779" sId="9" odxf="1" dxf="1">
    <nc r="B43">
      <f>B42/1000</f>
    </nc>
    <odxf>
      <font>
        <b/>
        <sz val="9"/>
        <color theme="3" tint="0.39997558519241921"/>
        <family val="2"/>
      </font>
    </odxf>
    <ndxf>
      <font>
        <b val="0"/>
        <sz val="9"/>
        <color theme="3" tint="0.39997558519241921"/>
        <family val="2"/>
      </font>
    </ndxf>
  </rcc>
  <rcc rId="2780" sId="9" odxf="1" s="1" dxf="1">
    <nc r="B44">
      <f>B43*B8*tonTOMg</f>
    </nc>
    <odxf>
      <font>
        <b/>
        <i val="0"/>
        <strike val="0"/>
        <condense val="0"/>
        <extend val="0"/>
        <outline val="0"/>
        <shadow val="0"/>
        <u val="none"/>
        <vertAlign val="baseline"/>
        <sz val="9"/>
        <color auto="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font>
        <b val="0"/>
        <sz val="9"/>
        <color auto="1"/>
        <name val="Arial"/>
        <family val="2"/>
        <scheme val="none"/>
      </font>
      <numFmt numFmtId="181" formatCode="_(* #,##0_);_(* \(#,##0\);_(* &quot;-&quot;??_);_(@_)"/>
      <fill>
        <patternFill patternType="solid">
          <bgColor rgb="FFFFFF00"/>
        </patternFill>
      </fill>
      <alignment vertical="bottom"/>
    </ndxf>
  </rcc>
  <rcc rId="2781" sId="9" odxf="1" dxf="1">
    <nc r="K42" t="inlineStr">
      <is>
        <t>kWh</t>
      </is>
    </nc>
    <odxf>
      <font>
        <b/>
        <color theme="3" tint="0.39997558519241921"/>
        <family val="2"/>
      </font>
    </odxf>
    <ndxf>
      <font>
        <b val="0"/>
        <color theme="3" tint="0.39997558519241921"/>
        <family val="2"/>
      </font>
    </ndxf>
  </rcc>
  <rcc rId="2782" sId="9" odxf="1" dxf="1">
    <nc r="K43" t="inlineStr">
      <is>
        <t>MWh</t>
      </is>
    </nc>
    <odxf>
      <font>
        <b/>
        <color theme="3" tint="0.39997558519241921"/>
        <family val="2"/>
      </font>
    </odxf>
    <ndxf>
      <font>
        <b val="0"/>
        <color theme="3" tint="0.39997558519241921"/>
        <family val="2"/>
      </font>
    </ndxf>
  </rcc>
  <rcc rId="2783" sId="9" odxf="1" dxf="1">
    <nc r="K44"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2784" sId="9" odxf="1" dxf="1">
    <nc r="G42" t="inlineStr">
      <is>
        <t>kWh</t>
      </is>
    </nc>
    <odxf>
      <font>
        <b/>
        <color theme="3" tint="0.39997558519241921"/>
        <family val="2"/>
      </font>
    </odxf>
    <ndxf>
      <font>
        <b val="0"/>
        <color theme="3" tint="0.39997558519241921"/>
        <family val="2"/>
      </font>
    </ndxf>
  </rcc>
  <rcc rId="2785" sId="9" odxf="1" dxf="1">
    <nc r="G43" t="inlineStr">
      <is>
        <t>MWh</t>
      </is>
    </nc>
    <odxf>
      <font>
        <b/>
        <color theme="3" tint="0.39997558519241921"/>
        <family val="2"/>
      </font>
    </odxf>
    <ndxf>
      <font>
        <b val="0"/>
        <color theme="3" tint="0.39997558519241921"/>
        <family val="2"/>
      </font>
    </ndxf>
  </rcc>
  <rcc rId="2786" sId="9" odxf="1" dxf="1">
    <nc r="G44"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2787" sId="9" odxf="1" dxf="1">
    <nc r="C42" t="inlineStr">
      <is>
        <t>kWh</t>
      </is>
    </nc>
    <odxf>
      <font>
        <b/>
        <color theme="3" tint="0.39997558519241921"/>
        <family val="2"/>
      </font>
    </odxf>
    <ndxf>
      <font>
        <b val="0"/>
        <color theme="3" tint="0.39997558519241921"/>
        <family val="2"/>
      </font>
    </ndxf>
  </rcc>
  <rcc rId="2788" sId="9" odxf="1" dxf="1">
    <nc r="C43" t="inlineStr">
      <is>
        <t>MWh</t>
      </is>
    </nc>
    <odxf>
      <font>
        <b/>
        <color theme="3" tint="0.39997558519241921"/>
        <family val="2"/>
      </font>
    </odxf>
    <ndxf>
      <font>
        <b val="0"/>
        <color theme="3" tint="0.39997558519241921"/>
        <family val="2"/>
      </font>
    </ndxf>
  </rcc>
  <rcc rId="2789" sId="9" odxf="1" dxf="1">
    <nc r="C44" t="inlineStr">
      <is>
        <r>
          <t>MgCO</t>
        </r>
        <r>
          <rPr>
            <b/>
            <vertAlign val="subscript"/>
            <sz val="9"/>
            <color theme="3" tint="0.39997558519241921"/>
            <rFont val="Arial"/>
            <family val="2"/>
          </rPr>
          <t>2</t>
        </r>
        <r>
          <rPr>
            <b/>
            <sz val="9"/>
            <color theme="3" tint="0.39997558519241921"/>
            <rFont val="Arial"/>
            <family val="2"/>
          </rPr>
          <t>e</t>
        </r>
      </is>
    </nc>
    <odxf>
      <font>
        <family val="2"/>
      </font>
      <numFmt numFmtId="30" formatCode="@"/>
    </odxf>
    <ndxf>
      <font>
        <color theme="3" tint="0.39997558519241921"/>
        <family val="2"/>
      </font>
      <numFmt numFmtId="0" formatCode="General"/>
    </ndxf>
  </rcc>
  <rfmt sheetId="9" sqref="B41:N44">
    <dxf>
      <fill>
        <patternFill patternType="none">
          <bgColor auto="1"/>
        </patternFill>
      </fill>
    </dxf>
  </rfmt>
  <rcmt sheetId="9" cell="N42" guid="{00000000-0000-0000-0000-000000000000}" action="delete" alwaysShow="1" author="Andrea Martin"/>
  <rcc rId="2790" sId="9">
    <oc r="F87">
      <f>F85/1000*tonTOMg*F27</f>
    </oc>
    <nc r="F87">
      <f>F85/2000*tonTOMg*F27</f>
    </nc>
  </rcc>
  <rcc rId="2791" sId="9">
    <oc r="F95">
      <f>F85/1000*tonTOMg*F63</f>
    </oc>
    <nc r="F95">
      <f>F85/2000*tonTOMg*F63</f>
    </nc>
  </rcc>
  <rcc rId="2792" sId="9">
    <oc r="J87">
      <f>J85/1000*tonTOMg*J27</f>
    </oc>
    <nc r="J87">
      <f>J85/2000*tonTOMg*J27</f>
    </nc>
  </rcc>
  <rcc rId="2793" sId="9">
    <oc r="J88">
      <f>J85/1000*tonTOMg*J32</f>
    </oc>
    <nc r="J88">
      <f>J85/2000*tonTOMg*J32</f>
    </nc>
  </rcc>
  <rcc rId="2794" sId="9">
    <oc r="J89">
      <f>J85/1000*tonTOMg*J38</f>
    </oc>
    <nc r="J89">
      <f>J85/2000*tonTOMg*J38</f>
    </nc>
  </rcc>
  <rcc rId="2795" sId="9">
    <oc r="J96">
      <f>J85/1000*tonTOMg*J68</f>
    </oc>
    <nc r="J96">
      <f>J85/2000*tonTOMg*J68</f>
    </nc>
  </rcc>
  <rcc rId="2796" sId="9">
    <oc r="J97">
      <f>J85/1000*tonTOMg*J74</f>
    </oc>
    <nc r="J97">
      <f>J85/2000*tonTOMg*J74</f>
    </nc>
  </rcc>
  <rcc rId="2797" sId="9">
    <oc r="F88">
      <f>F85/1000*tonTOMg*F32</f>
    </oc>
    <nc r="F88">
      <f>F85/2000*tonTOMg*F32</f>
    </nc>
  </rcc>
  <rcc rId="2798" sId="9">
    <oc r="F89">
      <f>F85/1000*tonTOMg*F38</f>
    </oc>
    <nc r="F89">
      <f>F85/2000*tonTOMg*F38</f>
    </nc>
  </rcc>
  <rcc rId="2799" sId="9">
    <oc r="F96">
      <f>F85/1000*tonTOMg*F68</f>
    </oc>
    <nc r="F96">
      <f>F85/2000*tonTOMg*F68</f>
    </nc>
  </rcc>
  <rcc rId="2800" sId="9">
    <oc r="F97">
      <f>F85/1000*tonTOMg*F74</f>
    </oc>
    <nc r="F97">
      <f>F85/2000*tonTOMg*F74</f>
    </nc>
  </rcc>
  <rcc rId="2801" sId="9">
    <oc r="B88">
      <f>B85/1000*tonTOMg*B32</f>
    </oc>
    <nc r="B88">
      <f>B85/2000*tonTOMg*B32</f>
    </nc>
  </rcc>
  <rcc rId="2802" sId="9">
    <oc r="B89">
      <f>B85/1000*tonTOMg*B38</f>
    </oc>
    <nc r="B89">
      <f>B85/2000*tonTOMg*B38</f>
    </nc>
  </rcc>
  <rcc rId="2803" sId="9">
    <oc r="B90">
      <f>SUM(B87:B89)</f>
    </oc>
    <nc r="B90">
      <f>SUM(B87:B89)</f>
    </nc>
  </rcc>
  <rcc rId="2804" sId="9">
    <oc r="B87">
      <f>B85/1000*tonTOMg*B27</f>
    </oc>
    <nc r="B87">
      <f>B85/2000*tonTOMg*B27</f>
    </nc>
  </rcc>
  <rcc rId="2805" sId="9">
    <oc r="B96">
      <f>B85/1000*tonTOMg*B68</f>
    </oc>
    <nc r="B96">
      <f>B85/2000*tonTOMg*B68</f>
    </nc>
  </rcc>
  <rcc rId="2806" sId="9">
    <oc r="B97">
      <f>B85/1000*tonTOMg*B74</f>
    </oc>
    <nc r="B97">
      <f>B85/2000*tonTOMg*B74</f>
    </nc>
  </rcc>
  <rcc rId="2807" sId="9">
    <oc r="B95">
      <f>B85/1000*tonTOMg*B63</f>
    </oc>
    <nc r="B95">
      <f>B85/2000*tonTOMg*B63</f>
    </nc>
  </rcc>
  <rcmt sheetId="9" cell="F87" guid="{00000000-0000-0000-0000-000000000000}" action="delete" alwaysShow="1" author="Andrea Martin"/>
  <rcc rId="2808" sId="9">
    <oc r="K85" t="inlineStr">
      <is>
        <t>lbCO2e/MWh</t>
      </is>
    </oc>
    <nc r="K85" t="inlineStr">
      <is>
        <r>
          <t>lbCO</t>
        </r>
        <r>
          <rPr>
            <b/>
            <vertAlign val="subscript"/>
            <sz val="9"/>
            <rFont val="Arial"/>
            <family val="2"/>
          </rPr>
          <t>2</t>
        </r>
        <r>
          <rPr>
            <b/>
            <sz val="9"/>
            <rFont val="Arial"/>
            <family val="2"/>
          </rPr>
          <t>e/MWh</t>
        </r>
      </is>
    </nc>
  </rcc>
  <rfmt sheetId="9" sqref="K85" start="0" length="2147483647">
    <dxf>
      <font>
        <b val="0"/>
        <family val="2"/>
      </font>
    </dxf>
  </rfmt>
  <rfmt sheetId="9" sqref="G85" start="0" length="2147483647">
    <dxf>
      <font>
        <b val="0"/>
        <family val="2"/>
      </font>
    </dxf>
  </rfmt>
  <rfmt sheetId="9" sqref="C85" start="0" length="2147483647">
    <dxf>
      <font>
        <b/>
        <family val="2"/>
      </font>
    </dxf>
  </rfmt>
  <rfmt sheetId="9" sqref="C85" start="0" length="2147483647">
    <dxf>
      <font>
        <b val="0"/>
        <family val="2"/>
      </font>
    </dxf>
  </rfmt>
  <rfmt sheetId="9" sqref="C85" start="0" length="0">
    <dxf>
      <alignment vertical="bottom"/>
    </dxf>
  </rfmt>
  <rcc rId="2809" sId="9">
    <oc r="G85" t="inlineStr">
      <is>
        <t>lbCO2e/MWh</t>
      </is>
    </oc>
    <nc r="G85" t="inlineStr">
      <is>
        <r>
          <t>lbCO</t>
        </r>
        <r>
          <rPr>
            <vertAlign val="subscript"/>
            <sz val="9"/>
            <rFont val="Arial"/>
            <family val="2"/>
          </rPr>
          <t>2</t>
        </r>
        <r>
          <rPr>
            <sz val="9"/>
            <rFont val="Arial"/>
            <family val="2"/>
          </rPr>
          <t>e/MWh</t>
        </r>
      </is>
    </nc>
  </rcc>
  <rcc rId="2810" sId="9">
    <nc r="C85" t="inlineStr">
      <is>
        <r>
          <t>lbCO</t>
        </r>
        <r>
          <rPr>
            <vertAlign val="subscript"/>
            <sz val="9"/>
            <rFont val="Arial"/>
            <family val="2"/>
          </rPr>
          <t>2</t>
        </r>
        <r>
          <rPr>
            <sz val="9"/>
            <rFont val="Arial"/>
            <family val="2"/>
          </rPr>
          <t>e/MWh</t>
        </r>
      </is>
    </nc>
  </rcc>
  <rcc rId="2811" sId="9" numFmtId="34">
    <nc r="B85">
      <v>921</v>
    </nc>
  </rcc>
  <rfmt sheetId="9" sqref="B85">
    <dxf>
      <numFmt numFmtId="182" formatCode="_(* #,##0.0_);_(* \(#,##0.0\);_(* &quot;-&quot;??_);_(@_)"/>
    </dxf>
  </rfmt>
  <rfmt sheetId="9" sqref="B85">
    <dxf>
      <numFmt numFmtId="181" formatCode="_(* #,##0_);_(* \(#,##0\);_(* &quot;-&quot;??_);_(@_)"/>
    </dxf>
  </rfmt>
  <rcmt sheetId="9" cell="B85" guid="{00000000-0000-0000-0000-000000000000}" action="delete" alwaysShow="1" author="Andrea Martin"/>
  <rcc rId="2812" sId="9" numFmtId="34">
    <oc r="N85">
      <v>913.4</v>
    </oc>
    <nc r="N85">
      <v>907</v>
    </nc>
  </rcc>
  <rcc rId="2813" sId="9" odxf="1" dxf="1">
    <oc r="O85" t="inlineStr">
      <is>
        <t>lbCO2e/MWh</t>
      </is>
    </oc>
    <nc r="O85" t="inlineStr">
      <is>
        <r>
          <t>lbCO</t>
        </r>
        <r>
          <rPr>
            <vertAlign val="subscript"/>
            <sz val="9"/>
            <rFont val="Arial"/>
            <family val="2"/>
          </rPr>
          <t>2</t>
        </r>
        <r>
          <rPr>
            <sz val="9"/>
            <rFont val="Arial"/>
            <family val="2"/>
          </rPr>
          <t>e/MWh</t>
        </r>
      </is>
    </nc>
    <odxf>
      <font>
        <b/>
        <family val="2"/>
      </font>
    </odxf>
    <ndxf>
      <font>
        <b val="0"/>
        <sz val="9"/>
        <color auto="1"/>
        <name val="Arial"/>
        <family val="2"/>
        <scheme val="none"/>
      </font>
    </ndxf>
  </rcc>
  <rcc rId="2814" sId="9">
    <oc r="J85">
      <v>846.97</v>
    </oc>
    <nc r="J85">
      <v>842.58</v>
    </nc>
  </rcc>
  <rcc rId="2815" sId="9">
    <oc r="J95">
      <f>J85/1000*tonTOMg*J63</f>
    </oc>
    <nc r="J95">
      <f>J85/2000*tonTOMg*J63</f>
    </nc>
  </rcc>
  <rcc rId="2816" sId="9">
    <oc r="N95">
      <f>N85/1000*tonTOMg*N63</f>
    </oc>
    <nc r="N95">
      <f>N85/2000*tonTOMg*N63</f>
    </nc>
  </rcc>
  <rcc rId="2817" sId="9">
    <oc r="N96">
      <f>N85/1000*tonTOMg*N68</f>
    </oc>
    <nc r="N96">
      <f>N85/2000*tonTOMg*N68</f>
    </nc>
  </rcc>
  <rcc rId="2818" sId="9">
    <oc r="N97">
      <f>N85/1000*tonTOMg*N74</f>
    </oc>
    <nc r="N97">
      <f>N85/2000*tonTOMg*N74</f>
    </nc>
  </rcc>
  <rcc rId="2819" sId="9">
    <oc r="F85">
      <f>(863.36+823.4)/2</f>
    </oc>
    <nc r="F85">
      <f>(819.21+858.79)/2</f>
    </nc>
  </rcc>
  <rcmt sheetId="9" cell="H85" guid="{00000000-0000-0000-0000-000000000000}" action="delete" alwaysShow="1" author="Andrea Martin"/>
  <rcc rId="2820" sId="9">
    <nc r="D85" t="inlineStr">
      <is>
        <t>KC15_65_14</t>
      </is>
    </nc>
  </rcc>
  <rcc rId="2821" sId="9">
    <oc r="E85" t="inlineStr">
      <is>
        <t>2004 estimate</t>
      </is>
    </oc>
    <nc r="E85" t="inlineStr">
      <is>
        <t>2004 estimate, Table 1</t>
      </is>
    </nc>
  </rcc>
  <rcc rId="2822" sId="9">
    <oc r="I85" t="inlineStr">
      <is>
        <t>avg of 2007 and 2009 estimates- no 2008 est</t>
      </is>
    </oc>
    <nc r="I85" t="inlineStr">
      <is>
        <t>avg of 2007 and 2009 estimates- no 2008 est, Table 1</t>
      </is>
    </nc>
  </rcc>
  <rfmt sheetId="9" sqref="H85" start="0" length="0">
    <dxf>
      <fill>
        <patternFill patternType="none">
          <bgColor indexed="65"/>
        </patternFill>
      </fill>
    </dxf>
  </rfmt>
  <rcc rId="2823" sId="9">
    <nc r="H85" t="inlineStr">
      <is>
        <r>
          <t>KC15_65_15,</t>
        </r>
        <r>
          <rPr>
            <b/>
            <sz val="9"/>
            <rFont val="Arial"/>
            <family val="2"/>
          </rPr>
          <t xml:space="preserve"> KC15_65_16</t>
        </r>
      </is>
    </nc>
  </rcc>
  <rfmt sheetId="9" sqref="H85" start="0" length="2147483647">
    <dxf>
      <font>
        <b/>
        <family val="2"/>
      </font>
    </dxf>
  </rfmt>
  <rfmt sheetId="9" sqref="H85" start="0" length="2147483647">
    <dxf>
      <font>
        <b val="0"/>
        <family val="2"/>
      </font>
    </dxf>
  </rfmt>
  <rcc rId="2824" sId="9">
    <nc r="L85" t="inlineStr">
      <is>
        <t>KC15_65_17</t>
      </is>
    </nc>
  </rcc>
  <rcc rId="2825" sId="9">
    <nc r="M85" t="inlineStr">
      <is>
        <t>2014 value, table 1</t>
      </is>
    </nc>
  </rcc>
  <rfmt sheetId="9" sqref="P85" start="0" length="0">
    <dxf>
      <font>
        <b val="0"/>
        <sz val="9"/>
        <color auto="1"/>
        <name val="Arial"/>
        <family val="2"/>
        <scheme val="none"/>
      </font>
      <alignment vertical="top"/>
      <border outline="0">
        <right/>
      </border>
    </dxf>
  </rfmt>
  <rcc rId="2826" sId="9">
    <nc r="P85" t="inlineStr">
      <is>
        <t>KC15_65_18</t>
      </is>
    </nc>
  </rcc>
  <rcmt sheetId="9" cell="F51" guid="{00000000-0000-0000-0000-000000000000}" action="delete" alwaysShow="1" author="Andrea Martin"/>
  <rfmt sheetId="9" sqref="B20:B21" start="0" length="2147483647">
    <dxf>
      <font>
        <b val="0"/>
        <family val="2"/>
      </font>
    </dxf>
  </rfmt>
  <rfmt sheetId="9" sqref="F20:F21" start="0" length="2147483647">
    <dxf>
      <font>
        <b val="0"/>
        <family val="2"/>
      </font>
    </dxf>
  </rfmt>
  <rfmt sheetId="9" sqref="J20:J21" start="0" length="2147483647">
    <dxf>
      <font>
        <b val="0"/>
        <family val="2"/>
      </font>
    </dxf>
  </rfmt>
  <rfmt sheetId="9" sqref="N20:N21" start="0" length="2147483647">
    <dxf>
      <font>
        <b val="0"/>
        <family val="2"/>
      </font>
    </dxf>
  </rfmt>
  <rcc rId="2827" sId="9">
    <oc r="B22">
      <f>SUM(B18:B19)</f>
    </oc>
    <nc r="B22">
      <f>SUM(B18:B19)</f>
    </nc>
  </rcc>
  <rcc rId="2828" sId="9">
    <oc r="A22" t="inlineStr">
      <is>
        <t>Total</t>
      </is>
    </oc>
    <nc r="A22" t="inlineStr">
      <is>
        <t>Total (w/o energy lost)</t>
      </is>
    </nc>
  </rcc>
  <rcc rId="2829" sId="8">
    <nc r="E15" t="inlineStr">
      <is>
        <t>QC complete</t>
      </is>
    </nc>
  </rcc>
  <rcc rId="2830" sId="8">
    <oc r="E12" t="inlineStr">
      <is>
        <t>Need final QC based on answers to comments</t>
      </is>
    </oc>
    <nc r="E12" t="inlineStr">
      <is>
        <t>QC complete</t>
      </is>
    </nc>
  </rcc>
  <rfmt sheetId="9" sqref="F87:F89">
    <dxf>
      <fill>
        <patternFill patternType="none">
          <bgColor auto="1"/>
        </patternFill>
      </fill>
    </dxf>
  </rfmt>
  <rfmt sheetId="9" sqref="B85">
    <dxf>
      <fill>
        <patternFill patternType="none">
          <bgColor auto="1"/>
        </patternFill>
      </fill>
    </dxf>
  </rfmt>
  <rfmt sheetId="9" sqref="F85" start="0" length="2147483647">
    <dxf>
      <font>
        <b val="0"/>
        <family val="2"/>
      </font>
    </dxf>
  </rfmt>
  <rfmt sheetId="9" sqref="F94:F101">
    <dxf>
      <fill>
        <patternFill patternType="none">
          <bgColor auto="1"/>
        </patternFill>
      </fill>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J46" start="0" length="2147483647">
    <dxf>
      <font>
        <b/>
      </font>
    </dxf>
  </rfmt>
  <rfmt sheetId="9" sqref="J6" start="0" length="2147483647">
    <dxf>
      <font>
        <b/>
      </font>
    </dxf>
  </rfmt>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3" sqref="E9" start="0" length="2147483647">
    <dxf>
      <font>
        <sz val="8"/>
        <family val="2"/>
      </font>
    </dxf>
  </rfmt>
  <rfmt sheetId="23" sqref="E9" start="0" length="2147483647">
    <dxf>
      <font>
        <sz val="9"/>
        <family val="2"/>
      </font>
    </dxf>
  </rfmt>
  <rfmt sheetId="23" sqref="E38" start="0" length="2147483647">
    <dxf>
      <font>
        <sz val="8"/>
        <family val="2"/>
      </font>
    </dxf>
  </rfmt>
  <rfmt sheetId="23" sqref="E38" start="0" length="2147483647">
    <dxf>
      <font>
        <sz val="9"/>
        <family val="2"/>
      </font>
    </dxf>
  </rfmt>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N44" guid="{00000000-0000-0000-0000-000000000000}" action="delete" alwaysShow="1" author="Andrea Martin"/>
  <rcc rId="2831" sId="9">
    <nc r="Q28" t="inlineStr">
      <is>
        <t>includes residential proportioned waste energy</t>
      </is>
    </nc>
  </rcc>
  <rfmt sheetId="9" sqref="Q34" start="0" length="0">
    <dxf/>
  </rfmt>
  <rcc rId="2832" sId="9">
    <nc r="Q34" t="inlineStr">
      <is>
        <t>includes commercial proportioned waste energy</t>
      </is>
    </nc>
  </rcc>
  <rfmt sheetId="9" sqref="Q39" start="0" length="0">
    <dxf/>
  </rfmt>
  <rcc rId="2833" sId="9">
    <nc r="Q39" t="inlineStr">
      <is>
        <t>includes industrial proportioned waste energy</t>
      </is>
    </nc>
  </rcc>
  <rcc rId="2834" sId="9" odxf="1" dxf="1">
    <nc r="L28" t="inlineStr">
      <is>
        <t>includes residential proportioned waste energy</t>
      </is>
    </nc>
    <odxf>
      <numFmt numFmtId="30" formatCode="@"/>
      <border outline="0">
        <right/>
      </border>
    </odxf>
    <ndxf>
      <numFmt numFmtId="0" formatCode="General"/>
      <border outline="0">
        <right style="thin">
          <color indexed="64"/>
        </right>
      </border>
    </ndxf>
  </rcc>
  <rfmt sheetId="9" sqref="L29" start="0" length="0">
    <dxf>
      <font>
        <b val="0"/>
        <sz val="9"/>
        <color auto="1"/>
        <name val="Arial"/>
        <family val="2"/>
        <scheme val="none"/>
      </font>
      <numFmt numFmtId="0" formatCode="General"/>
      <border outline="0">
        <right style="thin">
          <color indexed="64"/>
        </right>
      </border>
    </dxf>
  </rfmt>
  <rfmt sheetId="9" sqref="L30" start="0" length="0">
    <dxf>
      <font>
        <b val="0"/>
        <sz val="9"/>
        <color auto="1"/>
        <name val="Arial"/>
        <family val="2"/>
        <scheme val="none"/>
      </font>
      <numFmt numFmtId="0" formatCode="General"/>
      <border outline="0">
        <right style="thin">
          <color indexed="64"/>
        </right>
      </border>
    </dxf>
  </rfmt>
  <rfmt sheetId="9" sqref="L31" start="0" length="0">
    <dxf>
      <font>
        <b val="0"/>
        <sz val="9"/>
        <color auto="1"/>
        <name val="Arial"/>
        <family val="2"/>
        <scheme val="none"/>
      </font>
      <numFmt numFmtId="0" formatCode="General"/>
      <border outline="0">
        <right style="thin">
          <color indexed="64"/>
        </right>
      </border>
    </dxf>
  </rfmt>
  <rfmt sheetId="9" sqref="L32" start="0" length="0">
    <dxf>
      <font>
        <b val="0"/>
        <sz val="9"/>
        <color auto="1"/>
        <name val="Arial"/>
        <family val="2"/>
        <scheme val="none"/>
      </font>
      <numFmt numFmtId="0" formatCode="General"/>
      <border outline="0">
        <right style="thin">
          <color indexed="64"/>
        </right>
      </border>
    </dxf>
  </rfmt>
  <rfmt sheetId="9" sqref="L33" start="0" length="0">
    <dxf>
      <font>
        <b val="0"/>
        <sz val="9"/>
        <color auto="1"/>
        <name val="Arial"/>
        <family val="2"/>
        <scheme val="none"/>
      </font>
      <numFmt numFmtId="0" formatCode="General"/>
      <border outline="0">
        <right style="thin">
          <color indexed="64"/>
        </right>
      </border>
    </dxf>
  </rfmt>
  <rcc rId="2835" sId="9" odxf="1" dxf="1">
    <nc r="L34" t="inlineStr">
      <is>
        <t>includes commercial proportioned waste energy</t>
      </is>
    </nc>
    <odxf>
      <numFmt numFmtId="30" formatCode="@"/>
      <border outline="0">
        <right/>
      </border>
    </odxf>
    <ndxf>
      <numFmt numFmtId="0" formatCode="General"/>
      <border outline="0">
        <right style="thin">
          <color indexed="64"/>
        </right>
      </border>
    </ndxf>
  </rcc>
  <rfmt sheetId="9" sqref="L35" start="0" length="0">
    <dxf>
      <font>
        <sz val="9"/>
        <color auto="1"/>
        <name val="Arial"/>
        <family val="2"/>
        <scheme val="none"/>
      </font>
      <numFmt numFmtId="0" formatCode="General"/>
      <border outline="0">
        <right style="thin">
          <color indexed="64"/>
        </right>
      </border>
    </dxf>
  </rfmt>
  <rfmt sheetId="9" sqref="L36" start="0" length="0">
    <dxf>
      <font>
        <b val="0"/>
        <sz val="9"/>
        <color auto="1"/>
        <name val="Arial"/>
        <family val="2"/>
        <scheme val="none"/>
      </font>
      <numFmt numFmtId="0" formatCode="General"/>
      <border outline="0">
        <right style="thin">
          <color indexed="64"/>
        </right>
      </border>
    </dxf>
  </rfmt>
  <rfmt sheetId="9" sqref="L37" start="0" length="0">
    <dxf>
      <font>
        <b val="0"/>
        <sz val="9"/>
        <color auto="1"/>
        <name val="Arial"/>
        <family val="2"/>
        <scheme val="none"/>
      </font>
      <numFmt numFmtId="0" formatCode="General"/>
      <border outline="0">
        <right style="thin">
          <color indexed="64"/>
        </right>
      </border>
    </dxf>
  </rfmt>
  <rfmt sheetId="9" sqref="L38" start="0" length="0">
    <dxf>
      <font>
        <b val="0"/>
        <sz val="9"/>
        <color auto="1"/>
        <name val="Arial"/>
        <family val="2"/>
        <scheme val="none"/>
      </font>
      <numFmt numFmtId="0" formatCode="General"/>
      <border outline="0">
        <right style="thin">
          <color indexed="64"/>
        </right>
      </border>
    </dxf>
  </rfmt>
  <rcc rId="2836" sId="9" odxf="1" dxf="1">
    <nc r="L39" t="inlineStr">
      <is>
        <t>includes industrial proportioned waste energy</t>
      </is>
    </nc>
    <odxf>
      <numFmt numFmtId="30" formatCode="@"/>
      <border outline="0">
        <right/>
      </border>
    </odxf>
    <ndxf>
      <numFmt numFmtId="0" formatCode="General"/>
      <border outline="0">
        <right style="thin">
          <color indexed="64"/>
        </right>
      </border>
    </ndxf>
  </rcc>
  <rcc rId="2837" sId="9" odxf="1" dxf="1">
    <nc r="H28" t="inlineStr">
      <is>
        <t>includes residential proportioned waste energy</t>
      </is>
    </nc>
    <odxf>
      <numFmt numFmtId="30" formatCode="@"/>
      <border outline="0">
        <right/>
      </border>
    </odxf>
    <ndxf>
      <numFmt numFmtId="0" formatCode="General"/>
      <border outline="0">
        <right style="thin">
          <color indexed="64"/>
        </right>
      </border>
    </ndxf>
  </rcc>
  <rfmt sheetId="9" sqref="H29" start="0" length="0">
    <dxf>
      <font>
        <b val="0"/>
        <sz val="9"/>
        <color auto="1"/>
        <name val="Arial"/>
        <family val="2"/>
        <scheme val="none"/>
      </font>
      <numFmt numFmtId="0" formatCode="General"/>
      <border outline="0">
        <right style="thin">
          <color indexed="64"/>
        </right>
      </border>
    </dxf>
  </rfmt>
  <rfmt sheetId="9" sqref="H30" start="0" length="0">
    <dxf>
      <font>
        <b val="0"/>
        <sz val="9"/>
        <color auto="1"/>
        <name val="Arial"/>
        <family val="2"/>
        <scheme val="none"/>
      </font>
      <numFmt numFmtId="0" formatCode="General"/>
      <border outline="0">
        <right style="thin">
          <color indexed="64"/>
        </right>
      </border>
    </dxf>
  </rfmt>
  <rfmt sheetId="9" sqref="H31" start="0" length="0">
    <dxf>
      <font>
        <b val="0"/>
        <sz val="9"/>
        <color auto="1"/>
        <name val="Arial"/>
        <family val="2"/>
        <scheme val="none"/>
      </font>
      <numFmt numFmtId="0" formatCode="General"/>
      <border outline="0">
        <right style="thin">
          <color indexed="64"/>
        </right>
      </border>
    </dxf>
  </rfmt>
  <rfmt sheetId="9" sqref="H32" start="0" length="0">
    <dxf>
      <font>
        <b val="0"/>
        <sz val="9"/>
        <color auto="1"/>
        <name val="Arial"/>
        <family val="2"/>
        <scheme val="none"/>
      </font>
      <numFmt numFmtId="0" formatCode="General"/>
      <border outline="0">
        <right style="thin">
          <color indexed="64"/>
        </right>
      </border>
    </dxf>
  </rfmt>
  <rfmt sheetId="9" sqref="H33" start="0" length="0">
    <dxf>
      <font>
        <b val="0"/>
        <sz val="9"/>
        <color auto="1"/>
        <name val="Arial"/>
        <family val="2"/>
        <scheme val="none"/>
      </font>
      <numFmt numFmtId="0" formatCode="General"/>
      <border outline="0">
        <right style="thin">
          <color indexed="64"/>
        </right>
      </border>
    </dxf>
  </rfmt>
  <rcc rId="2838" sId="9" odxf="1" dxf="1">
    <nc r="H34" t="inlineStr">
      <is>
        <t>includes commercial proportioned waste energy</t>
      </is>
    </nc>
    <odxf>
      <numFmt numFmtId="30" formatCode="@"/>
      <border outline="0">
        <right/>
      </border>
    </odxf>
    <ndxf>
      <numFmt numFmtId="0" formatCode="General"/>
      <border outline="0">
        <right style="thin">
          <color indexed="64"/>
        </right>
      </border>
    </ndxf>
  </rcc>
  <rfmt sheetId="9" sqref="H35" start="0" length="0">
    <dxf>
      <font>
        <sz val="9"/>
        <color auto="1"/>
        <name val="Arial"/>
        <family val="2"/>
        <scheme val="none"/>
      </font>
      <numFmt numFmtId="0" formatCode="General"/>
      <border outline="0">
        <right style="thin">
          <color indexed="64"/>
        </right>
      </border>
    </dxf>
  </rfmt>
  <rfmt sheetId="9" sqref="H36" start="0" length="0">
    <dxf>
      <font>
        <b val="0"/>
        <sz val="9"/>
        <color auto="1"/>
        <name val="Arial"/>
        <family val="2"/>
        <scheme val="none"/>
      </font>
      <numFmt numFmtId="0" formatCode="General"/>
      <border outline="0">
        <right style="thin">
          <color indexed="64"/>
        </right>
      </border>
    </dxf>
  </rfmt>
  <rfmt sheetId="9" sqref="H37" start="0" length="0">
    <dxf>
      <font>
        <b val="0"/>
        <sz val="9"/>
        <color auto="1"/>
        <name val="Arial"/>
        <family val="2"/>
        <scheme val="none"/>
      </font>
      <numFmt numFmtId="0" formatCode="General"/>
      <border outline="0">
        <right style="thin">
          <color indexed="64"/>
        </right>
      </border>
    </dxf>
  </rfmt>
  <rfmt sheetId="9" sqref="H38" start="0" length="0">
    <dxf>
      <font>
        <b val="0"/>
        <sz val="9"/>
        <color auto="1"/>
        <name val="Arial"/>
        <family val="2"/>
        <scheme val="none"/>
      </font>
      <numFmt numFmtId="0" formatCode="General"/>
      <border outline="0">
        <right style="thin">
          <color indexed="64"/>
        </right>
      </border>
    </dxf>
  </rfmt>
  <rcc rId="2839" sId="9" odxf="1" dxf="1">
    <nc r="H39" t="inlineStr">
      <is>
        <t>includes industrial proportioned waste energy</t>
      </is>
    </nc>
    <odxf>
      <numFmt numFmtId="30" formatCode="@"/>
      <border outline="0">
        <right/>
      </border>
    </odxf>
    <ndxf>
      <numFmt numFmtId="0" formatCode="General"/>
      <border outline="0">
        <right style="thin">
          <color indexed="64"/>
        </right>
      </border>
    </ndxf>
  </rcc>
  <rcc rId="2840" sId="9" odxf="1" dxf="1">
    <nc r="D28" t="inlineStr">
      <is>
        <t>includes residential proportioned waste energy</t>
      </is>
    </nc>
    <odxf>
      <font>
        <color theme="3" tint="0.39997558519241921"/>
        <family val="2"/>
      </font>
      <numFmt numFmtId="30" formatCode="@"/>
      <border outline="0">
        <right/>
      </border>
    </odxf>
    <ndxf>
      <font>
        <sz val="9"/>
        <color auto="1"/>
        <name val="Arial"/>
        <family val="2"/>
        <scheme val="none"/>
      </font>
      <numFmt numFmtId="0" formatCode="General"/>
      <border outline="0">
        <right style="thin">
          <color indexed="64"/>
        </right>
      </border>
    </ndxf>
  </rcc>
  <rfmt sheetId="9" sqref="D29" start="0" length="0">
    <dxf>
      <font>
        <b val="0"/>
        <sz val="9"/>
        <color auto="1"/>
        <name val="Arial"/>
        <family val="2"/>
        <scheme val="none"/>
      </font>
      <numFmt numFmtId="0" formatCode="General"/>
      <border outline="0">
        <right style="thin">
          <color indexed="64"/>
        </right>
      </border>
    </dxf>
  </rfmt>
  <rfmt sheetId="9" sqref="D30" start="0" length="0">
    <dxf>
      <font>
        <b val="0"/>
        <sz val="9"/>
        <color auto="1"/>
        <name val="Arial"/>
        <family val="2"/>
        <scheme val="none"/>
      </font>
      <numFmt numFmtId="0" formatCode="General"/>
      <border outline="0">
        <right style="thin">
          <color indexed="64"/>
        </right>
      </border>
    </dxf>
  </rfmt>
  <rfmt sheetId="9" sqref="D31" start="0" length="0">
    <dxf>
      <numFmt numFmtId="0" formatCode="General"/>
      <border outline="0">
        <right style="thin">
          <color indexed="64"/>
        </right>
      </border>
    </dxf>
  </rfmt>
  <rfmt sheetId="9" sqref="D32" start="0" length="0">
    <dxf>
      <font>
        <b val="0"/>
        <sz val="9"/>
        <color auto="1"/>
        <name val="Arial"/>
        <family val="2"/>
        <scheme val="none"/>
      </font>
      <numFmt numFmtId="0" formatCode="General"/>
      <border outline="0">
        <right style="thin">
          <color indexed="64"/>
        </right>
      </border>
    </dxf>
  </rfmt>
  <rfmt sheetId="9" sqref="D33" start="0" length="0">
    <dxf>
      <font>
        <b val="0"/>
        <sz val="9"/>
        <color auto="1"/>
        <name val="Arial"/>
        <family val="2"/>
        <scheme val="none"/>
      </font>
      <numFmt numFmtId="0" formatCode="General"/>
      <border outline="0">
        <right style="thin">
          <color indexed="64"/>
        </right>
      </border>
    </dxf>
  </rfmt>
  <rcc rId="2841" sId="9" odxf="1" dxf="1">
    <nc r="D34" t="inlineStr">
      <is>
        <t>includes commercial proportioned waste energy</t>
      </is>
    </nc>
    <odxf>
      <font>
        <color theme="3" tint="0.39997558519241921"/>
        <family val="2"/>
      </font>
      <numFmt numFmtId="30" formatCode="@"/>
      <border outline="0">
        <right/>
      </border>
    </odxf>
    <ndxf>
      <font>
        <sz val="9"/>
        <color auto="1"/>
        <name val="Arial"/>
        <family val="2"/>
        <scheme val="none"/>
      </font>
      <numFmt numFmtId="0" formatCode="General"/>
      <border outline="0">
        <right style="thin">
          <color indexed="64"/>
        </right>
      </border>
    </ndxf>
  </rcc>
  <rfmt sheetId="9" sqref="D35" start="0" length="0">
    <dxf>
      <numFmt numFmtId="0" formatCode="General"/>
      <border outline="0">
        <right style="thin">
          <color indexed="64"/>
        </right>
      </border>
    </dxf>
  </rfmt>
  <rfmt sheetId="9" sqref="D36" start="0" length="0">
    <dxf>
      <numFmt numFmtId="0" formatCode="General"/>
      <border outline="0">
        <right style="thin">
          <color indexed="64"/>
        </right>
      </border>
    </dxf>
  </rfmt>
  <rfmt sheetId="9" sqref="D37" start="0" length="0">
    <dxf>
      <font>
        <b val="0"/>
        <sz val="9"/>
        <color auto="1"/>
        <name val="Arial"/>
        <family val="2"/>
        <scheme val="none"/>
      </font>
      <numFmt numFmtId="0" formatCode="General"/>
      <border outline="0">
        <right style="thin">
          <color indexed="64"/>
        </right>
      </border>
    </dxf>
  </rfmt>
  <rfmt sheetId="9" sqref="D38" start="0" length="0">
    <dxf>
      <numFmt numFmtId="0" formatCode="General"/>
      <border outline="0">
        <right style="thin">
          <color indexed="64"/>
        </right>
      </border>
    </dxf>
  </rfmt>
  <rcc rId="2842" sId="9" odxf="1" dxf="1">
    <nc r="D39" t="inlineStr">
      <is>
        <t>includes industrial proportioned waste energy</t>
      </is>
    </nc>
    <odxf>
      <font>
        <b/>
        <family val="2"/>
      </font>
      <numFmt numFmtId="30" formatCode="@"/>
      <border outline="0">
        <right/>
      </border>
    </odxf>
    <ndxf>
      <font>
        <b val="0"/>
        <sz val="9"/>
        <color auto="1"/>
        <name val="Arial"/>
        <family val="2"/>
        <scheme val="none"/>
      </font>
      <numFmt numFmtId="0" formatCode="General"/>
      <border outline="0">
        <right style="thin">
          <color indexed="64"/>
        </right>
      </border>
    </ndxf>
  </rcc>
  <rcc rId="2843" sId="9">
    <oc r="N28">
      <f>N27*tonTOMg*N8</f>
    </oc>
    <nc r="N28">
      <f>N27*tonTOMg*N8+(N44*N27/N24)</f>
    </nc>
  </rcc>
  <rcc rId="2844" sId="9">
    <oc r="N34">
      <f>N33*tonTOMg*N8</f>
    </oc>
    <nc r="N34">
      <f>N33*tonTOMg*N8+(N44*N33/N24)</f>
    </nc>
  </rcc>
  <rcc rId="2845" sId="9">
    <oc r="N39">
      <f>N38*N8*tonTOMg</f>
    </oc>
    <nc r="N39">
      <f>N38*N8*tonTOMg+(N44*N43/N24)</f>
    </nc>
  </rcc>
  <rcc rId="2846" sId="9">
    <oc r="J28">
      <f>J27*J8*tonTOMg</f>
    </oc>
    <nc r="J28">
      <f>J27*tonTOMg*J8+(J44*J27/J24)</f>
    </nc>
  </rcc>
  <rcc rId="2847" sId="9" odxf="1" dxf="1">
    <oc r="F28">
      <f>F27*F8*tonTOMg</f>
    </oc>
    <nc r="F28">
      <f>F27*tonTOMg*F8+(F44*F27/F24)</f>
    </nc>
    <odxf>
      <numFmt numFmtId="181" formatCode="_(* #,##0_);_(* \(#,##0\);_(* &quot;-&quot;??_);_(@_)"/>
    </odxf>
    <ndxf>
      <numFmt numFmtId="35" formatCode="_(* #,##0.00_);_(* \(#,##0.00\);_(* &quot;-&quot;??_);_(@_)"/>
    </ndxf>
  </rcc>
  <rcc rId="2848" sId="9" odxf="1" dxf="1">
    <oc r="B28">
      <f>B27*B8*tonTOMg</f>
    </oc>
    <nc r="B28">
      <f>B27*tonTOMg*B8+(B44*B27/B24)</f>
    </nc>
    <odxf>
      <numFmt numFmtId="181" formatCode="_(* #,##0_);_(* \(#,##0\);_(* &quot;-&quot;??_);_(@_)"/>
      <border outline="0">
        <left style="thin">
          <color indexed="64"/>
        </left>
      </border>
    </odxf>
    <ndxf>
      <numFmt numFmtId="35" formatCode="_(* #,##0.00_);_(* \(#,##0.00\);_(* &quot;-&quot;??_);_(@_)"/>
      <border outline="0">
        <left/>
      </border>
    </ndxf>
  </rcc>
  <rfmt sheetId="9" sqref="N39 N28 N34">
    <dxf>
      <numFmt numFmtId="182" formatCode="_(* #,##0.0_);_(* \(#,##0.0\);_(* &quot;-&quot;??_);_(@_)"/>
    </dxf>
  </rfmt>
  <rfmt sheetId="9" sqref="N39 N28 N34">
    <dxf>
      <numFmt numFmtId="181" formatCode="_(* #,##0_);_(* \(#,##0\);_(* &quot;-&quot;??_);_(@_)"/>
    </dxf>
  </rfmt>
  <rfmt sheetId="9" sqref="B28 F28 J28">
    <dxf>
      <numFmt numFmtId="182" formatCode="_(* #,##0.0_);_(* \(#,##0.0\);_(* &quot;-&quot;??_);_(@_)"/>
    </dxf>
  </rfmt>
  <rfmt sheetId="9" sqref="B28 F28 J28">
    <dxf>
      <numFmt numFmtId="181" formatCode="_(* #,##0_);_(* \(#,##0\);_(* &quot;-&quot;??_);_(@_)"/>
    </dxf>
  </rfmt>
  <rcc rId="2849" sId="9">
    <oc r="J34">
      <f>J33*J8*tonTOMg</f>
    </oc>
    <nc r="J34">
      <f>J33*tonTOMg*J8+(J44*J33/J24)</f>
    </nc>
  </rcc>
  <rcc rId="2850" sId="9">
    <oc r="F34">
      <f>F33*F8*tonTOMg</f>
    </oc>
    <nc r="F34">
      <f>F33*tonTOMg*F8+(F44*F33/F24)</f>
    </nc>
  </rcc>
  <rcc rId="2851" sId="9" odxf="1" dxf="1">
    <oc r="B34">
      <f>B33*B8*tonTOMg</f>
    </oc>
    <nc r="B34">
      <f>B33*tonTOMg*B8+(B44*B33/B24)</f>
    </nc>
    <odxf>
      <border outline="0">
        <left style="thin">
          <color indexed="64"/>
        </left>
      </border>
    </odxf>
    <ndxf>
      <border outline="0">
        <left/>
      </border>
    </ndxf>
  </rcc>
  <rcc rId="2852" sId="9">
    <oc r="J39">
      <f>J38*J8*tonTOMg</f>
    </oc>
    <nc r="J39">
      <f>J38*J8*tonTOMg+(J44*J43/J24)</f>
    </nc>
  </rcc>
  <rcc rId="2853" sId="9">
    <oc r="F39">
      <f>F38*F8*tonTOMg</f>
    </oc>
    <nc r="F39">
      <f>F38*F8*tonTOMg+(F44*F43/F24)</f>
    </nc>
  </rcc>
  <rcc rId="2854" sId="9" odxf="1" dxf="1">
    <oc r="B39">
      <f>B38*B8*tonTOMg</f>
    </oc>
    <nc r="B39">
      <f>B38*B8*tonTOMg+(B44*B43/B24)</f>
    </nc>
    <odxf>
      <border outline="0">
        <left style="thin">
          <color indexed="64"/>
        </left>
      </border>
    </odxf>
    <ndxf>
      <border outline="0">
        <left/>
      </border>
    </ndxf>
  </rcc>
  <rrc rId="2855" sId="9" ref="A77:XFD77" action="insertRow"/>
  <rrc rId="2856" sId="9" ref="A77:XFD77" action="insertRow"/>
  <rrc rId="2857" sId="9" ref="A77:XFD77" action="insertRow"/>
  <rrc rId="2858" sId="9" ref="A77:XFD77" action="insertRow"/>
  <rrc rId="2859" sId="9" ref="A77:XFD77" action="insertRow"/>
  <rrc rId="2860" sId="9" ref="A77:XFD77" action="insertRow"/>
  <rcc rId="2861" sId="9" odxf="1" dxf="1">
    <nc r="A78" t="inlineStr">
      <is>
        <t>Waste - Already accounted for</t>
      </is>
    </nc>
    <odxf>
      <font>
        <b val="0"/>
        <sz val="9"/>
        <color auto="1"/>
        <name val="Arial"/>
        <family val="2"/>
        <scheme val="none"/>
      </font>
      <fill>
        <patternFill patternType="none">
          <bgColor indexed="65"/>
        </patternFill>
      </fill>
      <alignment horizontal="general"/>
    </odxf>
    <ndxf>
      <font>
        <b/>
        <sz val="9"/>
        <color auto="1"/>
        <name val="Arial"/>
        <family val="2"/>
        <scheme val="none"/>
      </font>
      <fill>
        <patternFill patternType="solid">
          <bgColor indexed="50"/>
        </patternFill>
      </fill>
      <alignment horizontal="left"/>
    </ndxf>
  </rcc>
  <rfmt sheetId="9" s="1" sqref="B78" start="0" length="0">
    <dxf>
      <numFmt numFmtId="181" formatCode="_(* #,##0_);_(* \(#,##0\);_(* &quot;-&quot;??_);_(@_)"/>
    </dxf>
  </rfmt>
  <rfmt sheetId="9" sqref="C78" start="0" length="0">
    <dxf/>
  </rfmt>
  <rfmt sheetId="9" sqref="D78" start="0" length="0">
    <dxf>
      <font>
        <b/>
        <color theme="3" tint="0.39997558519241921"/>
        <family val="2"/>
      </font>
      <numFmt numFmtId="30" formatCode="@"/>
    </dxf>
  </rfmt>
  <rfmt sheetId="9" sqref="E78" start="0" length="0">
    <dxf>
      <numFmt numFmtId="0" formatCode="General"/>
    </dxf>
  </rfmt>
  <rfmt sheetId="9" s="1" sqref="F78" start="0" length="0">
    <dxf>
      <numFmt numFmtId="181" formatCode="_(* #,##0_);_(* \(#,##0\);_(* &quot;-&quot;??_);_(@_)"/>
    </dxf>
  </rfmt>
  <rfmt sheetId="9" sqref="G78" start="0" length="0">
    <dxf/>
  </rfmt>
  <rfmt sheetId="9" sqref="H78" start="0" length="0">
    <dxf>
      <font>
        <sz val="9"/>
        <color auto="1"/>
        <name val="Arial"/>
        <family val="2"/>
        <scheme val="none"/>
      </font>
      <numFmt numFmtId="30" formatCode="@"/>
    </dxf>
  </rfmt>
  <rfmt sheetId="9" sqref="I78" start="0" length="0">
    <dxf>
      <numFmt numFmtId="0" formatCode="General"/>
    </dxf>
  </rfmt>
  <rfmt sheetId="9" s="1" sqref="J78" start="0" length="0">
    <dxf>
      <numFmt numFmtId="181" formatCode="_(* #,##0_);_(* \(#,##0\);_(* &quot;-&quot;??_);_(@_)"/>
    </dxf>
  </rfmt>
  <rfmt sheetId="9" sqref="K78" start="0" length="0">
    <dxf/>
  </rfmt>
  <rfmt sheetId="9" sqref="L78" start="0" length="0">
    <dxf>
      <numFmt numFmtId="30" formatCode="@"/>
      <alignment horizontal="general"/>
    </dxf>
  </rfmt>
  <rfmt sheetId="9" sqref="M78" start="0" length="0">
    <dxf>
      <numFmt numFmtId="0" formatCode="General"/>
    </dxf>
  </rfmt>
  <rfmt sheetId="9" sqref="N78" start="0" length="0">
    <dxf>
      <font>
        <b/>
        <sz val="9"/>
        <color theme="3" tint="0.39997558519241921"/>
        <family val="2"/>
      </font>
      <alignment horizontal="right"/>
    </dxf>
  </rfmt>
  <rfmt sheetId="9" sqref="O78" start="0" length="0">
    <dxf>
      <font>
        <b val="0"/>
        <sz val="9"/>
        <color auto="1"/>
        <name val="Arial"/>
        <family val="2"/>
        <scheme val="none"/>
      </font>
    </dxf>
  </rfmt>
  <rfmt sheetId="9" sqref="A79" start="0" length="0">
    <dxf>
      <font>
        <sz val="10"/>
        <color auto="1"/>
        <name val="Arial"/>
        <family val="2"/>
        <scheme val="none"/>
      </font>
      <alignment horizontal="left"/>
    </dxf>
  </rfmt>
  <rfmt sheetId="9" s="1" sqref="B79" start="0" length="0">
    <dxf>
      <font>
        <b val="0"/>
        <sz val="9"/>
        <color auto="1"/>
        <name val="Arial"/>
        <family val="2"/>
        <scheme val="none"/>
      </font>
      <numFmt numFmtId="181" formatCode="_(* #,##0_);_(* \(#,##0\);_(* &quot;-&quot;??_);_(@_)"/>
    </dxf>
  </rfmt>
  <rcc rId="2862" sId="9" odxf="1" dxf="1">
    <nc r="C79" t="inlineStr">
      <is>
        <t>kWh</t>
      </is>
    </nc>
    <odxf>
      <font>
        <b/>
        <color theme="3" tint="0.39997558519241921"/>
        <family val="2"/>
      </font>
    </odxf>
    <ndxf>
      <font>
        <b val="0"/>
        <color theme="3" tint="0.39997558519241921"/>
        <family val="2"/>
      </font>
    </ndxf>
  </rcc>
  <rfmt sheetId="9" sqref="D79" start="0" length="0">
    <dxf>
      <font>
        <b/>
        <color theme="3" tint="0.39997558519241921"/>
        <family val="2"/>
      </font>
      <numFmt numFmtId="30" formatCode="@"/>
    </dxf>
  </rfmt>
  <rfmt sheetId="9" sqref="E79" start="0" length="0">
    <dxf>
      <numFmt numFmtId="0" formatCode="General"/>
    </dxf>
  </rfmt>
  <rfmt sheetId="9" s="1" sqref="F79" start="0" length="0">
    <dxf>
      <font>
        <b val="0"/>
        <sz val="9"/>
        <color auto="1"/>
        <name val="Arial"/>
        <family val="2"/>
        <scheme val="none"/>
      </font>
      <numFmt numFmtId="181" formatCode="_(* #,##0_);_(* \(#,##0\);_(* &quot;-&quot;??_);_(@_)"/>
    </dxf>
  </rfmt>
  <rcc rId="2863" sId="9" odxf="1" dxf="1">
    <nc r="G79" t="inlineStr">
      <is>
        <t>kWh</t>
      </is>
    </nc>
    <odxf>
      <font>
        <b/>
        <color theme="3" tint="0.39997558519241921"/>
        <family val="2"/>
      </font>
    </odxf>
    <ndxf>
      <font>
        <b val="0"/>
        <color theme="3" tint="0.39997558519241921"/>
        <family val="2"/>
      </font>
    </ndxf>
  </rcc>
  <rfmt sheetId="9" sqref="H79" start="0" length="0">
    <dxf>
      <font>
        <sz val="9"/>
        <color auto="1"/>
        <name val="Arial"/>
        <family val="2"/>
        <scheme val="none"/>
      </font>
      <numFmt numFmtId="30" formatCode="@"/>
    </dxf>
  </rfmt>
  <rfmt sheetId="9" sqref="I79" start="0" length="0">
    <dxf>
      <numFmt numFmtId="0" formatCode="General"/>
    </dxf>
  </rfmt>
  <rfmt sheetId="9" s="1" sqref="J79" start="0" length="0">
    <dxf>
      <font>
        <b val="0"/>
        <sz val="9"/>
        <color auto="1"/>
        <name val="Arial"/>
        <family val="2"/>
        <scheme val="none"/>
      </font>
      <numFmt numFmtId="181" formatCode="_(* #,##0_);_(* \(#,##0\);_(* &quot;-&quot;??_);_(@_)"/>
    </dxf>
  </rfmt>
  <rcc rId="2864" sId="9" odxf="1" dxf="1">
    <nc r="K79" t="inlineStr">
      <is>
        <t>kWh</t>
      </is>
    </nc>
    <odxf>
      <font>
        <b/>
        <color theme="3" tint="0.39997558519241921"/>
        <family val="2"/>
      </font>
    </odxf>
    <ndxf>
      <font>
        <b val="0"/>
        <color theme="3" tint="0.39997558519241921"/>
        <family val="2"/>
      </font>
    </ndxf>
  </rcc>
  <rfmt sheetId="9" sqref="L79" start="0" length="0">
    <dxf>
      <numFmt numFmtId="30" formatCode="@"/>
      <alignment horizontal="general"/>
    </dxf>
  </rfmt>
  <rfmt sheetId="9" sqref="M79" start="0" length="0">
    <dxf>
      <numFmt numFmtId="0" formatCode="General"/>
    </dxf>
  </rfmt>
  <rfmt sheetId="9" sqref="N79" start="0" length="0">
    <dxf>
      <font>
        <sz val="9"/>
        <family val="2"/>
      </font>
      <alignment horizontal="right"/>
    </dxf>
  </rfmt>
  <rcc rId="2865" sId="9" odxf="1" dxf="1">
    <nc r="O79" t="inlineStr">
      <is>
        <t>kWh</t>
      </is>
    </nc>
    <odxf>
      <font>
        <b/>
        <color theme="3" tint="0.39997558519241921"/>
        <family val="2"/>
      </font>
    </odxf>
    <ndxf>
      <font>
        <b val="0"/>
        <color theme="3" tint="0.39997558519241921"/>
        <family val="2"/>
      </font>
    </ndxf>
  </rcc>
  <rcc rId="2866" sId="9" odxf="1" dxf="1">
    <nc r="A80" t="inlineStr">
      <is>
        <t>2. Convert to MWh</t>
      </is>
    </nc>
    <odxf>
      <font>
        <sz val="9"/>
        <color auto="1"/>
        <name val="Arial"/>
        <family val="2"/>
        <scheme val="none"/>
      </font>
      <alignment horizontal="general"/>
    </odxf>
    <ndxf>
      <font>
        <sz val="9"/>
        <color auto="1"/>
        <name val="Arial"/>
        <family val="2"/>
        <scheme val="none"/>
      </font>
      <alignment horizontal="left"/>
    </ndxf>
  </rcc>
  <rcc rId="2867" sId="9" odxf="1" s="1" dxf="1">
    <nc r="B80">
      <f>B79/1000</f>
    </nc>
    <odxf>
      <font>
        <b/>
        <i val="0"/>
        <strike val="0"/>
        <condense val="0"/>
        <extend val="0"/>
        <outline val="0"/>
        <shadow val="0"/>
        <u val="none"/>
        <vertAlign val="baseline"/>
        <sz val="9"/>
        <color theme="3" tint="0.3999755851924192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font>
        <b val="0"/>
        <sz val="9"/>
        <color auto="1"/>
        <name val="Arial"/>
        <family val="2"/>
        <scheme val="none"/>
      </font>
      <numFmt numFmtId="181" formatCode="_(* #,##0_);_(* \(#,##0\);_(* &quot;-&quot;??_);_(@_)"/>
    </ndxf>
  </rcc>
  <rcc rId="2868" sId="9" odxf="1" dxf="1">
    <nc r="C80" t="inlineStr">
      <is>
        <t>MWh</t>
      </is>
    </nc>
    <odxf>
      <font>
        <b/>
        <color theme="3" tint="0.39997558519241921"/>
        <family val="2"/>
      </font>
    </odxf>
    <ndxf>
      <font>
        <b val="0"/>
        <color theme="3" tint="0.39997558519241921"/>
        <family val="2"/>
      </font>
    </ndxf>
  </rcc>
  <rfmt sheetId="9" sqref="D80" start="0" length="0">
    <dxf>
      <font>
        <b/>
        <color theme="3" tint="0.39997558519241921"/>
        <family val="2"/>
      </font>
      <numFmt numFmtId="30" formatCode="@"/>
    </dxf>
  </rfmt>
  <rfmt sheetId="9" sqref="E80" start="0" length="0">
    <dxf>
      <numFmt numFmtId="0" formatCode="General"/>
    </dxf>
  </rfmt>
  <rcc rId="2869" sId="9" odxf="1" s="1" dxf="1">
    <nc r="F80">
      <f>F79/1000</f>
    </nc>
    <odxf>
      <font>
        <b/>
        <i val="0"/>
        <strike val="0"/>
        <condense val="0"/>
        <extend val="0"/>
        <outline val="0"/>
        <shadow val="0"/>
        <u val="none"/>
        <vertAlign val="baseline"/>
        <sz val="9"/>
        <color theme="3" tint="0.3999755851924192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font>
        <b val="0"/>
        <sz val="9"/>
        <color auto="1"/>
        <name val="Arial"/>
        <family val="2"/>
        <scheme val="none"/>
      </font>
      <numFmt numFmtId="181" formatCode="_(* #,##0_);_(* \(#,##0\);_(* &quot;-&quot;??_);_(@_)"/>
    </ndxf>
  </rcc>
  <rcc rId="2870" sId="9" odxf="1" dxf="1">
    <nc r="G80" t="inlineStr">
      <is>
        <t>MWh</t>
      </is>
    </nc>
    <odxf>
      <font>
        <b/>
        <color theme="3" tint="0.39997558519241921"/>
        <family val="2"/>
      </font>
    </odxf>
    <ndxf>
      <font>
        <b val="0"/>
        <color theme="3" tint="0.39997558519241921"/>
        <family val="2"/>
      </font>
    </ndxf>
  </rcc>
  <rfmt sheetId="9" sqref="H80" start="0" length="0">
    <dxf>
      <font>
        <sz val="9"/>
        <color auto="1"/>
        <name val="Arial"/>
        <family val="2"/>
        <scheme val="none"/>
      </font>
      <numFmt numFmtId="30" formatCode="@"/>
    </dxf>
  </rfmt>
  <rfmt sheetId="9" sqref="I80" start="0" length="0">
    <dxf>
      <numFmt numFmtId="0" formatCode="General"/>
    </dxf>
  </rfmt>
  <rcc rId="2871" sId="9" odxf="1" s="1" dxf="1">
    <nc r="J80">
      <f>J79/1000</f>
    </nc>
    <odxf>
      <font>
        <b/>
        <i val="0"/>
        <strike val="0"/>
        <condense val="0"/>
        <extend val="0"/>
        <outline val="0"/>
        <shadow val="0"/>
        <u val="none"/>
        <vertAlign val="baseline"/>
        <sz val="9"/>
        <color theme="3" tint="0.39997558519241921"/>
        <name val="Arial"/>
        <family val="2"/>
        <scheme val="none"/>
      </font>
      <numFmt numFmtId="3" formatCode="#,##0"/>
      <fill>
        <patternFill patternType="none">
          <fgColor indexed="64"/>
          <bgColor indexed="65"/>
        </patternFill>
      </fill>
      <alignment horizontal="right" vertical="top" textRotation="0" wrapText="0" indent="0" justifyLastLine="0" shrinkToFit="0" readingOrder="0"/>
      <border diagonalUp="0" diagonalDown="0" outline="0">
        <left/>
        <right/>
        <top/>
        <bottom/>
      </border>
    </odxf>
    <ndxf>
      <font>
        <b val="0"/>
        <sz val="9"/>
        <color auto="1"/>
        <name val="Arial"/>
        <family val="2"/>
        <scheme val="none"/>
      </font>
      <numFmt numFmtId="181" formatCode="_(* #,##0_);_(* \(#,##0\);_(* &quot;-&quot;??_);_(@_)"/>
    </ndxf>
  </rcc>
  <rcc rId="2872" sId="9" odxf="1" dxf="1">
    <nc r="K80" t="inlineStr">
      <is>
        <t>MWh</t>
      </is>
    </nc>
    <odxf>
      <font>
        <b/>
        <color theme="3" tint="0.39997558519241921"/>
        <family val="2"/>
      </font>
    </odxf>
    <ndxf>
      <font>
        <b val="0"/>
        <color theme="3" tint="0.39997558519241921"/>
        <family val="2"/>
      </font>
    </ndxf>
  </rcc>
  <rfmt sheetId="9" sqref="L80" start="0" length="0">
    <dxf>
      <numFmt numFmtId="30" formatCode="@"/>
      <alignment horizontal="general"/>
    </dxf>
  </rfmt>
  <rfmt sheetId="9" sqref="M80" start="0" length="0">
    <dxf>
      <numFmt numFmtId="0" formatCode="General"/>
    </dxf>
  </rfmt>
  <rcc rId="2873" sId="9" odxf="1" dxf="1">
    <nc r="N80">
      <f>N79/1000</f>
    </nc>
    <odxf>
      <font>
        <sz val="9"/>
        <family val="2"/>
      </font>
      <alignment horizontal="left"/>
    </odxf>
    <ndxf>
      <font>
        <sz val="9"/>
        <family val="2"/>
      </font>
      <alignment horizontal="right"/>
    </ndxf>
  </rcc>
  <rcc rId="2874" sId="9" odxf="1" dxf="1">
    <nc r="O80" t="inlineStr">
      <is>
        <t>MWh</t>
      </is>
    </nc>
    <odxf>
      <font>
        <b/>
        <color theme="3" tint="0.39997558519241921"/>
        <family val="2"/>
      </font>
    </odxf>
    <ndxf>
      <font>
        <b val="0"/>
        <color theme="3" tint="0.39997558519241921"/>
        <family val="2"/>
      </font>
    </ndxf>
  </rcc>
  <rcc rId="2875" sId="9" odxf="1" dxf="1">
    <nc r="A81" t="inlineStr">
      <is>
        <t>3. Calculate emissions</t>
      </is>
    </nc>
    <odxf>
      <font>
        <b val="0"/>
        <sz val="9"/>
        <color auto="1"/>
        <name val="Arial"/>
        <family val="2"/>
        <scheme val="none"/>
      </font>
      <alignment horizontal="general"/>
    </odxf>
    <ndxf>
      <font>
        <b/>
        <sz val="10"/>
        <color auto="1"/>
        <name val="Arial"/>
        <family val="2"/>
        <scheme val="none"/>
      </font>
      <alignment horizontal="left"/>
    </ndxf>
  </rcc>
  <rfmt sheetId="9" s="1" sqref="B81" start="0" length="0">
    <dxf>
      <font>
        <b val="0"/>
        <sz val="9"/>
        <color auto="1"/>
        <name val="Arial"/>
        <family val="2"/>
        <scheme val="none"/>
      </font>
      <numFmt numFmtId="181" formatCode="_(* #,##0_);_(* \(#,##0\);_(* &quot;-&quot;??_);_(@_)"/>
      <alignment vertical="bottom"/>
    </dxf>
  </rfmt>
  <rcc rId="2876" sId="9" odxf="1" dxf="1">
    <nc r="C81" t="inlineStr">
      <is>
        <r>
          <t>MgCO</t>
        </r>
        <r>
          <rPr>
            <b/>
            <vertAlign val="subscript"/>
            <sz val="9"/>
            <color theme="3" tint="0.39997558519241921"/>
            <rFont val="Arial"/>
            <family val="2"/>
          </rPr>
          <t>2</t>
        </r>
        <r>
          <rPr>
            <b/>
            <sz val="9"/>
            <color theme="3" tint="0.39997558519241921"/>
            <rFont val="Arial"/>
            <family val="2"/>
          </rPr>
          <t>e</t>
        </r>
      </is>
    </nc>
    <odxf/>
    <ndxf/>
  </rcc>
  <rfmt sheetId="9" sqref="D81" start="0" length="0">
    <dxf>
      <font>
        <b/>
        <color theme="3" tint="0.39997558519241921"/>
        <family val="2"/>
      </font>
      <numFmt numFmtId="30" formatCode="@"/>
    </dxf>
  </rfmt>
  <rfmt sheetId="9" sqref="E81" start="0" length="0">
    <dxf>
      <font>
        <b/>
        <sz val="9"/>
        <color auto="1"/>
        <name val="Arial"/>
        <family val="2"/>
        <scheme val="none"/>
      </font>
      <numFmt numFmtId="30" formatCode="@"/>
      <alignment horizontal="general"/>
    </dxf>
  </rfmt>
  <rfmt sheetId="9" s="1" sqref="F81" start="0" length="0">
    <dxf>
      <font>
        <b val="0"/>
        <sz val="9"/>
        <color auto="1"/>
        <name val="Arial"/>
        <family val="2"/>
        <scheme val="none"/>
      </font>
      <numFmt numFmtId="181" formatCode="_(* #,##0_);_(* \(#,##0\);_(* &quot;-&quot;??_);_(@_)"/>
      <alignment vertical="bottom"/>
    </dxf>
  </rfmt>
  <rcc rId="2877" sId="9" odxf="1" dxf="1">
    <nc r="G81" t="inlineStr">
      <is>
        <r>
          <t>MgCO</t>
        </r>
        <r>
          <rPr>
            <b/>
            <vertAlign val="subscript"/>
            <sz val="9"/>
            <color theme="3" tint="0.39997558519241921"/>
            <rFont val="Arial"/>
            <family val="2"/>
          </rPr>
          <t>2</t>
        </r>
        <r>
          <rPr>
            <b/>
            <sz val="9"/>
            <color theme="3" tint="0.39997558519241921"/>
            <rFont val="Arial"/>
            <family val="2"/>
          </rPr>
          <t>e</t>
        </r>
      </is>
    </nc>
    <odxf/>
    <ndxf/>
  </rcc>
  <rfmt sheetId="9" sqref="H81" start="0" length="0">
    <dxf>
      <font>
        <sz val="9"/>
        <color auto="1"/>
        <name val="Arial"/>
        <family val="2"/>
        <scheme val="none"/>
      </font>
      <numFmt numFmtId="30" formatCode="@"/>
    </dxf>
  </rfmt>
  <rfmt sheetId="9" sqref="I81" start="0" length="0">
    <dxf>
      <numFmt numFmtId="0" formatCode="General"/>
      <alignment horizontal="general"/>
    </dxf>
  </rfmt>
  <rfmt sheetId="9" s="1" sqref="J81" start="0" length="0">
    <dxf>
      <font>
        <b val="0"/>
        <sz val="9"/>
        <color auto="1"/>
        <name val="Arial"/>
        <family val="2"/>
        <scheme val="none"/>
      </font>
      <numFmt numFmtId="181" formatCode="_(* #,##0_);_(* \(#,##0\);_(* &quot;-&quot;??_);_(@_)"/>
      <alignment vertical="bottom"/>
    </dxf>
  </rfmt>
  <rcc rId="2878" sId="9" odxf="1" dxf="1">
    <nc r="K81" t="inlineStr">
      <is>
        <r>
          <t>MgCO</t>
        </r>
        <r>
          <rPr>
            <b/>
            <vertAlign val="subscript"/>
            <sz val="9"/>
            <color theme="3" tint="0.39997558519241921"/>
            <rFont val="Arial"/>
            <family val="2"/>
          </rPr>
          <t>2</t>
        </r>
        <r>
          <rPr>
            <b/>
            <sz val="9"/>
            <color theme="3" tint="0.39997558519241921"/>
            <rFont val="Arial"/>
            <family val="2"/>
          </rPr>
          <t>e</t>
        </r>
      </is>
    </nc>
    <odxf/>
    <ndxf/>
  </rcc>
  <rfmt sheetId="9" sqref="L81" start="0" length="0">
    <dxf>
      <numFmt numFmtId="0" formatCode="General"/>
      <alignment horizontal="general"/>
    </dxf>
  </rfmt>
  <rfmt sheetId="9" sqref="M81" start="0" length="0">
    <dxf>
      <numFmt numFmtId="0" formatCode="General"/>
      <alignment horizontal="general"/>
    </dxf>
  </rfmt>
  <rfmt sheetId="9" sqref="N81" start="0" length="0">
    <dxf>
      <alignment horizontal="right"/>
    </dxf>
  </rfmt>
  <rcc rId="2879" sId="9">
    <nc r="O81" t="inlineStr">
      <is>
        <r>
          <t>MgCO</t>
        </r>
        <r>
          <rPr>
            <b/>
            <vertAlign val="subscript"/>
            <sz val="9"/>
            <color theme="3" tint="0.39997558519241921"/>
            <rFont val="Arial"/>
            <family val="2"/>
          </rPr>
          <t>2</t>
        </r>
        <r>
          <rPr>
            <b/>
            <sz val="9"/>
            <color theme="3" tint="0.39997558519241921"/>
            <rFont val="Arial"/>
            <family val="2"/>
          </rPr>
          <t>e</t>
        </r>
      </is>
    </nc>
  </rcc>
  <rcc rId="2880" sId="9">
    <oc r="A42" t="inlineStr">
      <is>
        <t>1. Calculate industrial portion of non-residential</t>
      </is>
    </oc>
    <nc r="A42" t="inlineStr">
      <is>
        <t>Quantity lost</t>
      </is>
    </nc>
  </rcc>
  <rrc rId="2881" sId="9" ref="A55:XFD55" action="insertRow"/>
  <rcc rId="2882" sId="9">
    <oc r="A56" t="inlineStr">
      <is>
        <t>Total</t>
      </is>
    </oc>
    <nc r="A56" t="inlineStr">
      <is>
        <t>Total (w/o energy lost)</t>
      </is>
    </nc>
  </rcc>
  <rcc rId="2883" sId="9" odxf="1" dxf="1">
    <nc r="A55" t="inlineStr">
      <is>
        <t>Percent lost</t>
      </is>
    </nc>
    <odxf>
      <font>
        <family val="2"/>
      </font>
    </odxf>
    <ndxf>
      <font>
        <sz val="9"/>
        <color auto="1"/>
        <name val="Arial"/>
        <family val="2"/>
        <scheme val="none"/>
      </font>
    </ndxf>
  </rcc>
  <rrc rId="2884" sId="9" ref="A56:XFD56" action="insertRow"/>
  <rcc rId="2885" sId="9">
    <nc r="A56" t="inlineStr">
      <is>
        <t>Energy lost</t>
      </is>
    </nc>
  </rcc>
  <rcc rId="2886" sId="9" odxf="1" s="1" dxf="1" numFmtId="13">
    <nc r="B55">
      <v>8.2100000000000006E-2</v>
    </nc>
    <odxf>
      <font>
        <b val="0"/>
        <i val="0"/>
        <strike val="0"/>
        <condense val="0"/>
        <extend val="0"/>
        <outline val="0"/>
        <shadow val="0"/>
        <u val="none"/>
        <vertAlign val="baseline"/>
        <sz val="9"/>
        <color auto="1"/>
        <name val="Arial"/>
        <family val="2"/>
        <scheme val="none"/>
      </font>
      <numFmt numFmtId="164" formatCode="#,##0.000"/>
      <alignment horizontal="right" vertical="top" textRotation="0" wrapText="0" indent="0" justifyLastLine="0" shrinkToFit="0" readingOrder="0"/>
      <border diagonalUp="0" diagonalDown="0" outline="0">
        <left/>
        <right/>
        <top/>
        <bottom/>
      </border>
    </odxf>
    <ndxf>
      <font>
        <sz val="9"/>
        <color auto="1"/>
        <name val="Arial"/>
        <family val="2"/>
        <scheme val="none"/>
      </font>
      <numFmt numFmtId="13" formatCode="0%"/>
      <fill>
        <patternFill patternType="solid">
          <bgColor theme="9" tint="0.79998168889431442"/>
        </patternFill>
      </fill>
    </ndxf>
  </rcc>
  <rcc rId="2887" sId="9" odxf="1" s="1" dxf="1" numFmtId="13">
    <nc r="F55">
      <v>8.2100000000000006E-2</v>
    </nc>
    <odxf>
      <font>
        <b val="0"/>
        <i val="0"/>
        <strike val="0"/>
        <condense val="0"/>
        <extend val="0"/>
        <outline val="0"/>
        <shadow val="0"/>
        <u val="none"/>
        <vertAlign val="baseline"/>
        <sz val="9"/>
        <color auto="1"/>
        <name val="Arial"/>
        <family val="2"/>
        <scheme val="none"/>
      </font>
      <numFmt numFmtId="3" formatCode="#,##0"/>
      <alignment horizontal="right" vertical="top" textRotation="0" wrapText="0" indent="0" justifyLastLine="0" shrinkToFit="0" readingOrder="0"/>
      <border diagonalUp="0" diagonalDown="0" outline="0">
        <left/>
        <right/>
        <top/>
        <bottom/>
      </border>
    </odxf>
    <ndxf>
      <font>
        <sz val="9"/>
        <color auto="1"/>
        <name val="Arial"/>
        <family val="2"/>
        <scheme val="none"/>
      </font>
      <numFmt numFmtId="13" formatCode="0%"/>
      <fill>
        <patternFill patternType="solid">
          <bgColor theme="9" tint="0.79998168889431442"/>
        </patternFill>
      </fill>
    </ndxf>
  </rcc>
  <rcc rId="2888" sId="9" odxf="1" dxf="1" numFmtId="13">
    <nc r="J55">
      <v>6.8400000000000002E-2</v>
    </nc>
    <odxf>
      <font>
        <sz val="9"/>
        <family val="2"/>
      </font>
      <numFmt numFmtId="181" formatCode="_(* #,##0_);_(* \(#,##0\);_(* &quot;-&quot;??_);_(@_)"/>
      <fill>
        <patternFill patternType="none">
          <bgColor indexed="65"/>
        </patternFill>
      </fill>
      <alignment horizontal="general"/>
    </odxf>
    <ndxf>
      <font>
        <sz val="9"/>
        <family val="2"/>
      </font>
      <numFmt numFmtId="13" formatCode="0%"/>
      <fill>
        <patternFill patternType="solid">
          <bgColor theme="9" tint="0.79998168889431442"/>
        </patternFill>
      </fill>
      <alignment horizontal="right"/>
    </ndxf>
  </rcc>
  <rcc rId="2889" sId="9" odxf="1" dxf="1" numFmtId="13">
    <nc r="N55">
      <v>4.7899999999999998E-2</v>
    </nc>
    <odxf>
      <font>
        <sz val="10"/>
        <color auto="1"/>
        <name val="Arial"/>
        <family val="2"/>
        <scheme val="none"/>
      </font>
      <numFmt numFmtId="181" formatCode="_(* #,##0_);_(* \(#,##0\);_(* &quot;-&quot;??_);_(@_)"/>
      <fill>
        <patternFill patternType="none">
          <bgColor indexed="65"/>
        </patternFill>
      </fill>
      <alignment vertical="center"/>
    </odxf>
    <ndxf>
      <font>
        <sz val="9"/>
        <color auto="1"/>
        <name val="Arial"/>
        <family val="2"/>
        <scheme val="none"/>
      </font>
      <numFmt numFmtId="13" formatCode="0%"/>
      <fill>
        <patternFill patternType="solid">
          <bgColor theme="9" tint="0.79998168889431442"/>
        </patternFill>
      </fill>
      <alignment vertical="top"/>
    </ndxf>
  </rcc>
  <rcc rId="2890" sId="9">
    <nc r="N56">
      <f>N55*N57</f>
    </nc>
  </rcc>
  <rcc rId="2891" sId="9">
    <nc r="O56" t="inlineStr">
      <is>
        <t>kWh</t>
      </is>
    </nc>
  </rcc>
  <rcc rId="2892" sId="9" odxf="1" dxf="1">
    <nc r="K56" t="inlineStr">
      <is>
        <t>kWh</t>
      </is>
    </nc>
    <odxf>
      <font>
        <sz val="9"/>
        <color auto="1"/>
        <name val="Arial"/>
        <family val="2"/>
        <scheme val="none"/>
      </font>
      <numFmt numFmtId="30" formatCode="@"/>
    </odxf>
    <ndxf>
      <font>
        <sz val="9"/>
        <color auto="1"/>
        <name val="Arial"/>
        <family val="2"/>
        <scheme val="none"/>
      </font>
      <numFmt numFmtId="0" formatCode="General"/>
    </ndxf>
  </rcc>
  <rcc rId="2893" sId="9">
    <nc r="C56" t="inlineStr">
      <is>
        <t>kWh</t>
      </is>
    </nc>
  </rcc>
  <rcc rId="2894" sId="9" odxf="1" dxf="1">
    <nc r="G56" t="inlineStr">
      <is>
        <t>kWh</t>
      </is>
    </nc>
    <odxf/>
    <ndxf/>
  </rcc>
  <rcc rId="2895" sId="9">
    <nc r="J56">
      <f>J55*J57</f>
    </nc>
  </rcc>
  <rcc rId="2896" sId="9">
    <nc r="F56">
      <f>F55*F57</f>
    </nc>
  </rcc>
  <rcc rId="2897" sId="9">
    <nc r="B56">
      <f>B55*B57</f>
    </nc>
  </rcc>
  <rfmt sheetId="9" sqref="B56">
    <dxf>
      <numFmt numFmtId="4" formatCode="#,##0.00"/>
    </dxf>
  </rfmt>
  <rfmt sheetId="9" sqref="B56">
    <dxf>
      <numFmt numFmtId="165" formatCode="#,##0.0"/>
    </dxf>
  </rfmt>
  <rfmt sheetId="9" sqref="B51:B54">
    <dxf>
      <numFmt numFmtId="4" formatCode="#,##0.00"/>
    </dxf>
  </rfmt>
  <rfmt sheetId="9" sqref="B51:B54">
    <dxf>
      <numFmt numFmtId="165" formatCode="#,##0.0"/>
    </dxf>
  </rfmt>
  <rfmt sheetId="9" sqref="B51:B54">
    <dxf>
      <numFmt numFmtId="3" formatCode="#,##0"/>
    </dxf>
  </rfmt>
  <rcc rId="2898" sId="9">
    <nc r="B81">
      <f>B56</f>
    </nc>
  </rcc>
  <rcc rId="2899" sId="9">
    <nc r="F81">
      <f>F56</f>
    </nc>
  </rcc>
  <rcc rId="2900" sId="9">
    <nc r="J81">
      <f>J56</f>
    </nc>
  </rcc>
  <rcc rId="2901" sId="9">
    <nc r="N81">
      <f>N56</f>
    </nc>
  </rcc>
  <rcc rId="2902" sId="9">
    <nc r="B83">
      <f>B82*B49*tonTOMg</f>
    </nc>
  </rcc>
  <rcc rId="2903" sId="9" odxf="1" dxf="1">
    <nc r="E67" t="inlineStr">
      <is>
        <t>includes residential proportioned waste energy</t>
      </is>
    </nc>
    <odxf>
      <font>
        <color theme="3" tint="0.39997558519241921"/>
        <family val="2"/>
      </font>
      <numFmt numFmtId="30" formatCode="@"/>
    </odxf>
    <ndxf>
      <font>
        <sz val="9"/>
        <color auto="1"/>
        <name val="Arial"/>
        <family val="2"/>
        <scheme val="none"/>
      </font>
      <numFmt numFmtId="0" formatCode="General"/>
    </ndxf>
  </rcc>
  <rfmt sheetId="9" sqref="E68" start="0" length="0">
    <dxf>
      <numFmt numFmtId="0" formatCode="General"/>
    </dxf>
  </rfmt>
  <rfmt sheetId="9" sqref="E69" start="0" length="0">
    <dxf>
      <numFmt numFmtId="0" formatCode="General"/>
    </dxf>
  </rfmt>
  <rfmt sheetId="9" sqref="E70" start="0" length="0">
    <dxf>
      <numFmt numFmtId="0" formatCode="General"/>
    </dxf>
  </rfmt>
  <rfmt sheetId="9" sqref="E71" start="0" length="0">
    <dxf>
      <numFmt numFmtId="0" formatCode="General"/>
    </dxf>
  </rfmt>
  <rfmt sheetId="9" sqref="E72" start="0" length="0">
    <dxf>
      <numFmt numFmtId="0" formatCode="General"/>
    </dxf>
  </rfmt>
  <rcc rId="2904" sId="9" odxf="1" dxf="1">
    <nc r="E73" t="inlineStr">
      <is>
        <t>includes commercial proportioned waste energy</t>
      </is>
    </nc>
    <odxf>
      <font>
        <color theme="3" tint="0.39997558519241921"/>
        <family val="2"/>
      </font>
      <numFmt numFmtId="30" formatCode="@"/>
    </odxf>
    <ndxf>
      <font>
        <sz val="9"/>
        <color auto="1"/>
        <name val="Arial"/>
        <family val="2"/>
        <scheme val="none"/>
      </font>
      <numFmt numFmtId="0" formatCode="General"/>
    </ndxf>
  </rcc>
  <rfmt sheetId="9" sqref="E74" start="0" length="0">
    <dxf>
      <numFmt numFmtId="0" formatCode="General"/>
    </dxf>
  </rfmt>
  <rfmt sheetId="9" sqref="E75" start="0" length="0">
    <dxf>
      <font>
        <b val="0"/>
        <sz val="9"/>
        <color auto="1"/>
        <name val="Arial"/>
        <family val="2"/>
        <scheme val="none"/>
      </font>
      <numFmt numFmtId="0" formatCode="General"/>
    </dxf>
  </rfmt>
  <rfmt sheetId="9" sqref="E76" start="0" length="0">
    <dxf>
      <numFmt numFmtId="0" formatCode="General"/>
    </dxf>
  </rfmt>
  <rfmt sheetId="9" sqref="E77" start="0" length="0">
    <dxf/>
  </rfmt>
  <rcc rId="2905" sId="9" odxf="1" dxf="1">
    <oc r="E78">
      <f>SUM(B67,B73,B78)=B62</f>
    </oc>
    <nc r="E78" t="inlineStr">
      <is>
        <t>includes industrial proportioned waste energy</t>
      </is>
    </nc>
    <odxf>
      <numFmt numFmtId="3" formatCode="#,##0"/>
      <alignment horizontal="left"/>
    </odxf>
    <ndxf>
      <numFmt numFmtId="0" formatCode="General"/>
      <alignment horizontal="general"/>
    </ndxf>
  </rcc>
  <rfmt sheetId="9" sqref="E70" start="0" length="0">
    <dxf>
      <numFmt numFmtId="30" formatCode="@"/>
    </dxf>
  </rfmt>
  <rcc rId="2906" sId="9" odxf="1" dxf="1">
    <nc r="I67" t="inlineStr">
      <is>
        <t>includes residential proportioned waste energy</t>
      </is>
    </nc>
    <odxf>
      <numFmt numFmtId="189" formatCode="_(* #,##0.000_);_(* \(#,##0.000\);_(* &quot;-&quot;???_);_(@_)"/>
    </odxf>
    <ndxf>
      <numFmt numFmtId="0" formatCode="General"/>
    </ndxf>
  </rcc>
  <rfmt sheetId="9" sqref="I68" start="0" length="0">
    <dxf>
      <numFmt numFmtId="0" formatCode="General"/>
    </dxf>
  </rfmt>
  <rfmt sheetId="9" sqref="I69" start="0" length="0">
    <dxf>
      <numFmt numFmtId="0" formatCode="General"/>
    </dxf>
  </rfmt>
  <rfmt sheetId="9" sqref="I71" start="0" length="0">
    <dxf>
      <numFmt numFmtId="0" formatCode="General"/>
    </dxf>
  </rfmt>
  <rfmt sheetId="9" sqref="I72" start="0" length="0">
    <dxf>
      <numFmt numFmtId="0" formatCode="General"/>
    </dxf>
  </rfmt>
  <rcc rId="2907" sId="9" odxf="1" dxf="1">
    <nc r="I73" t="inlineStr">
      <is>
        <t>includes commercial proportioned waste energy</t>
      </is>
    </nc>
    <odxf>
      <numFmt numFmtId="30" formatCode="@"/>
    </odxf>
    <ndxf>
      <numFmt numFmtId="0" formatCode="General"/>
    </ndxf>
  </rcc>
  <rfmt sheetId="9" sqref="I74" start="0" length="0">
    <dxf>
      <font>
        <b val="0"/>
        <sz val="9"/>
        <color auto="1"/>
        <name val="Arial"/>
        <family val="2"/>
        <scheme val="none"/>
      </font>
      <numFmt numFmtId="0" formatCode="General"/>
    </dxf>
  </rfmt>
  <rfmt sheetId="9" sqref="I75" start="0" length="0">
    <dxf>
      <numFmt numFmtId="0" formatCode="General"/>
    </dxf>
  </rfmt>
  <rfmt sheetId="9" sqref="I76" start="0" length="0">
    <dxf/>
  </rfmt>
  <rfmt sheetId="9" sqref="I77" start="0" length="0">
    <dxf/>
  </rfmt>
  <rcc rId="2908" sId="9" odxf="1" dxf="1">
    <oc r="I78">
      <f>SUM(F67,F73,F78)=F62</f>
    </oc>
    <nc r="I78" t="inlineStr">
      <is>
        <t>includes industrial proportioned waste energy</t>
      </is>
    </nc>
    <odxf>
      <numFmt numFmtId="3" formatCode="#,##0"/>
      <alignment horizontal="left"/>
    </odxf>
    <ndxf>
      <numFmt numFmtId="0" formatCode="General"/>
      <alignment horizontal="general"/>
    </ndxf>
  </rcc>
  <rcc rId="2909" sId="9" odxf="1" dxf="1">
    <nc r="M67" t="inlineStr">
      <is>
        <t>includes residential proportioned waste energy</t>
      </is>
    </nc>
    <odxf>
      <numFmt numFmtId="30" formatCode="@"/>
    </odxf>
    <ndxf>
      <numFmt numFmtId="0" formatCode="General"/>
    </ndxf>
  </rcc>
  <rfmt sheetId="9" sqref="M68" start="0" length="0">
    <dxf>
      <numFmt numFmtId="0" formatCode="General"/>
    </dxf>
  </rfmt>
  <rfmt sheetId="9" sqref="M69" start="0" length="0">
    <dxf>
      <numFmt numFmtId="0" formatCode="General"/>
    </dxf>
  </rfmt>
  <rfmt sheetId="9" sqref="M71" start="0" length="0">
    <dxf>
      <numFmt numFmtId="0" formatCode="General"/>
    </dxf>
  </rfmt>
  <rfmt sheetId="9" sqref="M72" start="0" length="0">
    <dxf>
      <numFmt numFmtId="0" formatCode="General"/>
    </dxf>
  </rfmt>
  <rcc rId="2910" sId="9" odxf="1" dxf="1">
    <nc r="M73" t="inlineStr">
      <is>
        <t>includes commercial proportioned waste energy</t>
      </is>
    </nc>
    <odxf>
      <numFmt numFmtId="30" formatCode="@"/>
    </odxf>
    <ndxf>
      <numFmt numFmtId="0" formatCode="General"/>
    </ndxf>
  </rcc>
  <rfmt sheetId="9" sqref="M74" start="0" length="0">
    <dxf>
      <font>
        <b val="0"/>
        <sz val="9"/>
        <color auto="1"/>
        <name val="Arial"/>
        <family val="2"/>
        <scheme val="none"/>
      </font>
      <numFmt numFmtId="0" formatCode="General"/>
    </dxf>
  </rfmt>
  <rfmt sheetId="9" sqref="M75" start="0" length="0">
    <dxf>
      <numFmt numFmtId="0" formatCode="General"/>
    </dxf>
  </rfmt>
  <rfmt sheetId="9" sqref="M76" start="0" length="0">
    <dxf/>
  </rfmt>
  <rfmt sheetId="9" sqref="M77" start="0" length="0">
    <dxf/>
  </rfmt>
  <rcc rId="2911" sId="9" odxf="1" dxf="1">
    <oc r="M78">
      <f>SUM(J67,J73,J78)=J62</f>
    </oc>
    <nc r="M78" t="inlineStr">
      <is>
        <t>includes industrial proportioned waste energy</t>
      </is>
    </nc>
    <odxf>
      <numFmt numFmtId="3" formatCode="#,##0"/>
      <alignment horizontal="left"/>
    </odxf>
    <ndxf>
      <numFmt numFmtId="0" formatCode="General"/>
      <alignment horizontal="general"/>
    </ndxf>
  </rcc>
  <rcc rId="2912" sId="9" odxf="1" dxf="1">
    <nc r="Q67" t="inlineStr">
      <is>
        <t>includes residential proportioned waste energy</t>
      </is>
    </nc>
    <odxf/>
    <ndxf/>
  </rcc>
  <rfmt sheetId="9" sqref="Q71" start="0" length="0">
    <dxf>
      <numFmt numFmtId="0" formatCode="General"/>
    </dxf>
  </rfmt>
  <rcc rId="2913" sId="9" odxf="1" dxf="1">
    <nc r="Q73" t="inlineStr">
      <is>
        <t>includes commercial proportioned waste energy</t>
      </is>
    </nc>
    <odxf/>
    <ndxf/>
  </rcc>
  <rfmt sheetId="9" sqref="Q75" start="0" length="0">
    <dxf/>
  </rfmt>
  <rfmt sheetId="9" sqref="Q77" start="0" length="0">
    <dxf/>
  </rfmt>
  <rcc rId="2914" sId="9" odxf="1" dxf="1">
    <nc r="Q78" t="inlineStr">
      <is>
        <t>includes industrial proportioned waste energy</t>
      </is>
    </nc>
    <odxf/>
    <ndxf/>
  </rcc>
  <rcc rId="2915" sId="9">
    <nc r="A81" t="inlineStr">
      <is>
        <t>Quantity lost</t>
      </is>
    </nc>
  </rcc>
  <rcc rId="2916" sId="9">
    <oc r="B67">
      <f>B66*tonTOMg</f>
    </oc>
    <nc r="B67">
      <f>B66*tonTOMg+(B83*B65/B60)</f>
    </nc>
  </rcc>
  <rcc rId="2917" sId="9">
    <oc r="B73">
      <f>B72*tonTOMg</f>
    </oc>
    <nc r="B73">
      <f>B72*tonTOMg+(B83*B71/B60)</f>
    </nc>
  </rcc>
  <rcc rId="2918" sId="9">
    <oc r="B78">
      <f>B77*tonTOMg</f>
    </oc>
    <nc r="B78">
      <f>B77*tonTOMg+(B83*B82/B60)</f>
    </nc>
  </rcc>
  <rcc rId="2919" sId="9">
    <nc r="F83">
      <f>F82*F49*tonTOMg</f>
    </nc>
  </rcc>
  <rcc rId="2920" sId="9">
    <nc r="J83">
      <f>J82*J49*tonTOMg</f>
    </nc>
  </rcc>
  <rcc rId="2921" sId="9">
    <nc r="N83">
      <f>N82*N49*tonTOMg</f>
    </nc>
  </rcc>
  <rcc rId="2922" sId="9">
    <oc r="F78">
      <f>F77*tonTOMg</f>
    </oc>
    <nc r="F78">
      <f>F77*tonTOMg+(F83*F82/F60)</f>
    </nc>
  </rcc>
  <rcc rId="2923" sId="9">
    <oc r="J78">
      <f>J77*tonTOMg</f>
    </oc>
    <nc r="J78">
      <f>J77*tonTOMg+(J83*J82/J60)</f>
    </nc>
  </rcc>
  <rfmt sheetId="9" s="1" sqref="N78" start="0" length="0">
    <dxf>
      <font>
        <b/>
        <sz val="9"/>
        <color theme="3" tint="0.39997558519241921"/>
        <name val="Arial"/>
        <family val="2"/>
        <scheme val="none"/>
      </font>
      <numFmt numFmtId="3" formatCode="#,##0"/>
      <alignment horizontal="right"/>
    </dxf>
  </rfmt>
  <rcc rId="2924" sId="9">
    <oc r="F73">
      <f>F72*tonTOMg</f>
    </oc>
    <nc r="F73">
      <f>F72*tonTOMg+(F83*F71/F60)</f>
    </nc>
  </rcc>
  <rcc rId="2925" sId="9">
    <oc r="J73">
      <f>J72*tonTOMg</f>
    </oc>
    <nc r="J73">
      <f>J72*tonTOMg+(J83*J71/J60)</f>
    </nc>
  </rcc>
  <rcc rId="2926" sId="9" odxf="1" s="1" dxf="1">
    <oc r="N73">
      <f>N72*tonTOMg</f>
    </oc>
    <nc r="N73">
      <f>N72*tonTOMg+(N83*N71/N60)</f>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right/>
        <top/>
        <bottom/>
      </border>
    </odxf>
    <ndxf>
      <font>
        <b/>
        <sz val="9"/>
        <color theme="3" tint="0.39997558519241921"/>
        <name val="Arial"/>
        <family val="2"/>
        <scheme val="none"/>
      </font>
      <numFmt numFmtId="3" formatCode="#,##0"/>
      <alignment horizontal="right"/>
    </ndxf>
  </rcc>
  <rcc rId="2927" sId="9">
    <oc r="F67">
      <f>F66*tonTOMg</f>
    </oc>
    <nc r="F67">
      <f>F66*tonTOMg+(F83*F65/F60)</f>
    </nc>
  </rcc>
  <rcc rId="2928" sId="9">
    <oc r="J67">
      <f>J66*tonTOMg</f>
    </oc>
    <nc r="J67">
      <f>J66*tonTOMg+(J83*J65/J60)</f>
    </nc>
  </rcc>
  <rcc rId="2929" sId="9" odxf="1" s="1" dxf="1">
    <oc r="N67">
      <f>N66*tonTOMg</f>
    </oc>
    <nc r="N67">
      <f>N66*tonTOMg+(N83*N65/N60)</f>
    </nc>
    <odxf>
      <font>
        <b val="0"/>
        <i val="0"/>
        <strike val="0"/>
        <condense val="0"/>
        <extend val="0"/>
        <outline val="0"/>
        <shadow val="0"/>
        <u val="none"/>
        <vertAlign val="baseline"/>
        <sz val="9"/>
        <color auto="1"/>
        <name val="Arial"/>
        <family val="2"/>
        <scheme val="none"/>
      </font>
      <numFmt numFmtId="35" formatCode="_(* #,##0.00_);_(* \(#,##0.00\);_(* &quot;-&quot;??_);_(@_)"/>
      <fill>
        <patternFill patternType="none">
          <fgColor indexed="64"/>
          <bgColor indexed="65"/>
        </patternFill>
      </fill>
      <alignment horizontal="left" vertical="top" textRotation="0" wrapText="0" indent="0" justifyLastLine="0" shrinkToFit="0" readingOrder="0"/>
      <border diagonalUp="0" diagonalDown="0" outline="0">
        <left/>
        <right/>
        <top/>
        <bottom/>
      </border>
    </odxf>
    <ndxf>
      <font>
        <b/>
        <sz val="9"/>
        <color theme="3" tint="0.39997558519241921"/>
        <name val="Arial"/>
        <family val="2"/>
        <scheme val="none"/>
      </font>
      <numFmt numFmtId="3" formatCode="#,##0"/>
      <alignment horizontal="right"/>
    </ndxf>
  </rcc>
  <rcc rId="2930" sId="9">
    <oc r="N78">
      <f>N77*tonTOMg</f>
    </oc>
    <nc r="N78">
      <f>N77*tonTOMg+(N83*N82/N60)</f>
    </nc>
  </rcc>
  <rcc rId="2931" sId="9">
    <oc r="N86">
      <f>SUM(N78+N73+N67)</f>
    </oc>
    <nc r="N86">
      <f>SUM(N78+N73+N67)</f>
    </nc>
  </rcc>
  <rfmt sheetId="18" sqref="F15">
    <dxf>
      <numFmt numFmtId="165" formatCode="#,##0.0"/>
    </dxf>
  </rfmt>
  <rfmt sheetId="18" sqref="F15">
    <dxf>
      <numFmt numFmtId="4" formatCode="#,##0.00"/>
    </dxf>
  </rfmt>
  <rfmt sheetId="18" sqref="F15">
    <dxf>
      <numFmt numFmtId="164" formatCode="#,##0.000"/>
    </dxf>
  </rfmt>
  <rfmt sheetId="18" sqref="F15">
    <dxf>
      <numFmt numFmtId="175" formatCode="#,##0.0000"/>
    </dxf>
  </rfmt>
  <rcc rId="2932" sId="7">
    <nc r="O54">
      <f>O45/P45</f>
    </nc>
  </rcc>
  <rfmt sheetId="7" sqref="O54">
    <dxf>
      <numFmt numFmtId="35" formatCode="_(* #,##0.00_);_(* \(#,##0.00\);_(* &quot;-&quot;??_);_(@_)"/>
    </dxf>
  </rfmt>
  <rfmt sheetId="7" sqref="O54">
    <dxf>
      <numFmt numFmtId="183" formatCode="_(* #,##0.000_);_(* \(#,##0.000\);_(* &quot;-&quot;??_);_(@_)"/>
    </dxf>
  </rfmt>
  <rcmt sheetId="7" cell="R15" guid="{00000000-0000-0000-0000-000000000000}" action="delete" alwaysShow="1" author="Brian Harmon"/>
  <rcc rId="2933" sId="9" numFmtId="4">
    <oc r="B8">
      <v>3.5619999999999999E-2</v>
    </oc>
    <nc r="B8">
      <v>3.6804564188076316E-2</v>
    </nc>
  </rcc>
  <rcc rId="2934" sId="9" numFmtId="4">
    <oc r="B49">
      <v>0.3609</v>
    </oc>
    <nc r="B49">
      <v>0.42249620288837264</v>
    </nc>
  </rcc>
  <rcc rId="2935" sId="9" numFmtId="4">
    <oc r="F49">
      <v>0.40360000000000001</v>
    </oc>
    <nc r="F49">
      <v>0.43068167700239185</v>
    </nc>
  </rcc>
  <rcc rId="2936" sId="9" numFmtId="4">
    <oc r="J49">
      <v>0.55979999999999996</v>
    </oc>
    <nc r="J49">
      <v>0.60953359671325291</v>
    </nc>
  </rcc>
  <rcc rId="2937" sId="9" numFmtId="4">
    <oc r="N49">
      <v>0.58820719952198242</v>
    </oc>
    <nc r="N49">
      <v>0.59111332788773951</v>
    </nc>
  </rcc>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8" sId="8">
    <nc r="B17" t="inlineStr">
      <is>
        <t>Kendra</t>
      </is>
    </nc>
  </rcc>
  <rcc rId="2939" sId="8" odxf="1" dxf="1" numFmtId="19">
    <nc r="C17">
      <v>42878</v>
    </nc>
    <odxf>
      <numFmt numFmtId="0" formatCode="General"/>
    </odxf>
    <ndxf>
      <numFmt numFmtId="19" formatCode="m/d/yyyy"/>
    </ndxf>
  </rcc>
  <rcc rId="2940" sId="8">
    <nc r="D17" t="inlineStr">
      <is>
        <t>all</t>
      </is>
    </nc>
  </rcc>
  <rcc rId="2941" sId="8">
    <nc r="E17" t="inlineStr">
      <is>
        <t>QC complete</t>
      </is>
    </nc>
  </rcc>
  <rcc rId="2942" sId="8">
    <nc r="D12" t="inlineStr">
      <is>
        <t>all</t>
      </is>
    </nc>
  </rcc>
  <rcc rId="2943" sId="8">
    <nc r="D15" t="inlineStr">
      <is>
        <t>all</t>
      </is>
    </nc>
  </rcc>
  <rcc rId="2944" sId="8">
    <nc r="B18" t="inlineStr">
      <is>
        <t>Kirstin</t>
      </is>
    </nc>
  </rcc>
  <rcc rId="2945" sId="8" odxf="1" dxf="1" numFmtId="19">
    <nc r="C18">
      <v>42878</v>
    </nc>
    <odxf>
      <numFmt numFmtId="0" formatCode="General"/>
    </odxf>
    <ndxf>
      <numFmt numFmtId="19" formatCode="m/d/yyyy"/>
    </ndxf>
  </rcc>
  <rcc rId="2946" sId="8">
    <nc r="D18" t="inlineStr">
      <is>
        <t>all</t>
      </is>
    </nc>
  </rcc>
  <rcc rId="2947" sId="8">
    <nc r="E18" t="inlineStr">
      <is>
        <t>QC complete</t>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3" sqref="M77" start="0" length="0">
    <dxf>
      <numFmt numFmtId="30" formatCode="@"/>
      <alignment horizontal="center"/>
      <border outline="0">
        <right/>
      </border>
    </dxf>
  </rfmt>
  <rfmt sheetId="23" sqref="N77" start="0" length="0">
    <dxf>
      <font>
        <sz val="7"/>
        <color auto="1"/>
        <name val="Arial"/>
        <family val="2"/>
        <scheme val="none"/>
      </font>
    </dxf>
  </rfmt>
  <rfmt sheetId="23" sqref="M77:N77" start="0" length="2147483647">
    <dxf>
      <font>
        <sz val="10"/>
        <family val="2"/>
      </font>
    </dxf>
  </rfmt>
  <rfmt sheetId="23" sqref="M76:N77" start="0" length="2147483647">
    <dxf>
      <font>
        <sz val="9"/>
        <family val="2"/>
      </font>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Summary_RptTbls!$A$5:$A$42</formula>
    <oldFormula>Summary_RptTbls!$A$5:$A$42</oldFormula>
  </rdn>
  <rcv guid="{15CC7F3D-99AB-49C1-AC00-E04D3FE3FBC1}" action="add"/>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3" sId="24" numFmtId="34">
    <oc r="F11">
      <f>V11*B13</f>
    </oc>
    <nc r="F11">
      <v>139900000</v>
    </nc>
  </rcc>
  <rcc rId="2954" sId="24">
    <oc r="Q11" t="inlineStr">
      <is>
        <t>back-calculated from 2015</t>
      </is>
    </oc>
    <nc r="Q11" t="inlineStr">
      <is>
        <t>page 11</t>
      </is>
    </nc>
  </rcc>
  <rcc rId="2955" sId="24">
    <oc r="I11" t="inlineStr">
      <is>
        <t>back-calculated from 2015</t>
      </is>
    </oc>
    <nc r="I11" t="inlineStr">
      <is>
        <t>page 11</t>
      </is>
    </nc>
  </rcc>
  <rcc rId="2956" sId="24">
    <nc r="P11" t="inlineStr">
      <is>
        <t>KC15_90_09</t>
      </is>
    </nc>
  </rcc>
  <rcc rId="2957" sId="24">
    <nc r="H11" t="inlineStr">
      <is>
        <t>KC15_90_09</t>
      </is>
    </nc>
  </rcc>
  <rcc rId="2958" sId="24" numFmtId="34">
    <oc r="N11">
      <f>V11*J13</f>
    </oc>
    <nc r="N11">
      <v>125300000</v>
    </nc>
  </rcc>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9" sId="9">
    <nc r="B109">
      <f>(B106-B107)/B107</f>
    </nc>
  </rcc>
  <rfmt sheetId="9" sqref="B109">
    <dxf>
      <numFmt numFmtId="13" formatCode="0%"/>
    </dxf>
  </rfmt>
  <rfmt sheetId="9" sqref="B109">
    <dxf>
      <numFmt numFmtId="178" formatCode="0.0%"/>
    </dxf>
  </rfmt>
  <rfmt sheetId="9" sqref="B109">
    <dxf>
      <numFmt numFmtId="14" formatCode="0.00%"/>
    </dxf>
  </rfmt>
  <rfmt sheetId="9" sqref="B109">
    <dxf>
      <numFmt numFmtId="178" formatCode="0.0%"/>
    </dxf>
  </rfmt>
  <rcc rId="2960" sId="9">
    <oc r="A107" t="inlineStr">
      <is>
        <t>Total-Actual</t>
      </is>
    </oc>
    <nc r="A107" t="inlineStr">
      <is>
        <t>Total-utility-specific</t>
      </is>
    </nc>
  </rcc>
  <rcc rId="2961" sId="9">
    <oc r="A108" t="inlineStr">
      <is>
        <t>Actual vs. regional</t>
      </is>
    </oc>
    <nc r="A108" t="inlineStr">
      <is>
        <t>Utility-specific vs. regional</t>
      </is>
    </nc>
  </rcc>
  <rcc rId="2962" sId="9" odxf="1" dxf="1">
    <nc r="F109">
      <f>(F106-F107)/F107</f>
    </nc>
    <odxf>
      <numFmt numFmtId="0" formatCode="General"/>
    </odxf>
    <ndxf>
      <numFmt numFmtId="178" formatCode="0.0%"/>
    </ndxf>
  </rcc>
  <rcc rId="2963" sId="9" odxf="1" dxf="1">
    <nc r="J109">
      <f>(J106-J107)/J107</f>
    </nc>
    <odxf>
      <numFmt numFmtId="0" formatCode="General"/>
    </odxf>
    <ndxf>
      <numFmt numFmtId="178" formatCode="0.0%"/>
    </ndxf>
  </rcc>
  <rcc rId="2964" sId="9" odxf="1" s="1" dxf="1">
    <nc r="N109">
      <f>(N106-N107)/N107</f>
    </nc>
    <odxf>
      <font>
        <b val="0"/>
        <i val="0"/>
        <strike val="0"/>
        <condense val="0"/>
        <extend val="0"/>
        <outline val="0"/>
        <shadow val="0"/>
        <u val="none"/>
        <vertAlign val="baseline"/>
        <sz val="9"/>
        <color auto="1"/>
        <name val="Arial"/>
        <family val="2"/>
        <scheme val="none"/>
      </font>
      <numFmt numFmtId="35" formatCode="_(* #,##0.00_);_(* \(#,##0.00\);_(* &quot;-&quot;??_);_(@_)"/>
      <alignment horizontal="left" vertical="top" textRotation="0" wrapText="0" indent="0" justifyLastLine="0" shrinkToFit="0" readingOrder="0"/>
      <border diagonalUp="0" diagonalDown="0" outline="0">
        <left/>
        <right/>
        <top/>
        <bottom/>
      </border>
    </odxf>
    <ndxf>
      <numFmt numFmtId="178" formatCode="0.0%"/>
    </ndxf>
  </rcc>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2" sqref="A37" start="0" length="0">
    <dxf>
      <font>
        <b val="0"/>
        <sz val="9"/>
        <color auto="1"/>
        <name val="Arial"/>
        <family val="2"/>
        <scheme val="none"/>
      </font>
      <numFmt numFmtId="0" formatCode="General"/>
      <alignment vertical="top" indent="1"/>
    </dxf>
  </rfmt>
  <rfmt sheetId="22" sqref="A38" start="0" length="0">
    <dxf>
      <font>
        <sz val="9"/>
        <color auto="1"/>
        <name val="Arial"/>
        <family val="2"/>
        <scheme val="none"/>
      </font>
      <numFmt numFmtId="0" formatCode="General"/>
      <alignment vertical="top" indent="1"/>
    </dxf>
  </rfmt>
  <rfmt sheetId="22" sqref="A39" start="0" length="0">
    <dxf>
      <font>
        <sz val="9"/>
        <color auto="1"/>
        <name val="Arial"/>
        <family val="2"/>
        <scheme val="none"/>
      </font>
      <numFmt numFmtId="0" formatCode="General"/>
    </dxf>
  </rfmt>
  <rcc rId="2965" sId="22">
    <nc r="B37">
      <f>F25</f>
    </nc>
  </rcc>
  <rcc rId="2966" sId="22">
    <nc r="B38">
      <f>F26</f>
    </nc>
  </rcc>
  <rcc rId="2967" sId="22" odxf="1" s="1" dxf="1">
    <nc r="B39">
      <f>F27</f>
    </nc>
    <odxf>
      <numFmt numFmtId="0" formatCode="General"/>
      <fill>
        <patternFill patternType="none">
          <fgColor indexed="64"/>
          <bgColor indexed="65"/>
        </patternFill>
      </fill>
    </odxf>
    <ndxf>
      <font>
        <b/>
        <sz val="9"/>
        <color auto="1"/>
        <name val="Arial"/>
        <family val="2"/>
        <scheme val="none"/>
      </font>
      <numFmt numFmtId="181" formatCode="_(* #,##0_);_(* \(#,##0\);_(* &quot;-&quot;??_);_(@_)"/>
      <alignment horizontal="left" vertical="bottom"/>
    </ndxf>
  </rcc>
  <rcc rId="2968" sId="22" numFmtId="34">
    <nc r="B36">
      <v>2003</v>
    </nc>
  </rcc>
  <rcc rId="2969" sId="22">
    <nc r="C36" t="inlineStr">
      <is>
        <t>2008</t>
      </is>
    </nc>
  </rcc>
  <rcc rId="2970" sId="22">
    <nc r="D36" t="inlineStr">
      <is>
        <t>2010</t>
      </is>
    </nc>
  </rcc>
  <rcc rId="2971" sId="22">
    <nc r="E36" t="inlineStr">
      <is>
        <t>2015</t>
      </is>
    </nc>
  </rcc>
  <rfmt sheetId="22" sqref="B37:B39" start="0" length="2147483647">
    <dxf>
      <font>
        <b val="0"/>
        <family val="2"/>
      </font>
    </dxf>
  </rfmt>
  <rcc rId="2972" sId="22" odxf="1" dxf="1">
    <nc r="C37">
      <f>F25</f>
    </nc>
    <odxf>
      <numFmt numFmtId="0" formatCode="General"/>
    </odxf>
    <ndxf>
      <numFmt numFmtId="181" formatCode="_(* #,##0_);_(* \(#,##0\);_(* &quot;-&quot;??_);_(@_)"/>
    </ndxf>
  </rcc>
  <rcc rId="2973" sId="22" odxf="1" dxf="1">
    <nc r="C38">
      <f>F26</f>
    </nc>
    <odxf>
      <font>
        <b/>
        <family val="2"/>
      </font>
      <numFmt numFmtId="30" formatCode="@"/>
      <alignment horizontal="left" vertical="bottom"/>
    </odxf>
    <ndxf>
      <font>
        <b val="0"/>
        <sz val="9"/>
        <color auto="1"/>
        <name val="Arial"/>
        <family val="2"/>
        <scheme val="none"/>
      </font>
      <numFmt numFmtId="181" formatCode="_(* #,##0_);_(* \(#,##0\);_(* &quot;-&quot;??_);_(@_)"/>
      <alignment horizontal="general" vertical="top"/>
    </ndxf>
  </rcc>
  <rcc rId="2974" sId="22" odxf="1" dxf="1">
    <nc r="C39">
      <f>F27</f>
    </nc>
    <odxf>
      <numFmt numFmtId="0" formatCode="General"/>
    </odxf>
    <ndxf>
      <numFmt numFmtId="181" formatCode="_(* #,##0_);_(* \(#,##0\);_(* &quot;-&quot;??_);_(@_)"/>
    </ndxf>
  </rcc>
  <rcc rId="2975" sId="22">
    <nc r="A37" t="inlineStr">
      <is>
        <t>total emissions</t>
      </is>
    </nc>
  </rcc>
  <rcc rId="2976" sId="22">
    <nc r="A38" t="inlineStr">
      <is>
        <t>per ton</t>
      </is>
    </nc>
  </rcc>
  <rcc rId="2977" sId="22">
    <nc r="A34" t="inlineStr">
      <is>
        <t>tons landfilled/composted</t>
      </is>
    </nc>
  </rcc>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8" sId="9">
    <oc r="A99" t="inlineStr">
      <is>
        <t>Total-Actual</t>
      </is>
    </oc>
    <nc r="A99" t="inlineStr">
      <is>
        <t>Total-Utility-specific</t>
      </is>
    </nc>
  </rcc>
  <rcc rId="2979" sId="9">
    <oc r="A100" t="inlineStr">
      <is>
        <t>Actual vs. regional</t>
      </is>
    </oc>
    <nc r="A100" t="inlineStr">
      <is>
        <t>Utility-specific vs. regional</t>
      </is>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0" sId="9">
    <nc r="A111" t="inlineStr">
      <is>
        <t>Total-regional</t>
      </is>
    </nc>
  </rcc>
  <rcc rId="2981" sId="9">
    <nc r="A112" t="inlineStr">
      <is>
        <t>Total-utility-specific</t>
      </is>
    </nc>
  </rcc>
  <rfmt sheetId="9" sqref="A110" start="0" length="0">
    <dxf>
      <font>
        <b/>
        <sz val="9"/>
        <color auto="1"/>
        <name val="Arial"/>
        <family val="2"/>
        <scheme val="none"/>
      </font>
      <fill>
        <patternFill patternType="solid">
          <bgColor rgb="FF92D050"/>
        </patternFill>
      </fill>
    </dxf>
  </rfmt>
  <rcc rId="2982" sId="9">
    <nc r="A110" t="inlineStr">
      <is>
        <t>Both</t>
      </is>
    </nc>
  </rcc>
  <rcc rId="2983" sId="9">
    <oc r="B109">
      <f>(B106-B107)/B107</f>
    </oc>
    <nc r="B109"/>
  </rcc>
  <rcc rId="2984" sId="9">
    <oc r="F109">
      <f>(F106-F107)/F107</f>
    </oc>
    <nc r="F109"/>
  </rcc>
  <rcc rId="2985" sId="9">
    <oc r="J109">
      <f>(J106-J107)/J107</f>
    </oc>
    <nc r="J109"/>
  </rcc>
  <rcc rId="2986" sId="9">
    <oc r="N109">
      <f>(N106-N107)/N107</f>
    </oc>
    <nc r="N109"/>
  </rcc>
  <rcc rId="2987" sId="9">
    <nc r="B111">
      <f>SUM(B98,B106)</f>
    </nc>
  </rcc>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8" sId="9">
    <oc r="N103">
      <f>N93/2000*tonTOMg*N65</f>
    </oc>
    <nc r="N103">
      <f>N93/2000*tonTOMg*N65+(N83*N65/N60)</f>
    </nc>
  </rcc>
  <rcc rId="2989" sId="9">
    <oc r="N104">
      <f>N93/2000*tonTOMg*N70</f>
    </oc>
    <nc r="N104">
      <f>N93/2000*tonTOMg*N70+(N83*N71/N60)</f>
    </nc>
  </rcc>
  <rcc rId="2990" sId="9">
    <oc r="N105">
      <f>N93/2000*tonTOMg*N76</f>
    </oc>
    <nc r="N105">
      <f>N93/2000*tonTOMg*N76+(N83*N82/N60)</f>
    </nc>
  </rcc>
  <rcc rId="2991" sId="9">
    <oc r="N95">
      <f>N93/1000*tonTOMg*N27</f>
    </oc>
    <nc r="N95">
      <f>N93/1000*tonTOMg*N27+(N44*N27/N24)</f>
    </nc>
  </rcc>
  <rcc rId="2992" sId="9">
    <oc r="N96">
      <f>N93/1000*tonTOMg*N32</f>
    </oc>
    <nc r="N96">
      <f>N93/1000*tonTOMg*N32+(N44*N33/N24)</f>
    </nc>
  </rcc>
  <rcc rId="2993" sId="9">
    <oc r="N97">
      <f>N93/1000*tonTOMg*N38</f>
    </oc>
    <nc r="N97">
      <f>N93/1000*tonTOMg*N38+(N44*N43/N24)</f>
    </nc>
  </rcc>
  <rcc rId="2994" sId="9">
    <oc r="J95">
      <f>J93/2000*tonTOMg*J27</f>
    </oc>
    <nc r="J95">
      <f>J93/1000*tonTOMg*J27+(J44*J27/J24)</f>
    </nc>
  </rcc>
  <rcc rId="2995" sId="9">
    <oc r="J96">
      <f>J93/2000*tonTOMg*J32</f>
    </oc>
    <nc r="J96">
      <f>J93/1000*tonTOMg*J32+(J44*J33/J24)</f>
    </nc>
  </rcc>
  <rcc rId="2996" sId="9">
    <oc r="J97">
      <f>J93/2000*tonTOMg*J38</f>
    </oc>
    <nc r="J97">
      <f>J93/1000*tonTOMg*J38+(J44*J43/J24)</f>
    </nc>
  </rcc>
  <rcc rId="2997" sId="9">
    <oc r="J98">
      <f>SUM(J95:J97)</f>
    </oc>
    <nc r="J98">
      <f>SUM(J95:J97)</f>
    </nc>
  </rcc>
  <rcc rId="2998" sId="9">
    <oc r="J99">
      <f>SUM(J28,J34,J39)</f>
    </oc>
    <nc r="J99">
      <f>SUM(J28,J34,J39)</f>
    </nc>
  </rcc>
  <rcc rId="2999" sId="9" odxf="1" dxf="1">
    <oc r="J100">
      <f>J99/J98</f>
    </oc>
    <nc r="J100">
      <f>J99/J98</f>
    </nc>
    <odxf>
      <numFmt numFmtId="35" formatCode="_(* #,##0.00_);_(* \(#,##0.00\);_(* &quot;-&quot;??_);_(@_)"/>
    </odxf>
    <ndxf>
      <numFmt numFmtId="183" formatCode="_(* #,##0.000_);_(* \(#,##0.000\);_(* &quot;-&quot;??_);_(@_)"/>
    </ndxf>
  </rcc>
  <rcc rId="3000" sId="9">
    <oc r="J103">
      <f>J93/2000*tonTOMg*J65</f>
    </oc>
    <nc r="J103">
      <f>J93/2000*tonTOMg*J65+(J83*J65/J60)</f>
    </nc>
  </rcc>
  <rcc rId="3001" sId="9">
    <oc r="J104">
      <f>J93/2000*tonTOMg*J70</f>
    </oc>
    <nc r="J104">
      <f>J93/2000*tonTOMg*J70+(J83*J71/J60)</f>
    </nc>
  </rcc>
  <rcc rId="3002" sId="9">
    <oc r="J105">
      <f>J93/2000*tonTOMg*J76</f>
    </oc>
    <nc r="J105">
      <f>J93/2000*tonTOMg*J76+(J83*J82/J60)</f>
    </nc>
  </rcc>
  <rcc rId="3003" sId="9">
    <oc r="J106">
      <f>SUM(J103:J105)</f>
    </oc>
    <nc r="J106">
      <f>SUM(J103:J105)</f>
    </nc>
  </rcc>
  <rcc rId="3004" sId="9">
    <oc r="J107">
      <f>SUM(J67,J73,J78)</f>
    </oc>
    <nc r="J107">
      <f>SUM(J67,J73,J78)</f>
    </nc>
  </rcc>
  <rcc rId="3005" sId="9" odxf="1" dxf="1">
    <oc r="J108">
      <f>J107/J106</f>
    </oc>
    <nc r="J108">
      <f>J107/J106</f>
    </nc>
    <odxf/>
    <ndxf/>
  </rcc>
  <rcc rId="3006" sId="9" odxf="1" dxf="1">
    <oc r="F95">
      <f>F93/2000*tonTOMg*F27</f>
    </oc>
    <nc r="F95">
      <f>F93/1000*tonTOMg*F27+(F44*F27/F24)</f>
    </nc>
    <odxf/>
    <ndxf/>
  </rcc>
  <rcc rId="3007" sId="9" odxf="1" dxf="1">
    <oc r="F96">
      <f>F93/2000*tonTOMg*F32</f>
    </oc>
    <nc r="F96">
      <f>F93/1000*tonTOMg*F32+(F44*F33/F24)</f>
    </nc>
    <odxf/>
    <ndxf/>
  </rcc>
  <rcc rId="3008" sId="9" odxf="1" dxf="1">
    <oc r="F97">
      <f>F93/2000*tonTOMg*F38</f>
    </oc>
    <nc r="F97">
      <f>F93/1000*tonTOMg*F38+(F44*F43/F24)</f>
    </nc>
    <odxf/>
    <ndxf/>
  </rcc>
  <rcc rId="3009" sId="9">
    <oc r="F98">
      <f>SUM(F95:F97)</f>
    </oc>
    <nc r="F98">
      <f>SUM(F95:F97)</f>
    </nc>
  </rcc>
  <rcc rId="3010" sId="9">
    <oc r="F99">
      <f>SUM(F28,F34,F39)</f>
    </oc>
    <nc r="F99">
      <f>SUM(F28,F34,F39)</f>
    </nc>
  </rcc>
  <rcc rId="3011" sId="9" odxf="1" dxf="1">
    <oc r="F100">
      <f>F99/F98</f>
    </oc>
    <nc r="F100">
      <f>F99/F98</f>
    </nc>
    <odxf>
      <numFmt numFmtId="35" formatCode="_(* #,##0.00_);_(* \(#,##0.00\);_(* &quot;-&quot;??_);_(@_)"/>
    </odxf>
    <ndxf>
      <numFmt numFmtId="183" formatCode="_(* #,##0.000_);_(* \(#,##0.000\);_(* &quot;-&quot;??_);_(@_)"/>
    </ndxf>
  </rcc>
  <rfmt sheetId="9" sqref="F102" start="0" length="0">
    <dxf/>
  </rfmt>
  <rcc rId="3012" sId="9" odxf="1" dxf="1">
    <oc r="F103">
      <f>F93/2000*tonTOMg*F65</f>
    </oc>
    <nc r="F103">
      <f>F93/2000*tonTOMg*F65+(F83*F65/F60)</f>
    </nc>
    <odxf/>
    <ndxf/>
  </rcc>
  <rcc rId="3013" sId="9" odxf="1" dxf="1">
    <oc r="F104">
      <f>F93/2000*tonTOMg*F70</f>
    </oc>
    <nc r="F104">
      <f>F93/2000*tonTOMg*F70+(F83*F71/F60)</f>
    </nc>
    <odxf/>
    <ndxf/>
  </rcc>
  <rcc rId="3014" sId="9" odxf="1" dxf="1">
    <oc r="F105">
      <f>F93/2000*tonTOMg*F76</f>
    </oc>
    <nc r="F105">
      <f>F93/2000*tonTOMg*F76+(F83*F82/F60)</f>
    </nc>
    <odxf/>
    <ndxf/>
  </rcc>
  <rcc rId="3015" sId="9" odxf="1" dxf="1">
    <oc r="F106">
      <f>SUM(F103:F105)</f>
    </oc>
    <nc r="F106">
      <f>SUM(F103:F105)</f>
    </nc>
    <odxf/>
    <ndxf/>
  </rcc>
  <rcc rId="3016" sId="9" odxf="1" dxf="1">
    <oc r="F107">
      <f>SUM(F67,F73,F78)</f>
    </oc>
    <nc r="F107">
      <f>SUM(F67,F73,F78)</f>
    </nc>
    <odxf/>
    <ndxf/>
  </rcc>
  <rcc rId="3017" sId="9" odxf="1" dxf="1">
    <oc r="F108">
      <f>F107/F106</f>
    </oc>
    <nc r="F108">
      <f>F107/F106</f>
    </nc>
    <odxf/>
    <ndxf/>
  </rcc>
  <rcc rId="3018" sId="9">
    <oc r="B95">
      <f>B93/2000*tonTOMg*B27</f>
    </oc>
    <nc r="B95">
      <f>B93/1000*tonTOMg*B27+(B44*B27/B24)</f>
    </nc>
  </rcc>
  <rcc rId="3019" sId="9">
    <oc r="B96">
      <f>B93/2000*tonTOMg*B32</f>
    </oc>
    <nc r="B96">
      <f>B93/1000*tonTOMg*B32+(B44*B33/B24)</f>
    </nc>
  </rcc>
  <rcc rId="3020" sId="9">
    <oc r="B97">
      <f>B93/2000*tonTOMg*B38</f>
    </oc>
    <nc r="B97">
      <f>B93/1000*tonTOMg*B38+(B44*B43/B24)</f>
    </nc>
  </rcc>
  <rcc rId="3021" sId="9">
    <oc r="B98">
      <f>SUM(B95:B97)</f>
    </oc>
    <nc r="B98">
      <f>SUM(B95:B97)</f>
    </nc>
  </rcc>
  <rcc rId="3022" sId="9">
    <oc r="B99">
      <f>SUM(B28,B34,B39)</f>
    </oc>
    <nc r="B99">
      <f>SUM(B28,B34,B39)</f>
    </nc>
  </rcc>
  <rcc rId="3023" sId="9" odxf="1" dxf="1">
    <oc r="B100">
      <f>B99/B98</f>
    </oc>
    <nc r="B100">
      <f>B99/B98</f>
    </nc>
    <odxf>
      <numFmt numFmtId="35" formatCode="_(* #,##0.00_);_(* \(#,##0.00\);_(* &quot;-&quot;??_);_(@_)"/>
    </odxf>
    <ndxf>
      <numFmt numFmtId="183" formatCode="_(* #,##0.000_);_(* \(#,##0.000\);_(* &quot;-&quot;??_);_(@_)"/>
    </ndxf>
  </rcc>
  <rcc rId="3024" sId="9">
    <oc r="B103">
      <f>B93/2000*tonTOMg*B65</f>
    </oc>
    <nc r="B103">
      <f>B93/2000*tonTOMg*B65+(B83*B65/B60)</f>
    </nc>
  </rcc>
  <rcc rId="3025" sId="9">
    <oc r="B104">
      <f>B93/2000*tonTOMg*B70</f>
    </oc>
    <nc r="B104">
      <f>B93/2000*tonTOMg*B70+(B83*B71/B60)</f>
    </nc>
  </rcc>
  <rcc rId="3026" sId="9">
    <oc r="B105">
      <f>B93/2000*tonTOMg*B76</f>
    </oc>
    <nc r="B105">
      <f>B93/2000*tonTOMg*B76+(B83*B82/B60)</f>
    </nc>
  </rcc>
  <rcc rId="3027" sId="9">
    <oc r="B106">
      <f>SUM(B103:B105)</f>
    </oc>
    <nc r="B106">
      <f>SUM(B103:B105)</f>
    </nc>
  </rcc>
  <rcc rId="3028" sId="9">
    <oc r="B107">
      <f>SUM(B67,B73,B78)</f>
    </oc>
    <nc r="B107">
      <f>SUM(B67,B73,B78)</f>
    </nc>
  </rcc>
  <rcc rId="3029" sId="9" odxf="1" dxf="1">
    <oc r="B108">
      <f>B107/B106</f>
    </oc>
    <nc r="B108">
      <f>B107/B106</f>
    </nc>
    <odxf/>
    <ndxf/>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G46" guid="{8CC938D4-8E7E-4ACA-8062-240430567419}" alwaysShow="1" author="Andrea Martin" newLength="20"/>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0" sId="9">
    <nc r="B112">
      <f>SUM(B99,B107)</f>
    </nc>
  </rcc>
  <rcc rId="3031" sId="9">
    <nc r="B113">
      <f>(B111-B112)/B112</f>
    </nc>
  </rcc>
  <rfmt sheetId="9" sqref="B113">
    <dxf>
      <numFmt numFmtId="13" formatCode="0%"/>
    </dxf>
  </rfmt>
  <rcc rId="3032" sId="9" odxf="1" dxf="1">
    <nc r="F111">
      <f>SUM(F98,F106)</f>
    </nc>
    <odxf>
      <numFmt numFmtId="0" formatCode="General"/>
    </odxf>
    <ndxf>
      <numFmt numFmtId="3" formatCode="#,##0"/>
    </ndxf>
  </rcc>
  <rcc rId="3033" sId="9" odxf="1" dxf="1">
    <nc r="F112">
      <f>SUM(F99,F107)</f>
    </nc>
    <odxf>
      <numFmt numFmtId="0" formatCode="General"/>
    </odxf>
    <ndxf>
      <numFmt numFmtId="3" formatCode="#,##0"/>
    </ndxf>
  </rcc>
  <rcc rId="3034" sId="9" odxf="1" dxf="1">
    <nc r="F113">
      <f>(F111-F112)/F112</f>
    </nc>
    <odxf>
      <numFmt numFmtId="0" formatCode="General"/>
    </odxf>
    <ndxf>
      <numFmt numFmtId="13" formatCode="0%"/>
    </ndxf>
  </rcc>
  <rcc rId="3035" sId="9" odxf="1" dxf="1">
    <nc r="J111">
      <f>SUM(J98,J106)</f>
    </nc>
    <odxf>
      <numFmt numFmtId="0" formatCode="General"/>
    </odxf>
    <ndxf>
      <numFmt numFmtId="3" formatCode="#,##0"/>
    </ndxf>
  </rcc>
  <rcc rId="3036" sId="9" odxf="1" dxf="1">
    <nc r="J112">
      <f>SUM(J99,J107)</f>
    </nc>
    <odxf>
      <numFmt numFmtId="0" formatCode="General"/>
    </odxf>
    <ndxf>
      <numFmt numFmtId="3" formatCode="#,##0"/>
    </ndxf>
  </rcc>
  <rcc rId="3037" sId="9" odxf="1" dxf="1">
    <nc r="J113">
      <f>(J111-J112)/J112</f>
    </nc>
    <odxf>
      <numFmt numFmtId="0" formatCode="General"/>
    </odxf>
    <ndxf>
      <numFmt numFmtId="13" formatCode="0%"/>
    </ndxf>
  </rcc>
  <rcc rId="3038" sId="9" odxf="1" s="1" dxf="1">
    <nc r="N111">
      <f>SUM(N98,N106)</f>
    </nc>
    <odxf>
      <font>
        <b val="0"/>
        <i val="0"/>
        <strike val="0"/>
        <condense val="0"/>
        <extend val="0"/>
        <outline val="0"/>
        <shadow val="0"/>
        <u val="none"/>
        <vertAlign val="baseline"/>
        <sz val="9"/>
        <color auto="1"/>
        <name val="Arial"/>
        <family val="2"/>
        <scheme val="none"/>
      </font>
      <numFmt numFmtId="35" formatCode="_(* #,##0.00_);_(* \(#,##0.00\);_(* &quot;-&quot;??_);_(@_)"/>
      <alignment horizontal="left" vertical="top" textRotation="0" wrapText="0" indent="0" justifyLastLine="0" shrinkToFit="0" readingOrder="0"/>
      <border diagonalUp="0" diagonalDown="0" outline="0">
        <left/>
        <right/>
        <top/>
        <bottom/>
      </border>
    </odxf>
    <ndxf>
      <numFmt numFmtId="3" formatCode="#,##0"/>
    </ndxf>
  </rcc>
  <rcc rId="3039" sId="9" odxf="1" s="1" dxf="1">
    <nc r="N112">
      <f>SUM(N99,N107)</f>
    </nc>
    <odxf>
      <font>
        <b val="0"/>
        <i val="0"/>
        <strike val="0"/>
        <condense val="0"/>
        <extend val="0"/>
        <outline val="0"/>
        <shadow val="0"/>
        <u val="none"/>
        <vertAlign val="baseline"/>
        <sz val="9"/>
        <color auto="1"/>
        <name val="Arial"/>
        <family val="2"/>
        <scheme val="none"/>
      </font>
      <numFmt numFmtId="35" formatCode="_(* #,##0.00_);_(* \(#,##0.00\);_(* &quot;-&quot;??_);_(@_)"/>
      <alignment horizontal="left" vertical="top" textRotation="0" wrapText="0" indent="0" justifyLastLine="0" shrinkToFit="0" readingOrder="0"/>
      <border diagonalUp="0" diagonalDown="0" outline="0">
        <left/>
        <right/>
        <top/>
        <bottom/>
      </border>
    </odxf>
    <ndxf>
      <numFmt numFmtId="3" formatCode="#,##0"/>
    </ndxf>
  </rcc>
  <rcc rId="3040" sId="9" odxf="1" s="1" dxf="1">
    <nc r="N113">
      <f>(N111-N112)/N112</f>
    </nc>
    <odxf>
      <font>
        <b val="0"/>
        <i val="0"/>
        <strike val="0"/>
        <condense val="0"/>
        <extend val="0"/>
        <outline val="0"/>
        <shadow val="0"/>
        <u val="none"/>
        <vertAlign val="baseline"/>
        <sz val="9"/>
        <color auto="1"/>
        <name val="Arial"/>
        <family val="2"/>
        <scheme val="none"/>
      </font>
      <numFmt numFmtId="35" formatCode="_(* #,##0.00_);_(* \(#,##0.00\);_(* &quot;-&quot;??_);_(@_)"/>
      <alignment horizontal="left" vertical="top" textRotation="0" wrapText="0" indent="0" justifyLastLine="0" shrinkToFit="0" readingOrder="0"/>
      <border diagonalUp="0" diagonalDown="0" outline="0">
        <left/>
        <right/>
        <top/>
        <bottom/>
      </border>
    </odxf>
    <ndxf>
      <numFmt numFmtId="13" formatCode="0%"/>
    </ndxf>
  </rcc>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1" sId="9" numFmtId="4">
    <nc r="B117">
      <v>2003</v>
    </nc>
  </rcc>
  <rcc rId="3042" sId="9">
    <nc r="C117">
      <v>2008</v>
    </nc>
  </rcc>
  <rcc rId="3043" sId="9">
    <nc r="D117">
      <v>2010</v>
    </nc>
  </rcc>
  <rcc rId="3044" sId="9">
    <nc r="E117">
      <v>2015</v>
    </nc>
  </rcc>
  <rcc rId="3045" sId="9">
    <nc r="A118" t="inlineStr">
      <is>
        <t>Utility-specific</t>
      </is>
    </nc>
  </rcc>
  <rcc rId="3046" sId="9">
    <nc r="A119" t="inlineStr">
      <is>
        <t>eGRID</t>
      </is>
    </nc>
  </rcc>
  <rcc rId="3047" sId="9">
    <nc r="B118">
      <f>B112</f>
    </nc>
  </rcc>
  <rcc rId="3048" sId="9">
    <nc r="B119">
      <f>B111</f>
    </nc>
  </rcc>
  <rfmt sheetId="9" sqref="C118" start="0" length="0">
    <dxf>
      <numFmt numFmtId="3" formatCode="#,##0"/>
      <alignment horizontal="left"/>
    </dxf>
  </rfmt>
  <rfmt sheetId="9" sqref="C119" start="0" length="0">
    <dxf>
      <numFmt numFmtId="3" formatCode="#,##0"/>
      <alignment horizontal="left"/>
    </dxf>
  </rfmt>
  <rcc rId="3049" sId="9">
    <nc r="C118">
      <f>F112</f>
    </nc>
  </rcc>
  <rcc rId="3050" sId="9">
    <nc r="C119">
      <f>F111</f>
    </nc>
  </rcc>
  <rcc rId="3051" sId="9" odxf="1" dxf="1">
    <nc r="D118">
      <f>J112</f>
    </nc>
    <odxf>
      <numFmt numFmtId="0" formatCode="General"/>
    </odxf>
    <ndxf>
      <numFmt numFmtId="3" formatCode="#,##0"/>
    </ndxf>
  </rcc>
  <rcc rId="3052" sId="9" odxf="1" dxf="1">
    <nc r="D119">
      <f>J111</f>
    </nc>
    <odxf>
      <numFmt numFmtId="0" formatCode="General"/>
    </odxf>
    <ndxf>
      <numFmt numFmtId="3" formatCode="#,##0"/>
    </ndxf>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Summary_RptTbls!$A$5:$A$42</formula>
    <oldFormula>Summary_RptTbls!$A$5:$A$42</oldFormula>
  </rdn>
  <rcv guid="{15CC7F3D-99AB-49C1-AC00-E04D3FE3FBC1}" action="add"/>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8" sId="9" odxf="1" dxf="1">
    <nc r="E118">
      <f>N112</f>
    </nc>
    <odxf>
      <numFmt numFmtId="0" formatCode="General"/>
    </odxf>
    <ndxf>
      <numFmt numFmtId="3" formatCode="#,##0"/>
    </ndxf>
  </rcc>
  <rcc rId="3059" sId="9" odxf="1" dxf="1">
    <nc r="E119">
      <f>N111</f>
    </nc>
    <odxf>
      <numFmt numFmtId="0" formatCode="General"/>
    </odxf>
    <ndxf>
      <numFmt numFmtId="3" formatCode="#,##0"/>
    </ndxf>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60" sId="9">
    <oc r="B95">
      <f>B93/1000*tonTOMg*B27+(B44*B27/B24)</f>
    </oc>
    <nc r="B95">
      <f>B93/2000*tonTOMg*B27+(B44*B27/B24)</f>
    </nc>
  </rcc>
  <rcc rId="3061" sId="9">
    <oc r="B96">
      <f>B93/1000*tonTOMg*B32+(B44*B33/B24)</f>
    </oc>
    <nc r="B96">
      <f>B93/2000*tonTOMg*B32+(B44*B33/B24)</f>
    </nc>
  </rcc>
  <rcc rId="3062" sId="9">
    <oc r="B97">
      <f>B93/1000*tonTOMg*B38+(B44*B43/B24)</f>
    </oc>
    <nc r="B97">
      <f>B93/2000*tonTOMg*B38+(B44*B43/B24)</f>
    </nc>
  </rcc>
  <rcc rId="3063" sId="9" odxf="1" dxf="1">
    <oc r="F95">
      <f>F93/1000*tonTOMg*F27+(F44*F27/F24)</f>
    </oc>
    <nc r="F95">
      <f>F93/2000*tonTOMg*F27+(F44*F27/F24)</f>
    </nc>
    <odxf/>
    <ndxf/>
  </rcc>
  <rcc rId="3064" sId="9" odxf="1" dxf="1">
    <oc r="F96">
      <f>F93/1000*tonTOMg*F32+(F44*F33/F24)</f>
    </oc>
    <nc r="F96">
      <f>F93/2000*tonTOMg*F32+(F44*F33/F24)</f>
    </nc>
    <odxf/>
    <ndxf/>
  </rcc>
  <rcc rId="3065" sId="9" odxf="1" dxf="1">
    <oc r="F97">
      <f>F93/1000*tonTOMg*F38+(F44*F43/F24)</f>
    </oc>
    <nc r="F97">
      <f>F93/2000*tonTOMg*F38+(F44*F43/F24)</f>
    </nc>
    <odxf/>
    <ndxf/>
  </rcc>
  <rcc rId="3066" sId="9">
    <oc r="F98">
      <f>SUM(F95:F97)</f>
    </oc>
    <nc r="F98">
      <f>SUM(F95:F97)</f>
    </nc>
  </rcc>
  <rcc rId="3067" sId="9">
    <oc r="F99">
      <f>SUM(F28,F34,F39)</f>
    </oc>
    <nc r="F99">
      <f>SUM(F28,F34,F39)</f>
    </nc>
  </rcc>
  <rcc rId="3068" sId="9">
    <oc r="F100">
      <f>F99/F98</f>
    </oc>
    <nc r="F100">
      <f>F99/F98</f>
    </nc>
  </rcc>
  <rcc rId="3069" sId="9">
    <oc r="J95">
      <f>J93/1000*tonTOMg*J27+(J44*J27/J24)</f>
    </oc>
    <nc r="J95">
      <f>J93/2000*tonTOMg*J27+(J44*J27/J24)</f>
    </nc>
  </rcc>
  <rcc rId="3070" sId="9">
    <oc r="J96">
      <f>J93/1000*tonTOMg*J32+(J44*J33/J24)</f>
    </oc>
    <nc r="J96">
      <f>J93/2000*tonTOMg*J32+(J44*J33/J24)</f>
    </nc>
  </rcc>
  <rcc rId="3071" sId="9">
    <oc r="J97">
      <f>J93/1000*tonTOMg*J38+(J44*J43/J24)</f>
    </oc>
    <nc r="J97">
      <f>J93/2000*tonTOMg*J38+(J44*J43/J24)</f>
    </nc>
  </rcc>
  <rcc rId="3072" sId="9">
    <oc r="J98">
      <f>SUM(J95:J97)</f>
    </oc>
    <nc r="J98">
      <f>SUM(J95:J97)</f>
    </nc>
  </rcc>
  <rcc rId="3073" sId="9">
    <oc r="J99">
      <f>SUM(J28,J34,J39)</f>
    </oc>
    <nc r="J99">
      <f>SUM(J28,J34,J39)</f>
    </nc>
  </rcc>
  <rcc rId="3074" sId="9">
    <oc r="J100">
      <f>J99/J98</f>
    </oc>
    <nc r="J100">
      <f>J99/J98</f>
    </nc>
  </rcc>
  <rcc rId="3075" sId="9">
    <oc r="N95">
      <f>N93/1000*tonTOMg*N27+(N44*N27/N24)</f>
    </oc>
    <nc r="N95">
      <f>N93/2000*tonTOMg*N27+(N44*N27/N24)</f>
    </nc>
  </rcc>
  <rcc rId="3076" sId="9">
    <oc r="N96">
      <f>N93/1000*tonTOMg*N32+(N44*N33/N24)</f>
    </oc>
    <nc r="N96">
      <f>N93/2000*tonTOMg*N32+(N44*N33/N24)</f>
    </nc>
  </rcc>
  <rcc rId="3077" sId="9">
    <oc r="N97">
      <f>N93/1000*tonTOMg*N38+(N44*N43/N24)</f>
    </oc>
    <nc r="N97">
      <f>N93/2000*tonTOMg*N38+(N44*N43/N24)</f>
    </nc>
  </rcc>
  <rcc rId="3078" sId="9">
    <oc r="N98">
      <f>SUM(N95:N97)</f>
    </oc>
    <nc r="N98">
      <f>SUM(N95:N97)</f>
    </nc>
  </rcc>
  <rcc rId="3079" sId="9">
    <oc r="N99">
      <f>SUM(N28,N34,N39)</f>
    </oc>
    <nc r="N99">
      <f>SUM(N28,N34,N39)</f>
    </nc>
  </rcc>
  <rcc rId="3080" sId="9">
    <oc r="N100">
      <f>N99/N98</f>
    </oc>
    <nc r="N100">
      <f>N99/N98</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Summary_RptTbls!$A$5:$A$42</formula>
    <oldFormula>Summary_RptTbls!$A$5:$A$42</oldFormula>
  </rdn>
  <rcv guid="{9BEC6399-AE85-4D88-8FBA-3674E2F30307}" action="add"/>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6" sId="9">
    <nc r="A123" t="inlineStr">
      <is>
        <t>PSE</t>
      </is>
    </nc>
  </rcc>
  <rcc rId="3087" sId="9">
    <nc r="A124" t="inlineStr">
      <is>
        <t>SCL</t>
      </is>
    </nc>
  </rcc>
  <rcc rId="3088" sId="9">
    <nc r="B123">
      <f>B49</f>
    </nc>
  </rcc>
  <rcc rId="3089" sId="9">
    <nc r="A122" t="inlineStr">
      <is>
        <t>Emissions factors (tCO2e/MWh)</t>
      </is>
    </nc>
  </rcc>
  <rfmt sheetId="9" sqref="B123">
    <dxf>
      <numFmt numFmtId="165" formatCode="#,##0.0"/>
    </dxf>
  </rfmt>
  <rfmt sheetId="9" sqref="B123">
    <dxf>
      <numFmt numFmtId="4" formatCode="#,##0.00"/>
    </dxf>
  </rfmt>
  <rcc rId="3090" sId="9">
    <nc r="B124">
      <f>B8</f>
    </nc>
  </rcc>
  <rfmt sheetId="9" sqref="B124">
    <dxf>
      <numFmt numFmtId="165" formatCode="#,##0.0"/>
    </dxf>
  </rfmt>
  <rfmt sheetId="9" sqref="B124">
    <dxf>
      <numFmt numFmtId="4" formatCode="#,##0.00"/>
    </dxf>
  </rfmt>
  <rcc rId="3091" sId="9" odxf="1" dxf="1">
    <nc r="C123">
      <f>F49</f>
    </nc>
    <odxf>
      <numFmt numFmtId="0" formatCode="General"/>
    </odxf>
    <ndxf>
      <numFmt numFmtId="4" formatCode="#,##0.00"/>
    </ndxf>
  </rcc>
  <rcc rId="3092" sId="9" odxf="1" dxf="1">
    <nc r="C124">
      <f>F8</f>
    </nc>
    <odxf>
      <numFmt numFmtId="0" formatCode="General"/>
    </odxf>
    <ndxf>
      <numFmt numFmtId="164" formatCode="#,##0.000"/>
    </ndxf>
  </rcc>
  <rcc rId="3093" sId="9" odxf="1" dxf="1">
    <nc r="D123">
      <f>J49</f>
    </nc>
    <odxf>
      <numFmt numFmtId="0" formatCode="General"/>
    </odxf>
    <ndxf>
      <numFmt numFmtId="4" formatCode="#,##0.00"/>
    </ndxf>
  </rcc>
  <rfmt sheetId="9" sqref="D124" start="0" length="0">
    <dxf>
      <numFmt numFmtId="164" formatCode="#,##0.000"/>
    </dxf>
  </rfmt>
  <rcc rId="3094" sId="9">
    <nc r="D124">
      <f>J8</f>
    </nc>
  </rcc>
  <rcc rId="3095" sId="9" odxf="1" dxf="1">
    <nc r="E123">
      <f>N49</f>
    </nc>
    <odxf>
      <numFmt numFmtId="0" formatCode="General"/>
    </odxf>
    <ndxf>
      <numFmt numFmtId="4" formatCode="#,##0.00"/>
    </ndxf>
  </rcc>
  <rfmt sheetId="9" sqref="E124" start="0" length="0">
    <dxf>
      <numFmt numFmtId="183" formatCode="_(* #,##0.000_);_(* \(#,##0.000\);_(* &quot;-&quot;??_);_(@_)"/>
    </dxf>
  </rfmt>
  <rcc rId="3096" sId="9">
    <nc r="E124">
      <f>N8</f>
    </nc>
  </rcc>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7" sId="22">
    <oc r="B37">
      <f>F25</f>
    </oc>
    <nc r="B37">
      <f>B32</f>
    </nc>
  </rcc>
  <rcc rId="3098" sId="22">
    <oc r="C37">
      <f>F25</f>
    </oc>
    <nc r="C37">
      <f>F32</f>
    </nc>
  </rcc>
  <rfmt sheetId="22" sqref="D37" start="0" length="0">
    <dxf>
      <font>
        <b val="0"/>
        <sz val="9"/>
        <color auto="1"/>
        <name val="Arial"/>
        <family val="2"/>
        <scheme val="none"/>
      </font>
      <numFmt numFmtId="181" formatCode="_(* #,##0_);_(* \(#,##0\);_(* &quot;-&quot;??_);_(@_)"/>
      <alignment horizontal="general" vertical="top"/>
    </dxf>
  </rfmt>
  <rfmt sheetId="22" sqref="E37" start="0" length="0">
    <dxf>
      <font>
        <b val="0"/>
        <sz val="9"/>
        <color auto="1"/>
        <name val="Arial"/>
        <family val="2"/>
        <scheme val="none"/>
      </font>
      <numFmt numFmtId="181" formatCode="_(* #,##0_);_(* \(#,##0\);_(* &quot;-&quot;??_);_(@_)"/>
      <alignment horizontal="general" vertical="top"/>
      <border outline="0">
        <right/>
      </border>
    </dxf>
  </rfmt>
  <rfmt sheetId="22" sqref="D38" start="0" length="0">
    <dxf>
      <font>
        <b val="0"/>
        <sz val="9"/>
        <color auto="1"/>
        <name val="Arial"/>
        <family val="2"/>
        <scheme val="none"/>
      </font>
      <numFmt numFmtId="181" formatCode="_(* #,##0_);_(* \(#,##0\);_(* &quot;-&quot;??_);_(@_)"/>
      <alignment horizontal="general" vertical="top"/>
    </dxf>
  </rfmt>
  <rfmt sheetId="22" sqref="E38" start="0" length="0">
    <dxf>
      <font>
        <b val="0"/>
        <sz val="9"/>
        <color auto="1"/>
        <name val="Arial"/>
        <family val="2"/>
        <scheme val="none"/>
      </font>
      <numFmt numFmtId="181" formatCode="_(* #,##0_);_(* \(#,##0\);_(* &quot;-&quot;??_);_(@_)"/>
      <alignment horizontal="general" vertical="top"/>
      <border outline="0">
        <right/>
      </border>
    </dxf>
  </rfmt>
  <rcc rId="3099" sId="22">
    <nc r="D37">
      <f>K32</f>
    </nc>
  </rcc>
  <rcc rId="3100" sId="22">
    <nc r="E37">
      <f>O32</f>
    </nc>
  </rcc>
  <rcc rId="3101" sId="22">
    <nc r="A39" t="inlineStr">
      <is>
        <t>tons</t>
      </is>
    </nc>
  </rcc>
  <rcc rId="3102" sId="22">
    <oc r="B39">
      <f>F27</f>
    </oc>
    <nc r="B39"/>
  </rcc>
  <rcc rId="3103" sId="22">
    <oc r="C39">
      <f>F27</f>
    </oc>
    <nc r="C39"/>
  </rcc>
  <rcc rId="3104" sId="22">
    <oc r="B38">
      <f>F26</f>
    </oc>
    <nc r="B38"/>
  </rcc>
  <rcc rId="3105" sId="22">
    <oc r="C38">
      <f>F26</f>
    </oc>
    <nc r="C38"/>
  </rcc>
  <rfmt sheetId="22" s="1" sqref="B36" start="0" length="0">
    <dxf>
      <numFmt numFmtId="30" formatCode="@"/>
    </dxf>
  </rfmt>
  <rfmt sheetId="22" sqref="E36" start="0" length="0">
    <dxf>
      <font>
        <sz val="7"/>
        <family val="2"/>
      </font>
      <alignment horizontal="center"/>
      <border outline="0">
        <right/>
      </border>
    </dxf>
  </rfmt>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6" sId="7">
    <oc r="W9">
      <f>O9/$B$3</f>
    </oc>
    <nc r="W9">
      <f>O9/$B$3</f>
    </nc>
  </rcc>
  <rcc rId="3107" sId="7">
    <oc r="W26">
      <f>O26/$B$3</f>
    </oc>
    <nc r="W26">
      <f>O26/$B$3</f>
    </nc>
  </rcc>
  <rcc rId="3108" sId="9">
    <nc r="H55" t="inlineStr">
      <is>
        <t>KC15_65_19</t>
      </is>
    </nc>
  </rcc>
  <rfmt sheetId="9" sqref="L55" start="0" length="0">
    <dxf/>
  </rfmt>
  <rfmt sheetId="9" sqref="P55" start="0" length="0">
    <dxf>
      <numFmt numFmtId="30" formatCode="@"/>
    </dxf>
  </rfmt>
  <rcc rId="3109" sId="9">
    <nc r="L55" t="inlineStr">
      <is>
        <t>KC15_65_20</t>
      </is>
    </nc>
  </rcc>
  <rcc rId="3110" sId="9">
    <nc r="P55" t="inlineStr">
      <is>
        <t>KC15_65_21</t>
      </is>
    </nc>
  </rcc>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1" sId="22">
    <nc r="A41" t="inlineStr">
      <is>
        <t>Landfill</t>
      </is>
    </nc>
  </rcc>
  <rcc rId="3112" sId="22">
    <nc r="A42" t="inlineStr">
      <is>
        <t>Composting</t>
      </is>
    </nc>
  </rcc>
  <rcc rId="3113" sId="22" odxf="1" dxf="1" numFmtId="30">
    <nc r="B40">
      <v>2003</v>
    </nc>
    <odxf>
      <font>
        <b val="0"/>
        <sz val="9"/>
        <color auto="1"/>
        <name val="Arial"/>
        <family val="2"/>
        <scheme val="none"/>
      </font>
      <numFmt numFmtId="0" formatCode="General"/>
      <alignment horizontal="general" vertical="top"/>
    </odxf>
    <ndxf>
      <font>
        <b/>
        <sz val="9"/>
        <color auto="1"/>
        <name val="Arial"/>
        <family val="2"/>
        <scheme val="none"/>
      </font>
      <numFmt numFmtId="30" formatCode="@"/>
      <alignment horizontal="left" vertical="bottom"/>
    </ndxf>
  </rcc>
  <rcc rId="3114" sId="22" odxf="1" dxf="1">
    <nc r="C40" t="inlineStr">
      <is>
        <t>2008</t>
      </is>
    </nc>
    <odxf>
      <font>
        <b val="0"/>
        <sz val="9"/>
        <color auto="1"/>
        <name val="Arial"/>
        <family val="2"/>
        <scheme val="none"/>
      </font>
      <numFmt numFmtId="0" formatCode="General"/>
      <alignment horizontal="general" vertical="top"/>
    </odxf>
    <ndxf>
      <font>
        <b/>
        <sz val="9"/>
        <color auto="1"/>
        <name val="Arial"/>
        <family val="2"/>
        <scheme val="none"/>
      </font>
      <numFmt numFmtId="30" formatCode="@"/>
      <alignment horizontal="left" vertical="bottom"/>
    </ndxf>
  </rcc>
  <rcc rId="3115" sId="22" odxf="1" dxf="1">
    <nc r="D40" t="inlineStr">
      <is>
        <t>2010</t>
      </is>
    </nc>
    <odxf>
      <font>
        <b val="0"/>
        <sz val="9"/>
        <color auto="1"/>
        <name val="Arial"/>
        <family val="2"/>
        <scheme val="none"/>
      </font>
      <numFmt numFmtId="0" formatCode="General"/>
      <alignment vertical="top"/>
    </odxf>
    <ndxf>
      <font>
        <b/>
        <sz val="9"/>
        <color auto="1"/>
        <name val="Arial"/>
        <family val="2"/>
        <scheme val="none"/>
      </font>
      <numFmt numFmtId="30" formatCode="@"/>
      <alignment vertical="bottom"/>
    </ndxf>
  </rcc>
  <rcc rId="3116" sId="22" odxf="1" dxf="1">
    <nc r="E40" t="inlineStr">
      <is>
        <t>2015</t>
      </is>
    </nc>
    <odxf>
      <font>
        <b val="0"/>
        <sz val="7"/>
        <family val="2"/>
      </font>
      <numFmt numFmtId="0" formatCode="General"/>
      <alignment horizontal="left" vertical="top"/>
      <border outline="0">
        <right style="thin">
          <color indexed="64"/>
        </right>
      </border>
    </odxf>
    <ndxf>
      <font>
        <b/>
        <sz val="7"/>
        <family val="2"/>
      </font>
      <numFmt numFmtId="30" formatCode="@"/>
      <alignment horizontal="center" vertical="bottom"/>
      <border outline="0">
        <right/>
      </border>
    </ndxf>
  </rcc>
  <rfmt sheetId="22" sqref="A41" start="0" length="2147483647">
    <dxf>
      <font>
        <b val="0"/>
        <family val="2"/>
      </font>
    </dxf>
  </rfmt>
  <rcc rId="3117" sId="22" odxf="1" dxf="1">
    <nc r="B41">
      <f>SUM(B18:B19)</f>
    </nc>
    <odxf>
      <numFmt numFmtId="0" formatCode="General"/>
    </odxf>
    <ndxf>
      <numFmt numFmtId="181" formatCode="_(* #,##0_);_(* \(#,##0\);_(* &quot;-&quot;??_);_(@_)"/>
    </ndxf>
  </rcc>
  <rcc rId="3118" sId="22">
    <nc r="B42">
      <f>B29</f>
    </nc>
  </rcc>
  <rcc rId="3119" sId="22" odxf="1" dxf="1">
    <nc r="C41">
      <f>SUM(F18:F19)</f>
    </nc>
    <odxf>
      <numFmt numFmtId="0" formatCode="General"/>
    </odxf>
    <ndxf>
      <numFmt numFmtId="181" formatCode="_(* #,##0_);_(* \(#,##0\);_(* &quot;-&quot;??_);_(@_)"/>
    </ndxf>
  </rcc>
  <rcc rId="3120" sId="22" odxf="1" dxf="1">
    <nc r="C42">
      <f>F29</f>
    </nc>
    <odxf>
      <numFmt numFmtId="0" formatCode="General"/>
    </odxf>
    <ndxf>
      <numFmt numFmtId="181" formatCode="_(* #,##0_);_(* \(#,##0\);_(* &quot;-&quot;??_);_(@_)"/>
    </ndxf>
  </rcc>
  <rcc rId="3121" sId="22" odxf="1" dxf="1">
    <nc r="D41">
      <f>SUM(K18:K19)</f>
    </nc>
    <odxf>
      <numFmt numFmtId="0" formatCode="General"/>
    </odxf>
    <ndxf>
      <numFmt numFmtId="181" formatCode="_(* #,##0_);_(* \(#,##0\);_(* &quot;-&quot;??_);_(@_)"/>
    </ndxf>
  </rcc>
  <rcc rId="3122" sId="22" odxf="1" dxf="1">
    <nc r="D42">
      <f>K29</f>
    </nc>
    <odxf>
      <numFmt numFmtId="0" formatCode="General"/>
    </odxf>
    <ndxf>
      <numFmt numFmtId="181" formatCode="_(* #,##0_);_(* \(#,##0\);_(* &quot;-&quot;??_);_(@_)"/>
    </ndxf>
  </rcc>
  <rcc rId="3123" sId="22" odxf="1" dxf="1">
    <nc r="E41">
      <f>SUM(O18:O19)</f>
    </nc>
    <odxf>
      <numFmt numFmtId="0" formatCode="General"/>
    </odxf>
    <ndxf>
      <numFmt numFmtId="181" formatCode="_(* #,##0_);_(* \(#,##0\);_(* &quot;-&quot;??_);_(@_)"/>
    </ndxf>
  </rcc>
  <rcc rId="3124" sId="22" odxf="1" dxf="1">
    <nc r="E42">
      <f>O29</f>
    </nc>
    <odxf>
      <numFmt numFmtId="0" formatCode="General"/>
    </odxf>
    <ndxf>
      <numFmt numFmtId="181" formatCode="_(* #,##0_);_(* \(#,##0\);_(* &quot;-&quot;??_);_(@_)"/>
    </ndxf>
  </rcc>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D55" start="0" length="0">
    <dxf>
      <numFmt numFmtId="30" formatCode="@"/>
    </dxf>
  </rfmt>
  <rcc rId="3125" sId="9">
    <nc r="D55" t="inlineStr">
      <is>
        <t>KC15_65_19</t>
      </is>
    </nc>
  </rcc>
  <rcc rId="3126" sId="9">
    <nc r="E55" t="inlineStr">
      <is>
        <t>GGL tab</t>
      </is>
    </nc>
  </rcc>
  <rcc rId="3127" sId="9">
    <nc r="I55" t="inlineStr">
      <is>
        <t>GGL tab</t>
      </is>
    </nc>
  </rcc>
  <rcc rId="3128" sId="9" odxf="1" dxf="1">
    <nc r="Q55" t="inlineStr">
      <is>
        <t>GGL tab</t>
      </is>
    </nc>
    <odxf>
      <numFmt numFmtId="0" formatCode="General"/>
    </odxf>
    <ndxf>
      <numFmt numFmtId="30" formatCode="@"/>
    </ndxf>
  </rcc>
  <rcc rId="3129" sId="9">
    <nc r="M55" t="inlineStr">
      <is>
        <t>GGL tab</t>
      </is>
    </nc>
  </rcc>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N51">
    <dxf>
      <fill>
        <patternFill>
          <bgColor theme="9" tint="0.79998168889431442"/>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3" sqref="K8" start="0" length="0">
    <dxf>
      <fill>
        <patternFill patternType="none">
          <bgColor indexed="65"/>
        </patternFill>
      </fill>
    </dxf>
  </rfmt>
  <rfmt sheetId="23" sqref="L8" start="0" length="0">
    <dxf/>
  </rfmt>
  <rfmt sheetId="23" sqref="M8" start="0" length="0">
    <dxf>
      <font>
        <sz val="9"/>
        <color auto="1"/>
        <name val="Arial"/>
        <family val="2"/>
        <scheme val="none"/>
      </font>
      <fill>
        <patternFill patternType="none">
          <bgColor indexed="65"/>
        </patternFill>
      </fill>
    </dxf>
  </rfmt>
  <rfmt sheetId="23" s="1" sqref="K9" start="0" length="0">
    <dxf>
      <numFmt numFmtId="181" formatCode="_(* #,##0_);_(* \(#,##0\);_(* &quot;-&quot;??_);_(@_)"/>
      <fill>
        <patternFill patternType="none">
          <bgColor indexed="65"/>
        </patternFill>
      </fill>
    </dxf>
  </rfmt>
  <rfmt sheetId="23" sqref="L9" start="0" length="0">
    <dxf/>
  </rfmt>
  <rfmt sheetId="23" sqref="M9" start="0" length="0">
    <dxf>
      <font>
        <sz val="9"/>
        <color auto="1"/>
        <name val="Arial"/>
        <family val="2"/>
        <scheme val="none"/>
      </font>
      <fill>
        <patternFill patternType="none">
          <bgColor indexed="65"/>
        </patternFill>
      </fill>
    </dxf>
  </rfmt>
  <rfmt sheetId="23" s="1" sqref="K10" start="0" length="0">
    <dxf>
      <numFmt numFmtId="181" formatCode="_(* #,##0_);_(* \(#,##0\);_(* &quot;-&quot;??_);_(@_)"/>
    </dxf>
  </rfmt>
  <rfmt sheetId="23" sqref="L10" start="0" length="0">
    <dxf/>
  </rfmt>
  <rfmt sheetId="23" sqref="M10" start="0" length="0">
    <dxf>
      <font>
        <sz val="9"/>
        <color auto="1"/>
        <name val="Arial"/>
        <family val="2"/>
        <scheme val="none"/>
      </font>
    </dxf>
  </rfmt>
  <rfmt sheetId="23" s="1" sqref="K11" start="0" length="0">
    <dxf>
      <numFmt numFmtId="181" formatCode="_(* #,##0_);_(* \(#,##0\);_(* &quot;-&quot;??_);_(@_)"/>
    </dxf>
  </rfmt>
  <rfmt sheetId="23" sqref="K12" start="0" length="0">
    <dxf>
      <font>
        <b val="0"/>
        <sz val="9"/>
        <family val="2"/>
      </font>
      <alignment horizontal="general"/>
    </dxf>
  </rfmt>
  <rfmt sheetId="23" sqref="L12" start="0" length="0">
    <dxf>
      <font>
        <b val="0"/>
        <sz val="9"/>
        <color auto="1"/>
        <name val="Arial"/>
        <family val="2"/>
        <scheme val="none"/>
      </font>
      <numFmt numFmtId="0" formatCode="General"/>
      <alignment horizontal="general"/>
    </dxf>
  </rfmt>
  <rfmt sheetId="23" sqref="M12" start="0" length="0">
    <dxf>
      <font>
        <b val="0"/>
        <sz val="9"/>
        <color auto="1"/>
        <name val="Arial"/>
        <family val="2"/>
        <scheme val="none"/>
      </font>
    </dxf>
  </rfmt>
  <rfmt sheetId="23" sqref="K13" start="0" length="0">
    <dxf>
      <fill>
        <patternFill>
          <bgColor rgb="FFFFC000"/>
        </patternFill>
      </fill>
    </dxf>
  </rfmt>
  <rfmt sheetId="23" sqref="M13" start="0" length="0">
    <dxf>
      <font>
        <b val="0"/>
        <sz val="9"/>
        <color auto="1"/>
        <name val="Arial"/>
        <family val="2"/>
        <scheme val="none"/>
      </font>
    </dxf>
  </rfmt>
  <rfmt sheetId="23" sqref="K14" start="0" length="0">
    <dxf>
      <font>
        <b val="0"/>
        <sz val="9"/>
        <family val="2"/>
      </font>
      <alignment horizontal="general"/>
    </dxf>
  </rfmt>
  <rfmt sheetId="23" sqref="L14" start="0" length="0">
    <dxf>
      <font>
        <b val="0"/>
        <sz val="9"/>
        <color auto="1"/>
        <name val="Arial"/>
        <family val="2"/>
        <scheme val="none"/>
      </font>
      <numFmt numFmtId="0" formatCode="General"/>
      <alignment horizontal="general"/>
    </dxf>
  </rfmt>
  <rfmt sheetId="23" sqref="M14" start="0" length="0">
    <dxf>
      <font>
        <b val="0"/>
        <sz val="9"/>
        <color auto="1"/>
        <name val="Arial"/>
        <family val="2"/>
        <scheme val="none"/>
      </font>
    </dxf>
  </rfmt>
  <rfmt sheetId="23" s="1" sqref="K15" start="0" length="0">
    <dxf>
      <numFmt numFmtId="181" formatCode="_(* #,##0_);_(* \(#,##0\);_(* &quot;-&quot;??_);_(@_)"/>
    </dxf>
  </rfmt>
  <rfmt sheetId="23" s="1" sqref="K16" start="0" length="0">
    <dxf>
      <numFmt numFmtId="181" formatCode="_(* #,##0_);_(* \(#,##0\);_(* &quot;-&quot;??_);_(@_)"/>
    </dxf>
  </rfmt>
  <rfmt sheetId="23" s="1" sqref="K17" start="0" length="0">
    <dxf>
      <numFmt numFmtId="181" formatCode="_(* #,##0_);_(* \(#,##0\);_(* &quot;-&quot;??_);_(@_)"/>
    </dxf>
  </rfmt>
  <rfmt sheetId="23" s="1" sqref="K19" start="0" length="0">
    <dxf>
      <numFmt numFmtId="181" formatCode="_(* #,##0_);_(* \(#,##0\);_(* &quot;-&quot;??_);_(@_)"/>
      <fill>
        <patternFill patternType="none">
          <bgColor indexed="65"/>
        </patternFill>
      </fill>
    </dxf>
  </rfmt>
  <rfmt sheetId="23" sqref="L19" start="0" length="0">
    <dxf/>
  </rfmt>
  <rfmt sheetId="23" sqref="M19" start="0" length="0">
    <dxf>
      <fill>
        <patternFill patternType="none">
          <bgColor indexed="65"/>
        </patternFill>
      </fill>
    </dxf>
  </rfmt>
  <rfmt sheetId="23" s="1" sqref="K20" start="0" length="0">
    <dxf>
      <numFmt numFmtId="181" formatCode="_(* #,##0_);_(* \(#,##0\);_(* &quot;-&quot;??_);_(@_)"/>
    </dxf>
  </rfmt>
  <rfmt sheetId="23" sqref="L20" start="0" length="0">
    <dxf/>
  </rfmt>
  <rfmt sheetId="23" sqref="K21" start="0" length="0">
    <dxf>
      <font>
        <b val="0"/>
        <sz val="9"/>
        <family val="2"/>
      </font>
      <alignment horizontal="general"/>
    </dxf>
  </rfmt>
  <rfmt sheetId="23" sqref="L21" start="0" length="0">
    <dxf>
      <font>
        <b val="0"/>
        <sz val="9"/>
        <color auto="1"/>
        <name val="Arial"/>
        <family val="2"/>
        <scheme val="none"/>
      </font>
      <numFmt numFmtId="0" formatCode="General"/>
      <alignment horizontal="general"/>
    </dxf>
  </rfmt>
  <rfmt sheetId="23" sqref="M21" start="0" length="0">
    <dxf>
      <font>
        <b val="0"/>
        <sz val="9"/>
        <color auto="1"/>
        <name val="Arial"/>
        <family val="2"/>
        <scheme val="none"/>
      </font>
    </dxf>
  </rfmt>
  <rfmt sheetId="23" sqref="K22" start="0" length="0">
    <dxf>
      <fill>
        <patternFill>
          <bgColor rgb="FFFFC000"/>
        </patternFill>
      </fill>
    </dxf>
  </rfmt>
  <rfmt sheetId="23" sqref="L22" start="0" length="0">
    <dxf>
      <font>
        <b/>
        <sz val="9"/>
        <color auto="1"/>
        <name val="Arial"/>
        <family val="2"/>
        <scheme val="none"/>
      </font>
    </dxf>
  </rfmt>
  <rfmt sheetId="23" sqref="M22" start="0" length="0">
    <dxf>
      <font>
        <b val="0"/>
        <sz val="9"/>
        <color auto="1"/>
        <name val="Arial"/>
        <family val="2"/>
        <scheme val="none"/>
      </font>
    </dxf>
  </rfmt>
  <rfmt sheetId="23" sqref="K23" start="0" length="0">
    <dxf>
      <font>
        <b val="0"/>
        <sz val="9"/>
        <family val="2"/>
      </font>
      <alignment horizontal="general"/>
    </dxf>
  </rfmt>
  <rfmt sheetId="23" sqref="L23" start="0" length="0">
    <dxf>
      <font>
        <b val="0"/>
        <sz val="9"/>
        <color auto="1"/>
        <name val="Arial"/>
        <family val="2"/>
        <scheme val="none"/>
      </font>
      <numFmt numFmtId="0" formatCode="General"/>
      <alignment horizontal="general"/>
    </dxf>
  </rfmt>
  <rfmt sheetId="23" sqref="M23" start="0" length="0">
    <dxf>
      <font>
        <b val="0"/>
        <sz val="9"/>
        <color auto="1"/>
        <name val="Arial"/>
        <family val="2"/>
        <scheme val="none"/>
      </font>
    </dxf>
  </rfmt>
  <rfmt sheetId="23" s="1" sqref="K28" start="0" length="0">
    <dxf>
      <numFmt numFmtId="181" formatCode="_(* #,##0_);_(* \(#,##0\);_(* &quot;-&quot;??_);_(@_)"/>
      <fill>
        <patternFill patternType="none">
          <bgColor indexed="65"/>
        </patternFill>
      </fill>
    </dxf>
  </rfmt>
  <rfmt sheetId="23" sqref="L28" start="0" length="0">
    <dxf/>
  </rfmt>
  <rfmt sheetId="23" sqref="M28" start="0" length="0">
    <dxf>
      <fill>
        <patternFill patternType="none">
          <bgColor indexed="65"/>
        </patternFill>
      </fill>
    </dxf>
  </rfmt>
  <rfmt sheetId="23" s="1" sqref="K29" start="0" length="0">
    <dxf>
      <numFmt numFmtId="181" formatCode="_(* #,##0_);_(* \(#,##0\);_(* &quot;-&quot;??_);_(@_)"/>
    </dxf>
  </rfmt>
  <rfmt sheetId="23" sqref="L29" start="0" length="0">
    <dxf/>
  </rfmt>
  <rfmt sheetId="23" sqref="K30" start="0" length="0">
    <dxf>
      <font>
        <b val="0"/>
        <sz val="9"/>
        <family val="2"/>
      </font>
      <alignment horizontal="general"/>
    </dxf>
  </rfmt>
  <rfmt sheetId="23" sqref="L30" start="0" length="0">
    <dxf>
      <font>
        <b val="0"/>
        <sz val="9"/>
        <color auto="1"/>
        <name val="Arial"/>
        <family val="2"/>
        <scheme val="none"/>
      </font>
      <numFmt numFmtId="0" formatCode="General"/>
      <alignment horizontal="general"/>
    </dxf>
  </rfmt>
  <rfmt sheetId="23" sqref="M30" start="0" length="0">
    <dxf>
      <font>
        <b val="0"/>
        <sz val="9"/>
        <color auto="1"/>
        <name val="Arial"/>
        <family val="2"/>
        <scheme val="none"/>
      </font>
    </dxf>
  </rfmt>
  <rfmt sheetId="23" sqref="K31" start="0" length="0">
    <dxf>
      <fill>
        <patternFill>
          <bgColor rgb="FFFFC000"/>
        </patternFill>
      </fill>
    </dxf>
  </rfmt>
  <rfmt sheetId="23" sqref="L31" start="0" length="0">
    <dxf>
      <font>
        <b/>
        <sz val="9"/>
        <color auto="1"/>
        <name val="Arial"/>
        <family val="2"/>
        <scheme val="none"/>
      </font>
    </dxf>
  </rfmt>
  <rfmt sheetId="23" sqref="M31" start="0" length="0">
    <dxf>
      <font>
        <b val="0"/>
        <sz val="9"/>
        <color auto="1"/>
        <name val="Arial"/>
        <family val="2"/>
        <scheme val="none"/>
      </font>
    </dxf>
  </rfmt>
  <rfmt sheetId="23" s="1" sqref="K32" start="0" length="0">
    <dxf>
      <numFmt numFmtId="181" formatCode="_(* #,##0_);_(* \(#,##0\);_(* &quot;-&quot;??_);_(@_)"/>
    </dxf>
  </rfmt>
  <rfmt sheetId="23" sqref="L32" start="0" length="0">
    <dxf/>
  </rfmt>
  <rfmt sheetId="23" sqref="K33" start="0" length="0">
    <dxf/>
  </rfmt>
  <rfmt sheetId="23" sqref="M33" start="0" length="0">
    <dxf>
      <font>
        <sz val="9"/>
        <color auto="1"/>
        <name val="Arial"/>
        <family val="2"/>
        <scheme val="none"/>
      </font>
      <numFmt numFmtId="30" formatCode="@"/>
    </dxf>
  </rfmt>
  <rfmt sheetId="23" sqref="K34" start="0" length="0">
    <dxf/>
  </rfmt>
  <rfmt sheetId="23" sqref="M34" start="0" length="0">
    <dxf>
      <font>
        <sz val="9"/>
        <color auto="1"/>
        <name val="Arial"/>
        <family val="2"/>
        <scheme val="none"/>
      </font>
      <numFmt numFmtId="30" formatCode="@"/>
    </dxf>
  </rfmt>
  <rfmt sheetId="23" sqref="K35" start="0" length="0">
    <dxf/>
  </rfmt>
  <rfmt sheetId="23" sqref="M35" start="0" length="0">
    <dxf>
      <font>
        <sz val="9"/>
        <color auto="1"/>
        <name val="Arial"/>
        <family val="2"/>
        <scheme val="none"/>
      </font>
      <numFmt numFmtId="30" formatCode="@"/>
    </dxf>
  </rfmt>
  <rfmt sheetId="23" sqref="K36" start="0" length="0">
    <dxf/>
  </rfmt>
  <rfmt sheetId="23" sqref="M36" start="0" length="0">
    <dxf>
      <font>
        <sz val="9"/>
        <color auto="1"/>
        <name val="Arial"/>
        <family val="2"/>
        <scheme val="none"/>
      </font>
      <numFmt numFmtId="30" formatCode="@"/>
    </dxf>
  </rfmt>
  <rfmt sheetId="23" s="1" sqref="K37" start="0" length="0">
    <dxf>
      <numFmt numFmtId="181" formatCode="_(* #,##0_);_(* \(#,##0\);_(* &quot;-&quot;??_);_(@_)"/>
      <fill>
        <patternFill patternType="none">
          <bgColor indexed="65"/>
        </patternFill>
      </fill>
    </dxf>
  </rfmt>
  <rfmt sheetId="23" sqref="L37" start="0" length="0">
    <dxf/>
  </rfmt>
  <rfmt sheetId="23" sqref="M37" start="0" length="0">
    <dxf>
      <font>
        <sz val="9"/>
        <color auto="1"/>
        <name val="Arial"/>
        <family val="2"/>
        <scheme val="none"/>
      </font>
      <fill>
        <patternFill patternType="none">
          <bgColor indexed="65"/>
        </patternFill>
      </fill>
    </dxf>
  </rfmt>
  <rfmt sheetId="23" s="1" sqref="K38" start="0" length="0">
    <dxf>
      <numFmt numFmtId="181" formatCode="_(* #,##0_);_(* \(#,##0\);_(* &quot;-&quot;??_);_(@_)"/>
    </dxf>
  </rfmt>
  <rfmt sheetId="23" sqref="L38" start="0" length="0">
    <dxf>
      <font>
        <sz val="9"/>
        <color auto="1"/>
        <name val="Arial"/>
        <family val="2"/>
        <scheme val="none"/>
      </font>
    </dxf>
  </rfmt>
  <rfmt sheetId="23" sqref="M38" start="0" length="0">
    <dxf>
      <font>
        <sz val="9"/>
        <color auto="1"/>
        <name val="Arial"/>
        <family val="2"/>
        <scheme val="none"/>
      </font>
      <numFmt numFmtId="30" formatCode="@"/>
    </dxf>
  </rfmt>
  <rfmt sheetId="23" s="1" sqref="K39" start="0" length="0">
    <dxf>
      <font>
        <sz val="9"/>
        <color auto="1"/>
        <name val="Arial"/>
        <family val="2"/>
        <scheme val="none"/>
      </font>
      <numFmt numFmtId="181" formatCode="_(* #,##0_);_(* \(#,##0\);_(* &quot;-&quot;??_);_(@_)"/>
    </dxf>
  </rfmt>
  <rfmt sheetId="23" sqref="L39" start="0" length="0">
    <dxf>
      <font>
        <sz val="9"/>
        <color auto="1"/>
        <name val="Arial"/>
        <family val="2"/>
        <scheme val="none"/>
      </font>
    </dxf>
  </rfmt>
  <rfmt sheetId="23" sqref="M39" start="0" length="0">
    <dxf>
      <numFmt numFmtId="30" formatCode="@"/>
    </dxf>
  </rfmt>
  <rfmt sheetId="23" s="1" sqref="K40" start="0" length="0">
    <dxf>
      <numFmt numFmtId="181" formatCode="_(* #,##0_);_(* \(#,##0\);_(* &quot;-&quot;??_);_(@_)"/>
      <fill>
        <patternFill patternType="none">
          <bgColor indexed="65"/>
        </patternFill>
      </fill>
    </dxf>
  </rfmt>
  <rfmt sheetId="23" sqref="L40" start="0" length="0">
    <dxf/>
  </rfmt>
  <rfmt sheetId="23" sqref="M40" start="0" length="0">
    <dxf>
      <fill>
        <patternFill patternType="none">
          <bgColor indexed="65"/>
        </patternFill>
      </fill>
    </dxf>
  </rfmt>
  <rfmt sheetId="23" s="1" sqref="K41" start="0" length="0">
    <dxf>
      <numFmt numFmtId="181" formatCode="_(* #,##0_);_(* \(#,##0\);_(* &quot;-&quot;??_);_(@_)"/>
      <fill>
        <patternFill patternType="none">
          <bgColor indexed="65"/>
        </patternFill>
      </fill>
    </dxf>
  </rfmt>
  <rfmt sheetId="23" sqref="L41" start="0" length="0">
    <dxf/>
  </rfmt>
  <rfmt sheetId="23" sqref="M41" start="0" length="0">
    <dxf>
      <fill>
        <patternFill patternType="none">
          <bgColor indexed="65"/>
        </patternFill>
      </fill>
    </dxf>
  </rfmt>
  <rfmt sheetId="23" s="1" sqref="K42" start="0" length="0">
    <dxf>
      <numFmt numFmtId="181" formatCode="_(* #,##0_);_(* \(#,##0\);_(* &quot;-&quot;??_);_(@_)"/>
      <fill>
        <patternFill patternType="none">
          <bgColor indexed="65"/>
        </patternFill>
      </fill>
    </dxf>
  </rfmt>
  <rfmt sheetId="23" s="1" sqref="K43" start="0" length="0">
    <dxf>
      <numFmt numFmtId="181" formatCode="_(* #,##0_);_(* \(#,##0\);_(* &quot;-&quot;??_);_(@_)"/>
    </dxf>
  </rfmt>
  <rfmt sheetId="23" sqref="K44" start="0" length="0">
    <dxf>
      <font>
        <b val="0"/>
        <sz val="9"/>
        <family val="2"/>
      </font>
      <alignment horizontal="general"/>
    </dxf>
  </rfmt>
  <rfmt sheetId="23" sqref="L44" start="0" length="0">
    <dxf>
      <font>
        <b val="0"/>
        <sz val="9"/>
        <color auto="1"/>
        <name val="Arial"/>
        <family val="2"/>
        <scheme val="none"/>
      </font>
      <numFmt numFmtId="0" formatCode="General"/>
      <alignment horizontal="general"/>
    </dxf>
  </rfmt>
  <rfmt sheetId="23" sqref="M44" start="0" length="0">
    <dxf>
      <font>
        <b val="0"/>
        <sz val="9"/>
        <color auto="1"/>
        <name val="Arial"/>
        <family val="2"/>
        <scheme val="none"/>
      </font>
    </dxf>
  </rfmt>
  <rfmt sheetId="23" sqref="K45" start="0" length="0">
    <dxf>
      <fill>
        <patternFill>
          <bgColor rgb="FFFFC000"/>
        </patternFill>
      </fill>
    </dxf>
  </rfmt>
  <rfmt sheetId="23" sqref="L45" start="0" length="0">
    <dxf>
      <font>
        <b/>
        <sz val="9"/>
        <color auto="1"/>
        <name val="Arial"/>
        <family val="2"/>
        <scheme val="none"/>
      </font>
    </dxf>
  </rfmt>
  <rfmt sheetId="23" sqref="M45" start="0" length="0">
    <dxf>
      <font>
        <b val="0"/>
        <sz val="9"/>
        <color auto="1"/>
        <name val="Arial"/>
        <family val="2"/>
        <scheme val="none"/>
      </font>
    </dxf>
  </rfmt>
  <rfmt sheetId="23" s="1" sqref="K46" start="0" length="0">
    <dxf>
      <numFmt numFmtId="181" formatCode="_(* #,##0_);_(* \(#,##0\);_(* &quot;-&quot;??_);_(@_)"/>
    </dxf>
  </rfmt>
  <rfmt sheetId="23" sqref="L46" start="0" length="0">
    <dxf/>
  </rfmt>
  <rfmt sheetId="23" s="1" sqref="K47" start="0" length="0">
    <dxf>
      <numFmt numFmtId="181" formatCode="_(* #,##0_);_(* \(#,##0\);_(* &quot;-&quot;??_);_(@_)"/>
    </dxf>
  </rfmt>
  <rfmt sheetId="23" sqref="L47" start="0" length="0">
    <dxf/>
  </rfmt>
  <rfmt sheetId="23" s="1" sqref="K48" start="0" length="0">
    <dxf>
      <numFmt numFmtId="181" formatCode="_(* #,##0_);_(* \(#,##0\);_(* &quot;-&quot;??_);_(@_)"/>
    </dxf>
  </rfmt>
  <rfmt sheetId="23" sqref="L48" start="0" length="0">
    <dxf>
      <font>
        <sz val="9"/>
        <color auto="1"/>
        <name val="Arial"/>
        <family val="2"/>
        <scheme val="none"/>
      </font>
    </dxf>
  </rfmt>
  <rfmt sheetId="23" sqref="M48" start="0" length="0">
    <dxf>
      <font>
        <sz val="9"/>
        <color auto="1"/>
        <name val="Arial"/>
        <family val="2"/>
        <scheme val="none"/>
      </font>
    </dxf>
  </rfmt>
  <rfmt sheetId="23" sqref="N48" start="0" length="0">
    <dxf>
      <alignment horizontal="general"/>
    </dxf>
  </rfmt>
  <rfmt sheetId="23" s="1" sqref="K49" start="0" length="0">
    <dxf>
      <font>
        <sz val="9"/>
        <color auto="1"/>
        <name val="Arial"/>
        <family val="2"/>
        <scheme val="none"/>
      </font>
      <numFmt numFmtId="181" formatCode="_(* #,##0_);_(* \(#,##0\);_(* &quot;-&quot;??_);_(@_)"/>
    </dxf>
  </rfmt>
  <rfmt sheetId="23" sqref="L49" start="0" length="0">
    <dxf>
      <font>
        <sz val="9"/>
        <color auto="1"/>
        <name val="Arial"/>
        <family val="2"/>
        <scheme val="none"/>
      </font>
      <numFmt numFmtId="0" formatCode="General"/>
      <alignment horizontal="general"/>
    </dxf>
  </rfmt>
  <rfmt sheetId="23" sqref="M49" start="0" length="0">
    <dxf>
      <font>
        <b val="0"/>
        <sz val="9"/>
        <color auto="1"/>
        <name val="Arial"/>
        <family val="2"/>
        <scheme val="none"/>
      </font>
    </dxf>
  </rfmt>
  <rfmt sheetId="23" sqref="N49" start="0" length="0">
    <dxf>
      <font>
        <b val="0"/>
        <sz val="7"/>
        <family val="2"/>
      </font>
      <alignment horizontal="general"/>
    </dxf>
  </rfmt>
  <rfmt sheetId="23" s="1" sqref="K50" start="0" length="0">
    <dxf>
      <numFmt numFmtId="181" formatCode="_(* #,##0_);_(* \(#,##0\);_(* &quot;-&quot;??_);_(@_)"/>
    </dxf>
  </rfmt>
  <rfmt sheetId="23" sqref="L50" start="0" length="0">
    <dxf/>
  </rfmt>
  <rfmt sheetId="23" sqref="M50" start="0" length="0">
    <dxf>
      <numFmt numFmtId="30" formatCode="@"/>
    </dxf>
  </rfmt>
  <rfmt sheetId="23" sqref="N50" start="0" length="0">
    <dxf>
      <numFmt numFmtId="30" formatCode="@"/>
      <alignment horizontal="center"/>
    </dxf>
  </rfmt>
  <rfmt sheetId="23" s="1" sqref="K51" start="0" length="0">
    <dxf>
      <font>
        <sz val="9"/>
        <color auto="1"/>
        <name val="Arial"/>
        <family val="2"/>
        <scheme val="none"/>
      </font>
      <numFmt numFmtId="181" formatCode="_(* #,##0_);_(* \(#,##0\);_(* &quot;-&quot;??_);_(@_)"/>
      <fill>
        <patternFill patternType="none">
          <bgColor indexed="65"/>
        </patternFill>
      </fill>
    </dxf>
  </rfmt>
  <rfmt sheetId="23" sqref="L51" start="0" length="0">
    <dxf>
      <font>
        <sz val="9"/>
        <color auto="1"/>
        <name val="Arial"/>
        <family val="2"/>
        <scheme val="none"/>
      </font>
    </dxf>
  </rfmt>
  <rfmt sheetId="23" sqref="M51" start="0" length="0">
    <dxf>
      <font>
        <sz val="9"/>
        <color auto="1"/>
        <name val="Arial"/>
        <family val="2"/>
        <scheme val="none"/>
      </font>
      <fill>
        <patternFill patternType="none">
          <bgColor indexed="65"/>
        </patternFill>
      </fill>
    </dxf>
  </rfmt>
  <rfmt sheetId="23" sqref="N51" start="0" length="0">
    <dxf>
      <font>
        <sz val="7"/>
        <color indexed="8"/>
        <family val="2"/>
      </font>
    </dxf>
  </rfmt>
  <rfmt sheetId="23" s="1" sqref="K52" start="0" length="0">
    <dxf>
      <font>
        <sz val="9"/>
        <color auto="1"/>
        <name val="Arial"/>
        <family val="2"/>
        <scheme val="none"/>
      </font>
      <numFmt numFmtId="181" formatCode="_(* #,##0_);_(* \(#,##0\);_(* &quot;-&quot;??_);_(@_)"/>
      <fill>
        <patternFill patternType="none">
          <bgColor indexed="65"/>
        </patternFill>
      </fill>
    </dxf>
  </rfmt>
  <rfmt sheetId="23" sqref="L52" start="0" length="0">
    <dxf>
      <font>
        <sz val="9"/>
        <color auto="1"/>
        <name val="Arial"/>
        <family val="2"/>
        <scheme val="none"/>
      </font>
    </dxf>
  </rfmt>
  <rfmt sheetId="23" sqref="M52" start="0" length="0">
    <dxf>
      <font>
        <sz val="9"/>
        <color auto="1"/>
        <name val="Arial"/>
        <family val="2"/>
        <scheme val="none"/>
      </font>
      <fill>
        <patternFill patternType="none">
          <bgColor indexed="65"/>
        </patternFill>
      </fill>
    </dxf>
  </rfmt>
  <rfmt sheetId="23" sqref="N52" start="0" length="0">
    <dxf>
      <font>
        <sz val="7"/>
        <color indexed="8"/>
        <family val="2"/>
      </font>
      <numFmt numFmtId="165" formatCode="#,##0.0"/>
      <alignment wrapText="1"/>
    </dxf>
  </rfmt>
  <rfmt sheetId="23" s="1" sqref="K53" start="0" length="0">
    <dxf>
      <font>
        <sz val="9"/>
        <color auto="1"/>
        <name val="Arial"/>
        <family val="2"/>
        <scheme val="none"/>
      </font>
      <numFmt numFmtId="181" formatCode="_(* #,##0_);_(* \(#,##0\);_(* &quot;-&quot;??_);_(@_)"/>
      <fill>
        <patternFill patternType="none">
          <bgColor indexed="65"/>
        </patternFill>
      </fill>
    </dxf>
  </rfmt>
  <rfmt sheetId="23" sqref="L53" start="0" length="0">
    <dxf>
      <font>
        <sz val="9"/>
        <color auto="1"/>
        <name val="Arial"/>
        <family val="2"/>
        <scheme val="none"/>
      </font>
    </dxf>
  </rfmt>
  <rfmt sheetId="23" sqref="M53" start="0" length="0">
    <dxf>
      <font>
        <sz val="9"/>
        <color auto="1"/>
        <name val="Arial"/>
        <family val="2"/>
        <scheme val="none"/>
      </font>
      <fill>
        <patternFill patternType="none">
          <bgColor indexed="65"/>
        </patternFill>
      </fill>
    </dxf>
  </rfmt>
  <rfmt sheetId="23" sqref="N53" start="0" length="0">
    <dxf>
      <font>
        <sz val="7"/>
        <color indexed="8"/>
        <family val="2"/>
      </font>
      <alignment horizontal="left"/>
    </dxf>
  </rfmt>
  <rfmt sheetId="23" s="1" sqref="K54" start="0" length="0">
    <dxf>
      <numFmt numFmtId="181" formatCode="_(* #,##0_);_(* \(#,##0\);_(* &quot;-&quot;??_);_(@_)"/>
    </dxf>
  </rfmt>
  <rfmt sheetId="23" sqref="L54" start="0" length="0">
    <dxf/>
  </rfmt>
  <rfmt sheetId="23" sqref="M54" start="0" length="0">
    <dxf>
      <font>
        <b val="0"/>
        <sz val="9"/>
        <color auto="1"/>
        <name val="Arial"/>
        <family val="2"/>
        <scheme val="none"/>
      </font>
    </dxf>
  </rfmt>
  <rfmt sheetId="23" sqref="N54" start="0" length="0">
    <dxf>
      <font>
        <b val="0"/>
        <sz val="7"/>
        <family val="2"/>
      </font>
      <numFmt numFmtId="0" formatCode="General"/>
      <alignment horizontal="general"/>
    </dxf>
  </rfmt>
  <rfmt sheetId="23" s="1" sqref="K55" start="0" length="0">
    <dxf>
      <numFmt numFmtId="181" formatCode="_(* #,##0_);_(* \(#,##0\);_(* &quot;-&quot;??_);_(@_)"/>
    </dxf>
  </rfmt>
  <rfmt sheetId="23" sqref="L55" start="0" length="0">
    <dxf/>
  </rfmt>
  <rfmt sheetId="23" sqref="M55" start="0" length="0">
    <dxf>
      <font>
        <b val="0"/>
        <sz val="9"/>
        <color auto="1"/>
        <name val="Arial"/>
        <family val="2"/>
        <scheme val="none"/>
      </font>
    </dxf>
  </rfmt>
  <rfmt sheetId="23" s="1" sqref="K56" start="0" length="0">
    <dxf>
      <font>
        <sz val="9"/>
        <color auto="1"/>
        <name val="Arial"/>
        <family val="2"/>
        <scheme val="none"/>
      </font>
      <numFmt numFmtId="181" formatCode="_(* #,##0_);_(* \(#,##0\);_(* &quot;-&quot;??_);_(@_)"/>
      <fill>
        <patternFill patternType="none">
          <bgColor indexed="65"/>
        </patternFill>
      </fill>
    </dxf>
  </rfmt>
  <rfmt sheetId="23" sqref="L56" start="0" length="0">
    <dxf>
      <font>
        <sz val="9"/>
        <color auto="1"/>
        <name val="Arial"/>
        <family val="2"/>
        <scheme val="none"/>
      </font>
    </dxf>
  </rfmt>
  <rfmt sheetId="23" sqref="M56" start="0" length="0">
    <dxf>
      <font>
        <sz val="9"/>
        <color auto="1"/>
        <name val="Arial"/>
        <family val="2"/>
        <scheme val="none"/>
      </font>
      <fill>
        <patternFill patternType="none">
          <bgColor indexed="65"/>
        </patternFill>
      </fill>
    </dxf>
  </rfmt>
  <rfmt sheetId="23" sqref="N56" start="0" length="0">
    <dxf>
      <font>
        <b/>
        <sz val="7"/>
        <family val="2"/>
      </font>
      <alignment horizontal="left"/>
    </dxf>
  </rfmt>
  <rfmt sheetId="23" s="1" sqref="K57" start="0" length="0">
    <dxf>
      <font>
        <sz val="9"/>
        <color auto="1"/>
        <name val="Arial"/>
        <family val="2"/>
        <scheme val="none"/>
      </font>
      <numFmt numFmtId="181" formatCode="_(* #,##0_);_(* \(#,##0\);_(* &quot;-&quot;??_);_(@_)"/>
      <fill>
        <patternFill patternType="none">
          <bgColor indexed="65"/>
        </patternFill>
      </fill>
    </dxf>
  </rfmt>
  <rfmt sheetId="23" sqref="L57" start="0" length="0">
    <dxf>
      <font>
        <sz val="9"/>
        <color auto="1"/>
        <name val="Arial"/>
        <family val="2"/>
        <scheme val="none"/>
      </font>
    </dxf>
  </rfmt>
  <rfmt sheetId="23" sqref="M57" start="0" length="0">
    <dxf>
      <font>
        <sz val="9"/>
        <color auto="1"/>
        <name val="Arial"/>
        <family val="2"/>
        <scheme val="none"/>
      </font>
      <fill>
        <patternFill patternType="none">
          <bgColor indexed="65"/>
        </patternFill>
      </fill>
    </dxf>
  </rfmt>
  <rfmt sheetId="23" s="1" sqref="K58" start="0" length="0">
    <dxf>
      <font>
        <sz val="9"/>
        <color auto="1"/>
        <name val="Arial"/>
        <family val="2"/>
        <scheme val="none"/>
      </font>
      <numFmt numFmtId="181" formatCode="_(* #,##0_);_(* \(#,##0\);_(* &quot;-&quot;??_);_(@_)"/>
      <fill>
        <patternFill patternType="none">
          <bgColor indexed="65"/>
        </patternFill>
      </fill>
    </dxf>
  </rfmt>
  <rfmt sheetId="23" sqref="L58" start="0" length="0">
    <dxf>
      <font>
        <sz val="9"/>
        <color auto="1"/>
        <name val="Arial"/>
        <family val="2"/>
        <scheme val="none"/>
      </font>
    </dxf>
  </rfmt>
  <rfmt sheetId="23" sqref="M58" start="0" length="0">
    <dxf>
      <font>
        <sz val="9"/>
        <color auto="1"/>
        <name val="Arial"/>
        <family val="2"/>
        <scheme val="none"/>
      </font>
      <fill>
        <patternFill patternType="none">
          <bgColor indexed="65"/>
        </patternFill>
      </fill>
    </dxf>
  </rfmt>
  <rfmt sheetId="23" sqref="N58" start="0" length="0">
    <dxf>
      <font>
        <sz val="7"/>
        <color indexed="8"/>
        <family val="2"/>
      </font>
    </dxf>
  </rfmt>
  <rfmt sheetId="23" sqref="K59" start="0" length="0">
    <dxf>
      <font>
        <sz val="9"/>
        <family val="2"/>
      </font>
      <numFmt numFmtId="181" formatCode="_(* #,##0_);_(* \(#,##0\);_(* &quot;-&quot;??_);_(@_)"/>
      <fill>
        <patternFill patternType="none">
          <bgColor indexed="65"/>
        </patternFill>
      </fill>
      <alignment horizontal="general"/>
    </dxf>
  </rfmt>
  <rfmt sheetId="23" sqref="L59" start="0" length="0">
    <dxf>
      <font>
        <sz val="9"/>
        <color auto="1"/>
        <name val="Arial"/>
        <family val="2"/>
        <scheme val="none"/>
      </font>
      <numFmt numFmtId="0" formatCode="General"/>
      <alignment horizontal="general"/>
    </dxf>
  </rfmt>
  <rfmt sheetId="23" sqref="M59" start="0" length="0">
    <dxf>
      <font>
        <b val="0"/>
        <sz val="9"/>
        <color auto="1"/>
        <name val="Arial"/>
        <family val="2"/>
        <scheme val="none"/>
      </font>
    </dxf>
  </rfmt>
  <rfmt sheetId="23" sqref="N59" start="0" length="0">
    <dxf>
      <font>
        <b val="0"/>
        <sz val="7"/>
        <family val="2"/>
      </font>
      <alignment horizontal="center"/>
    </dxf>
  </rfmt>
  <rfmt sheetId="23" s="1" sqref="K60" start="0" length="0">
    <dxf>
      <font>
        <sz val="9"/>
        <color auto="1"/>
        <name val="Arial"/>
        <family val="2"/>
        <scheme val="none"/>
      </font>
      <numFmt numFmtId="181" formatCode="_(* #,##0_);_(* \(#,##0\);_(* &quot;-&quot;??_);_(@_)"/>
    </dxf>
  </rfmt>
  <rfmt sheetId="23" sqref="L60" start="0" length="0">
    <dxf>
      <font>
        <sz val="9"/>
        <color auto="1"/>
        <name val="Arial"/>
        <family val="2"/>
        <scheme val="none"/>
      </font>
      <numFmt numFmtId="0" formatCode="General"/>
      <alignment horizontal="general"/>
    </dxf>
  </rfmt>
  <rfmt sheetId="23" sqref="M60" start="0" length="0">
    <dxf>
      <font>
        <b val="0"/>
        <sz val="9"/>
        <color auto="1"/>
        <name val="Arial"/>
        <family val="2"/>
        <scheme val="none"/>
      </font>
    </dxf>
  </rfmt>
  <rfmt sheetId="23" sqref="N60" start="0" length="0">
    <dxf>
      <font>
        <b val="0"/>
        <sz val="7"/>
        <family val="2"/>
      </font>
      <alignment horizontal="center"/>
    </dxf>
  </rfmt>
  <rfmt sheetId="23" sqref="K61" start="0" length="0">
    <dxf>
      <font>
        <b val="0"/>
        <sz val="9"/>
        <family val="2"/>
      </font>
      <alignment horizontal="general"/>
    </dxf>
  </rfmt>
  <rfmt sheetId="23" sqref="L61" start="0" length="0">
    <dxf>
      <font>
        <b val="0"/>
        <sz val="9"/>
        <color auto="1"/>
        <name val="Arial"/>
        <family val="2"/>
        <scheme val="none"/>
      </font>
      <numFmt numFmtId="0" formatCode="General"/>
      <alignment horizontal="general"/>
    </dxf>
  </rfmt>
  <rfmt sheetId="23" sqref="M61" start="0" length="0">
    <dxf>
      <font>
        <b val="0"/>
        <sz val="9"/>
        <color auto="1"/>
        <name val="Arial"/>
        <family val="2"/>
        <scheme val="none"/>
      </font>
    </dxf>
  </rfmt>
  <rfmt sheetId="23" sqref="N61" start="0" length="0">
    <dxf>
      <alignment horizontal="center"/>
    </dxf>
  </rfmt>
  <rfmt sheetId="23" s="1" sqref="K62" start="0" length="0">
    <dxf>
      <font>
        <sz val="9"/>
        <color auto="1"/>
        <name val="Arial"/>
        <family val="2"/>
        <scheme val="none"/>
      </font>
      <numFmt numFmtId="181" formatCode="_(* #,##0_);_(* \(#,##0\);_(* &quot;-&quot;??_);_(@_)"/>
      <fill>
        <patternFill patternType="none">
          <bgColor indexed="65"/>
        </patternFill>
      </fill>
    </dxf>
  </rfmt>
  <rfmt sheetId="23" sqref="L62" start="0" length="0">
    <dxf>
      <font>
        <sz val="9"/>
        <color auto="1"/>
        <name val="Arial"/>
        <family val="2"/>
        <scheme val="none"/>
      </font>
      <numFmt numFmtId="0" formatCode="General"/>
      <alignment horizontal="general"/>
    </dxf>
  </rfmt>
  <rfmt sheetId="23" sqref="M62" start="0" length="0">
    <dxf>
      <font>
        <b val="0"/>
        <sz val="9"/>
        <color auto="1"/>
        <name val="Arial"/>
        <family val="2"/>
        <scheme val="none"/>
      </font>
    </dxf>
  </rfmt>
  <rfmt sheetId="23" sqref="N62" start="0" length="0">
    <dxf>
      <font>
        <b val="0"/>
        <sz val="7"/>
        <family val="2"/>
      </font>
      <alignment horizontal="center"/>
    </dxf>
  </rfmt>
  <rfmt sheetId="23" sqref="K63" start="0" length="0">
    <dxf>
      <font>
        <sz val="9"/>
        <family val="2"/>
      </font>
      <fill>
        <patternFill patternType="none">
          <bgColor indexed="65"/>
        </patternFill>
      </fill>
      <alignment horizontal="general"/>
    </dxf>
  </rfmt>
  <rfmt sheetId="23" sqref="L63" start="0" length="0">
    <dxf>
      <font>
        <sz val="9"/>
        <color auto="1"/>
        <name val="Arial"/>
        <family val="2"/>
        <scheme val="none"/>
      </font>
      <numFmt numFmtId="0" formatCode="General"/>
      <alignment horizontal="general"/>
    </dxf>
  </rfmt>
  <rfmt sheetId="23" sqref="M63" start="0" length="0">
    <dxf>
      <font>
        <b val="0"/>
        <sz val="9"/>
        <color auto="1"/>
        <name val="Arial"/>
        <family val="2"/>
        <scheme val="none"/>
      </font>
    </dxf>
  </rfmt>
  <rfmt sheetId="23" sqref="N63" start="0" length="0">
    <dxf>
      <font>
        <b val="0"/>
        <sz val="7"/>
        <family val="2"/>
      </font>
      <numFmt numFmtId="0" formatCode="General"/>
      <alignment horizontal="general"/>
    </dxf>
  </rfmt>
  <rfmt sheetId="23" s="1" sqref="K64" start="0" length="0">
    <dxf>
      <font>
        <sz val="9"/>
        <color auto="1"/>
        <name val="Arial"/>
        <family val="2"/>
        <scheme val="none"/>
      </font>
      <numFmt numFmtId="3" formatCode="#,##0"/>
      <fill>
        <patternFill>
          <bgColor rgb="FFFFC000"/>
        </patternFill>
      </fill>
      <alignment horizontal="general"/>
      <border outline="0">
        <left/>
      </border>
    </dxf>
  </rfmt>
  <rfmt sheetId="23" sqref="L64" start="0" length="0">
    <dxf>
      <font>
        <b/>
        <family val="2"/>
      </font>
      <numFmt numFmtId="0" formatCode="General"/>
      <alignment horizontal="general"/>
    </dxf>
  </rfmt>
  <rfmt sheetId="23" sqref="M64" start="0" length="0">
    <dxf>
      <font>
        <b val="0"/>
        <sz val="9"/>
        <color auto="1"/>
        <name val="Arial"/>
        <family val="2"/>
        <scheme val="none"/>
      </font>
      <numFmt numFmtId="0" formatCode="General"/>
      <alignment horizontal="left"/>
    </dxf>
  </rfmt>
  <rfmt sheetId="23" sqref="N64" start="0" length="0">
    <dxf>
      <font>
        <b val="0"/>
        <sz val="7"/>
        <family val="2"/>
      </font>
      <numFmt numFmtId="0" formatCode="General"/>
      <alignment horizontal="general"/>
    </dxf>
  </rfmt>
  <rfmt sheetId="23" s="1" sqref="K65" start="0" length="0">
    <dxf>
      <font>
        <sz val="9"/>
        <color auto="1"/>
        <name val="Arial"/>
        <family val="2"/>
        <scheme val="none"/>
      </font>
      <numFmt numFmtId="3" formatCode="#,##0"/>
      <fill>
        <patternFill>
          <bgColor rgb="FFFFC000"/>
        </patternFill>
      </fill>
      <alignment horizontal="general"/>
    </dxf>
  </rfmt>
  <rfmt sheetId="23" sqref="L65" start="0" length="0">
    <dxf>
      <font>
        <b/>
        <family val="2"/>
      </font>
      <numFmt numFmtId="0" formatCode="General"/>
      <alignment horizontal="general"/>
    </dxf>
  </rfmt>
  <rfmt sheetId="23" sqref="M65" start="0" length="0">
    <dxf>
      <font>
        <b val="0"/>
        <sz val="9"/>
        <color auto="1"/>
        <name val="Arial"/>
        <family val="2"/>
        <scheme val="none"/>
      </font>
      <numFmt numFmtId="0" formatCode="General"/>
      <alignment horizontal="left"/>
    </dxf>
  </rfmt>
  <rfmt sheetId="23" sqref="N65" start="0" length="0">
    <dxf>
      <font>
        <b val="0"/>
        <sz val="7"/>
        <family val="2"/>
      </font>
      <numFmt numFmtId="0" formatCode="General"/>
      <alignment horizontal="general"/>
    </dxf>
  </rfmt>
  <rfmt sheetId="23" sqref="K66" start="0" length="0">
    <dxf>
      <font>
        <sz val="9"/>
        <color auto="1"/>
        <name val="Arial"/>
        <family val="2"/>
        <scheme val="none"/>
      </font>
      <fill>
        <patternFill>
          <bgColor rgb="FFFFC000"/>
        </patternFill>
      </fill>
    </dxf>
  </rfmt>
  <rfmt sheetId="23" sqref="L66" start="0" length="0">
    <dxf>
      <font>
        <b/>
        <color indexed="8"/>
        <family val="2"/>
      </font>
    </dxf>
  </rfmt>
  <rfmt sheetId="23" sqref="M66" start="0" length="0">
    <dxf>
      <numFmt numFmtId="0" formatCode="General"/>
      <alignment horizontal="left"/>
    </dxf>
  </rfmt>
  <rfmt sheetId="23" sqref="N66" start="0" length="0">
    <dxf>
      <numFmt numFmtId="0" formatCode="General"/>
    </dxf>
  </rfmt>
  <rfmt sheetId="23" s="1" sqref="K67" start="0" length="0">
    <dxf>
      <font>
        <sz val="9"/>
        <color auto="1"/>
        <name val="Arial"/>
        <family val="2"/>
        <scheme val="none"/>
      </font>
      <numFmt numFmtId="3" formatCode="#,##0"/>
      <fill>
        <patternFill>
          <bgColor rgb="FFFFC000"/>
        </patternFill>
      </fill>
    </dxf>
  </rfmt>
  <rfmt sheetId="23" sqref="L67" start="0" length="0">
    <dxf>
      <font>
        <b/>
        <family val="2"/>
      </font>
      <numFmt numFmtId="0" formatCode="General"/>
      <alignment horizontal="general"/>
    </dxf>
  </rfmt>
  <rfmt sheetId="23" sqref="M67" start="0" length="0">
    <dxf>
      <numFmt numFmtId="0" formatCode="General"/>
      <alignment horizontal="left"/>
    </dxf>
  </rfmt>
  <rfmt sheetId="23" sqref="N67" start="0" length="0">
    <dxf>
      <numFmt numFmtId="0" formatCode="General"/>
    </dxf>
  </rfmt>
  <rfmt sheetId="23" s="1" sqref="K68" start="0" length="0">
    <dxf>
      <font>
        <b val="0"/>
        <sz val="9"/>
        <color auto="1"/>
        <name val="Arial"/>
        <family val="2"/>
        <scheme val="none"/>
      </font>
      <numFmt numFmtId="3" formatCode="#,##0"/>
      <fill>
        <patternFill>
          <bgColor rgb="FFFFC000"/>
        </patternFill>
      </fill>
    </dxf>
  </rfmt>
  <rfmt sheetId="23" sqref="M68" start="0" length="0">
    <dxf>
      <numFmt numFmtId="0" formatCode="General"/>
      <alignment horizontal="left"/>
    </dxf>
  </rfmt>
  <rfmt sheetId="23" sqref="N68" start="0" length="0">
    <dxf>
      <numFmt numFmtId="0" formatCode="General"/>
    </dxf>
  </rfmt>
  <rfmt sheetId="23" s="1" sqref="K69" start="0" length="0">
    <dxf>
      <numFmt numFmtId="181" formatCode="_(* #,##0_);_(* \(#,##0\);_(* &quot;-&quot;??_);_(@_)"/>
    </dxf>
  </rfmt>
  <rfmt sheetId="23" sqref="N69" start="0" length="0">
    <dxf>
      <numFmt numFmtId="0" formatCode="General"/>
    </dxf>
  </rfmt>
  <rfmt sheetId="23" s="1" sqref="K70" start="0" length="0">
    <dxf>
      <numFmt numFmtId="181" formatCode="_(* #,##0_);_(* \(#,##0\);_(* &quot;-&quot;??_);_(@_)"/>
    </dxf>
  </rfmt>
  <rfmt sheetId="23" sqref="N70" start="0" length="0">
    <dxf>
      <numFmt numFmtId="0" formatCode="General"/>
    </dxf>
  </rfmt>
  <rfmt sheetId="23" s="1" sqref="K71" start="0" length="0">
    <dxf>
      <numFmt numFmtId="181" formatCode="_(* #,##0_);_(* \(#,##0\);_(* &quot;-&quot;??_);_(@_)"/>
    </dxf>
  </rfmt>
  <rfmt sheetId="23" sqref="M71" start="0" length="0">
    <dxf>
      <font>
        <sz val="9"/>
        <color auto="1"/>
        <name val="Arial"/>
        <family val="2"/>
        <scheme val="none"/>
      </font>
    </dxf>
  </rfmt>
  <rfmt sheetId="23" sqref="N71" start="0" length="0">
    <dxf>
      <numFmt numFmtId="0" formatCode="General"/>
      <alignment horizontal="general"/>
    </dxf>
  </rfmt>
  <rfmt sheetId="23" sqref="K72" start="0" length="0">
    <dxf>
      <font>
        <sz val="9"/>
        <color indexed="8"/>
        <family val="2"/>
      </font>
    </dxf>
  </rfmt>
  <rfmt sheetId="23" sqref="L72" start="0" length="0">
    <dxf>
      <font>
        <sz val="9"/>
        <color auto="1"/>
        <name val="Arial"/>
        <family val="2"/>
        <scheme val="none"/>
      </font>
      <numFmt numFmtId="0" formatCode="General"/>
    </dxf>
  </rfmt>
  <rfmt sheetId="23" sqref="N72" start="0" length="0">
    <dxf>
      <numFmt numFmtId="0" formatCode="General"/>
      <alignment horizontal="general"/>
    </dxf>
  </rfmt>
  <rfmt sheetId="23" s="1" sqref="K73" start="0" length="0">
    <dxf>
      <font>
        <sz val="9"/>
        <color auto="1"/>
        <name val="Arial"/>
        <family val="2"/>
        <scheme val="none"/>
      </font>
      <numFmt numFmtId="181" formatCode="_(* #,##0_);_(* \(#,##0\);_(* &quot;-&quot;??_);_(@_)"/>
      <fill>
        <patternFill patternType="none">
          <bgColor indexed="65"/>
        </patternFill>
      </fill>
    </dxf>
  </rfmt>
  <rfmt sheetId="23" sqref="L73" start="0" length="0">
    <dxf/>
  </rfmt>
  <rfmt sheetId="23" sqref="M73" start="0" length="0">
    <dxf>
      <font>
        <sz val="9"/>
        <color auto="1"/>
        <name val="Arial"/>
        <family val="2"/>
        <scheme val="none"/>
      </font>
      <numFmt numFmtId="30" formatCode="@"/>
      <fill>
        <patternFill patternType="none">
          <bgColor indexed="65"/>
        </patternFill>
      </fill>
    </dxf>
  </rfmt>
  <rfmt sheetId="23" sqref="N73" start="0" length="0">
    <dxf>
      <numFmt numFmtId="0" formatCode="General"/>
      <alignment horizontal="general" wrapText="0"/>
    </dxf>
  </rfmt>
  <rfmt sheetId="23" s="1" sqref="K74" start="0" length="0">
    <dxf>
      <numFmt numFmtId="181" formatCode="_(* #,##0_);_(* \(#,##0\);_(* &quot;-&quot;??_);_(@_)"/>
      <fill>
        <patternFill patternType="none">
          <bgColor indexed="65"/>
        </patternFill>
      </fill>
    </dxf>
  </rfmt>
  <rfmt sheetId="23" sqref="L74" start="0" length="0">
    <dxf>
      <font>
        <sz val="9"/>
        <color auto="1"/>
        <name val="Arial"/>
        <family val="2"/>
        <scheme val="none"/>
      </font>
    </dxf>
  </rfmt>
  <rfmt sheetId="23" sqref="M74" start="0" length="0">
    <dxf>
      <font>
        <sz val="9"/>
        <color auto="1"/>
        <name val="Arial"/>
        <family val="2"/>
        <scheme val="none"/>
      </font>
      <fill>
        <patternFill patternType="none">
          <bgColor indexed="65"/>
        </patternFill>
      </fill>
    </dxf>
  </rfmt>
  <rfmt sheetId="23" sqref="N74" start="0" length="0">
    <dxf>
      <numFmt numFmtId="0" formatCode="General"/>
      <alignment horizontal="general"/>
    </dxf>
  </rfmt>
  <rfmt sheetId="23" sqref="K75" start="0" length="0">
    <dxf>
      <font>
        <b val="0"/>
        <sz val="9"/>
        <family val="2"/>
      </font>
    </dxf>
  </rfmt>
  <rfmt sheetId="23" sqref="L75" start="0" length="0">
    <dxf>
      <font>
        <b val="0"/>
        <sz val="9"/>
        <color auto="1"/>
        <name val="Arial"/>
        <family val="2"/>
        <scheme val="none"/>
      </font>
    </dxf>
  </rfmt>
  <rfmt sheetId="23" sqref="M75" start="0" length="0">
    <dxf>
      <numFmt numFmtId="30" formatCode="@"/>
    </dxf>
  </rfmt>
  <rfmt sheetId="23" sqref="N75" start="0" length="0">
    <dxf/>
  </rfmt>
  <rfmt sheetId="23" sqref="K76" start="0" length="0">
    <dxf>
      <font>
        <b val="0"/>
        <sz val="9"/>
        <family val="2"/>
      </font>
      <alignment horizontal="general"/>
    </dxf>
  </rfmt>
  <rfmt sheetId="23" sqref="L76" start="0" length="0">
    <dxf>
      <font>
        <b val="0"/>
        <sz val="9"/>
        <color auto="1"/>
        <name val="Arial"/>
        <family val="2"/>
        <scheme val="none"/>
      </font>
      <numFmt numFmtId="0" formatCode="General"/>
      <alignment horizontal="general"/>
    </dxf>
  </rfmt>
  <rfmt sheetId="23" sqref="M76" start="0" length="0">
    <dxf>
      <font>
        <b val="0"/>
        <sz val="9"/>
        <color auto="1"/>
        <name val="Arial"/>
        <family val="2"/>
        <scheme val="none"/>
      </font>
    </dxf>
  </rfmt>
  <rfmt sheetId="23" sqref="N76" start="0" length="0">
    <dxf>
      <font>
        <b val="0"/>
        <sz val="7"/>
        <family val="2"/>
      </font>
      <numFmt numFmtId="0" formatCode="General"/>
      <alignment horizontal="general"/>
    </dxf>
  </rfmt>
  <rfmt sheetId="23" sqref="K77" start="0" length="0">
    <dxf>
      <font>
        <sz val="9"/>
        <family val="2"/>
      </font>
      <fill>
        <patternFill patternType="none">
          <bgColor indexed="65"/>
        </patternFill>
      </fill>
      <alignment horizontal="general"/>
    </dxf>
  </rfmt>
  <rfmt sheetId="23" sqref="L77" start="0" length="0">
    <dxf>
      <font>
        <sz val="9"/>
        <color auto="1"/>
        <name val="Arial"/>
        <family val="2"/>
        <scheme val="none"/>
      </font>
    </dxf>
  </rfmt>
  <rfmt sheetId="23" sqref="M77" start="0" length="0">
    <dxf>
      <font>
        <b val="0"/>
        <sz val="9"/>
        <color auto="1"/>
        <name val="Arial"/>
        <family val="2"/>
        <scheme val="none"/>
      </font>
    </dxf>
  </rfmt>
  <rfmt sheetId="23" sqref="N77" start="0" length="0">
    <dxf>
      <font>
        <b val="0"/>
        <sz val="7"/>
        <family val="2"/>
      </font>
      <numFmt numFmtId="0" formatCode="General"/>
      <alignment horizontal="general"/>
    </dxf>
  </rfmt>
  <rfmt sheetId="23" s="1" sqref="K78" start="0" length="0">
    <dxf>
      <fill>
        <patternFill patternType="none">
          <bgColor indexed="65"/>
        </patternFill>
      </fill>
    </dxf>
  </rfmt>
  <rfmt sheetId="23" sqref="L78" start="0" length="0">
    <dxf>
      <font>
        <sz val="9"/>
        <color auto="1"/>
        <name val="Arial"/>
        <family val="2"/>
        <scheme val="none"/>
      </font>
    </dxf>
  </rfmt>
  <rfmt sheetId="23" sqref="N78" start="0" length="0">
    <dxf>
      <numFmt numFmtId="0" formatCode="General"/>
      <alignment horizontal="general"/>
    </dxf>
  </rfmt>
  <rfmt sheetId="23" s="1" sqref="K79" start="0" length="0">
    <dxf>
      <numFmt numFmtId="181" formatCode="_(* #,##0_);_(* \(#,##0\);_(* &quot;-&quot;??_);_(@_)"/>
      <fill>
        <patternFill patternType="none">
          <bgColor indexed="65"/>
        </patternFill>
      </fill>
    </dxf>
  </rfmt>
  <rfmt sheetId="23" sqref="L79" start="0" length="0">
    <dxf>
      <font>
        <sz val="9"/>
        <color auto="1"/>
        <name val="Arial"/>
        <family val="2"/>
        <scheme val="none"/>
      </font>
    </dxf>
  </rfmt>
  <rfmt sheetId="23" sqref="N79" start="0" length="0">
    <dxf>
      <numFmt numFmtId="0" formatCode="General"/>
      <alignment horizontal="general"/>
    </dxf>
  </rfmt>
  <rfmt sheetId="23" sqref="K80" start="0" length="0">
    <dxf>
      <font>
        <b val="0"/>
        <sz val="9"/>
        <family val="2"/>
      </font>
      <fill>
        <patternFill patternType="none">
          <bgColor indexed="65"/>
        </patternFill>
      </fill>
    </dxf>
  </rfmt>
  <rfmt sheetId="23" sqref="L80" start="0" length="0">
    <dxf>
      <font>
        <b val="0"/>
        <sz val="9"/>
        <color auto="1"/>
        <name val="Arial"/>
        <family val="2"/>
        <scheme val="none"/>
      </font>
    </dxf>
  </rfmt>
  <rfmt sheetId="23" sqref="N80" start="0" length="0">
    <dxf>
      <numFmt numFmtId="0" formatCode="General"/>
      <alignment horizontal="general"/>
    </dxf>
  </rfmt>
  <rfmt sheetId="23" sqref="L81" start="0" length="0">
    <dxf>
      <font>
        <sz val="9"/>
        <color auto="1"/>
        <name val="Arial"/>
        <family val="2"/>
        <scheme val="none"/>
      </font>
    </dxf>
  </rfmt>
  <rfmt sheetId="23" sqref="M81" start="0" length="0">
    <dxf>
      <alignment horizontal="center"/>
    </dxf>
  </rfmt>
  <rfmt sheetId="23" sqref="N81" start="0" length="0">
    <dxf>
      <numFmt numFmtId="0" formatCode="General"/>
      <alignment horizontal="general"/>
    </dxf>
  </rfmt>
  <rfmt sheetId="23" sqref="L82" start="0" length="0">
    <dxf>
      <font>
        <sz val="9"/>
        <color auto="1"/>
        <name val="Arial"/>
        <family val="2"/>
        <scheme val="none"/>
      </font>
      <numFmt numFmtId="0" formatCode="General"/>
    </dxf>
  </rfmt>
  <rfmt sheetId="23" sqref="M82" start="0" length="0">
    <dxf>
      <font>
        <b val="0"/>
        <sz val="9"/>
        <color auto="1"/>
        <name val="Arial"/>
        <family val="2"/>
        <scheme val="none"/>
      </font>
      <alignment horizontal="center"/>
    </dxf>
  </rfmt>
  <rfmt sheetId="23" sqref="N82" start="0" length="0">
    <dxf>
      <font>
        <b val="0"/>
        <sz val="7"/>
        <family val="2"/>
      </font>
      <numFmt numFmtId="0" formatCode="General"/>
      <alignment horizontal="general"/>
    </dxf>
  </rfmt>
  <rfmt sheetId="23" s="1" sqref="K83" start="0" length="0">
    <dxf>
      <font>
        <b val="0"/>
        <sz val="9"/>
        <color auto="1"/>
        <name val="Arial"/>
        <family val="2"/>
        <scheme val="none"/>
      </font>
      <numFmt numFmtId="181" formatCode="_(* #,##0_);_(* \(#,##0\);_(* &quot;-&quot;??_);_(@_)"/>
    </dxf>
  </rfmt>
  <rfmt sheetId="23" sqref="L83" start="0" length="0">
    <dxf>
      <font>
        <b val="0"/>
        <sz val="9"/>
        <color auto="1"/>
        <name val="Arial"/>
        <family val="2"/>
        <scheme val="none"/>
      </font>
    </dxf>
  </rfmt>
  <rfmt sheetId="23" sqref="M83" start="0" length="0">
    <dxf>
      <alignment horizontal="center"/>
    </dxf>
  </rfmt>
  <rfmt sheetId="23" sqref="N83" start="0" length="0">
    <dxf>
      <numFmt numFmtId="0" formatCode="General"/>
      <alignment horizontal="general"/>
    </dxf>
  </rfmt>
  <rfmt sheetId="23" sqref="K84" start="0" length="0">
    <dxf>
      <numFmt numFmtId="181" formatCode="_(* #,##0_);_(* \(#,##0\);_(* &quot;-&quot;??_);_(@_)"/>
    </dxf>
  </rfmt>
  <rfmt sheetId="23" sqref="L84" start="0" length="0">
    <dxf>
      <numFmt numFmtId="0" formatCode="General"/>
    </dxf>
  </rfmt>
  <rfmt sheetId="23" sqref="M84" start="0" length="0">
    <dxf>
      <alignment horizontal="general"/>
    </dxf>
  </rfmt>
  <rfmt sheetId="23" s="1" sqref="K85" start="0" length="0">
    <dxf>
      <font>
        <b/>
        <sz val="9"/>
        <color auto="1"/>
        <name val="Arial"/>
        <family val="2"/>
        <scheme val="none"/>
      </font>
      <numFmt numFmtId="35" formatCode="_(* #,##0.00_);_(* \(#,##0.00\);_(* &quot;-&quot;??_);_(@_)"/>
      <fill>
        <patternFill patternType="none">
          <bgColor indexed="65"/>
        </patternFill>
      </fill>
    </dxf>
  </rfmt>
  <rfmt sheetId="23" sqref="M85" start="0" length="0">
    <dxf>
      <fill>
        <patternFill patternType="none">
          <bgColor indexed="65"/>
        </patternFill>
      </fill>
      <alignment horizontal="general"/>
    </dxf>
  </rfmt>
  <rfmt sheetId="23" sqref="K86" start="0" length="0">
    <dxf>
      <fill>
        <patternFill patternType="none">
          <bgColor indexed="65"/>
        </patternFill>
      </fill>
    </dxf>
  </rfmt>
  <rfmt sheetId="23" sqref="L86" start="0" length="0">
    <dxf>
      <font>
        <b val="0"/>
        <sz val="9"/>
        <color auto="1"/>
        <name val="Arial"/>
        <family val="2"/>
        <scheme val="none"/>
      </font>
    </dxf>
  </rfmt>
  <rfmt sheetId="23" sqref="M86" start="0" length="0">
    <dxf>
      <fill>
        <patternFill patternType="none">
          <bgColor indexed="65"/>
        </patternFill>
      </fill>
      <alignment horizontal="general"/>
    </dxf>
  </rfmt>
  <rfmt sheetId="23" s="1" sqref="K87" start="0" length="0">
    <dxf>
      <numFmt numFmtId="182" formatCode="_(* #,##0.0_);_(* \(#,##0.0\);_(* &quot;-&quot;??_);_(@_)"/>
      <fill>
        <patternFill patternType="none">
          <bgColor indexed="65"/>
        </patternFill>
      </fill>
    </dxf>
  </rfmt>
  <rfmt sheetId="23" sqref="L87" start="0" length="0">
    <dxf>
      <font>
        <b val="0"/>
        <family val="2"/>
      </font>
    </dxf>
  </rfmt>
  <rfmt sheetId="23" sqref="M87" start="0" length="0">
    <dxf>
      <fill>
        <patternFill patternType="none">
          <bgColor indexed="65"/>
        </patternFill>
      </fill>
      <alignment horizontal="general"/>
    </dxf>
  </rfmt>
  <rfmt sheetId="23" s="1" sqref="K88" start="0" length="0">
    <dxf>
      <font>
        <b/>
        <sz val="9"/>
        <color auto="1"/>
        <name val="Arial"/>
        <family val="2"/>
        <scheme val="none"/>
      </font>
      <numFmt numFmtId="35" formatCode="_(* #,##0.00_);_(* \(#,##0.00\);_(* &quot;-&quot;??_);_(@_)"/>
      <fill>
        <patternFill patternType="none">
          <bgColor indexed="65"/>
        </patternFill>
      </fill>
      <border outline="0">
        <left style="thin">
          <color indexed="64"/>
        </left>
      </border>
    </dxf>
  </rfmt>
  <rfmt sheetId="23" sqref="M88" start="0" length="0">
    <dxf>
      <fill>
        <patternFill patternType="none">
          <bgColor indexed="65"/>
        </patternFill>
      </fill>
      <alignment horizontal="general"/>
    </dxf>
  </rfmt>
  <rfmt sheetId="23" s="1" sqref="K89" start="0" length="0">
    <dxf>
      <font>
        <b/>
        <sz val="9"/>
        <color auto="1"/>
        <name val="Arial"/>
        <family val="2"/>
        <scheme val="none"/>
      </font>
      <numFmt numFmtId="35" formatCode="_(* #,##0.00_);_(* \(#,##0.00\);_(* &quot;-&quot;??_);_(@_)"/>
      <fill>
        <patternFill patternType="solid">
          <bgColor rgb="FFFFC000"/>
        </patternFill>
      </fill>
      <border outline="0">
        <left style="thin">
          <color indexed="64"/>
        </left>
      </border>
    </dxf>
  </rfmt>
  <rfmt sheetId="23" sqref="M89" start="0" length="0">
    <dxf>
      <alignment horizontal="general"/>
    </dxf>
  </rfmt>
  <rfmt sheetId="23" sqref="K90" start="0" length="0">
    <dxf>
      <border outline="0">
        <left style="thin">
          <color indexed="64"/>
        </left>
      </border>
    </dxf>
  </rfmt>
  <rfmt sheetId="23" sqref="L90" start="0" length="0">
    <dxf>
      <numFmt numFmtId="0" formatCode="General"/>
      <alignment horizontal="general"/>
    </dxf>
  </rfmt>
  <rfmt sheetId="23" sqref="M90" start="0" length="0">
    <dxf/>
  </rfmt>
  <rfmt sheetId="23" sqref="K91" start="0" length="0">
    <dxf>
      <font>
        <b/>
        <sz val="9"/>
        <color auto="1"/>
        <name val="Arial"/>
        <family val="2"/>
        <scheme val="none"/>
      </font>
      <numFmt numFmtId="3" formatCode="#,##0"/>
      <fill>
        <patternFill patternType="solid">
          <bgColor rgb="FFFFC000"/>
        </patternFill>
      </fill>
      <alignment horizontal="right" vertical="bottom"/>
    </dxf>
  </rfmt>
  <rfmt sheetId="23" sqref="L91" start="0" length="0">
    <dxf>
      <font>
        <b/>
        <sz val="9"/>
        <color auto="1"/>
        <name val="Arial"/>
        <family val="2"/>
        <scheme val="none"/>
      </font>
      <numFmt numFmtId="0" formatCode="General"/>
      <fill>
        <patternFill patternType="solid">
          <bgColor rgb="FFFFC000"/>
        </patternFill>
      </fill>
      <alignment horizontal="general"/>
    </dxf>
  </rfmt>
  <rfmt sheetId="23" sqref="M91" start="0" length="0">
    <dxf>
      <fill>
        <patternFill patternType="solid">
          <bgColor rgb="FFFFC000"/>
        </patternFill>
      </fill>
    </dxf>
  </rfmt>
  <rfmt sheetId="23" sqref="N91" start="0" length="0">
    <dxf>
      <fill>
        <patternFill patternType="solid">
          <bgColor rgb="FFFFC000"/>
        </patternFill>
      </fill>
    </dxf>
  </rfmt>
  <rcc rId="62" sId="23">
    <oc r="K8">
      <v>3875.9587448773873</v>
    </oc>
    <nc r="K8"/>
  </rcc>
  <rcc rId="63" sId="23">
    <oc r="L8" t="inlineStr">
      <is>
        <r>
          <t>MgCO</t>
        </r>
        <r>
          <rPr>
            <vertAlign val="subscript"/>
            <sz val="9"/>
            <rFont val="Arial"/>
            <family val="2"/>
          </rPr>
          <t>2</t>
        </r>
        <r>
          <rPr>
            <sz val="9"/>
            <rFont val="Arial"/>
            <family val="2"/>
          </rPr>
          <t>e</t>
        </r>
      </is>
    </oc>
    <nc r="L8"/>
  </rcc>
  <rcc rId="64" sId="23">
    <oc r="M8" t="inlineStr">
      <is>
        <t xml:space="preserve">08-50-1 </t>
      </is>
    </oc>
    <nc r="M8"/>
  </rcc>
  <rcc rId="65" sId="23">
    <oc r="K9">
      <v>7.2</v>
    </oc>
    <nc r="K9"/>
  </rcc>
  <rcc rId="66" sId="23">
    <oc r="M9" t="inlineStr">
      <is>
        <t>08-50-1</t>
      </is>
    </oc>
    <nc r="M9"/>
  </rcc>
  <rcc rId="67" sId="23">
    <oc r="B13">
      <f>B9*B8</f>
    </oc>
    <nc r="B13">
      <f>B9*B8</f>
    </nc>
  </rcc>
  <rcc rId="68" sId="23">
    <oc r="F13">
      <f>F9*F8</f>
    </oc>
    <nc r="F13">
      <f>F9*F8</f>
    </nc>
  </rcc>
  <rfmt sheetId="23" sqref="I13" start="0" length="0">
    <dxf>
      <font>
        <b val="0"/>
        <sz val="7"/>
        <family val="2"/>
      </font>
    </dxf>
  </rfmt>
  <rcc rId="69" sId="23" numFmtId="34">
    <oc r="K13">
      <f>K9*K8</f>
    </oc>
    <nc r="K13">
      <v>6601.4188958662562</v>
    </nc>
  </rcc>
  <rcc rId="70" sId="23">
    <nc r="M13" t="inlineStr">
      <is>
        <t>KC50-</t>
      </is>
    </nc>
  </rcc>
  <rcc rId="71" sId="23">
    <oc r="K19">
      <v>0.95</v>
    </oc>
    <nc r="K19"/>
  </rcc>
  <rcc rId="72" sId="23">
    <oc r="M19" t="inlineStr">
      <is>
        <t>05-066</t>
      </is>
    </oc>
    <nc r="M19"/>
  </rcc>
  <rcc rId="73" sId="23">
    <oc r="B22">
      <f>B19*B13</f>
    </oc>
    <nc r="B22">
      <f>B19*B13</f>
    </nc>
  </rcc>
  <rcc rId="74" sId="23">
    <oc r="F22">
      <f>F19*F13</f>
    </oc>
    <nc r="F22">
      <f>F19*F13</f>
    </nc>
  </rcc>
  <rfmt sheetId="23" sqref="I22" start="0" length="0">
    <dxf>
      <font>
        <b val="0"/>
        <sz val="7"/>
        <family val="2"/>
      </font>
    </dxf>
  </rfmt>
  <rcc rId="75" sId="23" numFmtId="34">
    <oc r="K22">
      <f>K19*K13</f>
    </oc>
    <nc r="K22">
      <v>5272.6637405464426</v>
    </nc>
  </rcc>
  <rcc rId="76" sId="23">
    <oc r="L22" t="inlineStr">
      <is>
        <r>
          <t>MgCO</t>
        </r>
        <r>
          <rPr>
            <vertAlign val="subscript"/>
            <sz val="9"/>
            <rFont val="Arial"/>
            <family val="2"/>
          </rPr>
          <t>2</t>
        </r>
        <r>
          <rPr>
            <sz val="9"/>
            <rFont val="Arial"/>
            <family val="2"/>
          </rPr>
          <t>e</t>
        </r>
      </is>
    </oc>
    <nc r="L22" t="inlineStr">
      <is>
        <r>
          <t>MgCO</t>
        </r>
        <r>
          <rPr>
            <b/>
            <vertAlign val="subscript"/>
            <sz val="9"/>
            <rFont val="Arial"/>
            <family val="2"/>
          </rPr>
          <t>2</t>
        </r>
        <r>
          <rPr>
            <b/>
            <sz val="9"/>
            <rFont val="Arial"/>
            <family val="2"/>
          </rPr>
          <t>e</t>
        </r>
      </is>
    </nc>
  </rcc>
  <rfmt sheetId="23" sqref="A23" start="0" length="0">
    <dxf>
      <font>
        <sz val="9"/>
        <color auto="1"/>
        <name val="Arial"/>
        <family val="2"/>
        <scheme val="none"/>
      </font>
    </dxf>
  </rfmt>
  <rcc rId="77" sId="23">
    <oc r="K28">
      <v>0.17</v>
    </oc>
    <nc r="K28"/>
  </rcc>
  <rcc rId="78" sId="23">
    <oc r="M28" t="inlineStr">
      <is>
        <t>05-066</t>
      </is>
    </oc>
    <nc r="M28"/>
  </rcc>
  <rcc rId="79" sId="23">
    <oc r="B31">
      <f>B28*B13</f>
    </oc>
    <nc r="B31">
      <f>B28*B13</f>
    </nc>
  </rcc>
  <rcc rId="80" sId="23">
    <oc r="F31">
      <f>F28*F13</f>
    </oc>
    <nc r="F31">
      <f>F28*F13</f>
    </nc>
  </rcc>
  <rfmt sheetId="23" sqref="I31" start="0" length="0">
    <dxf>
      <font>
        <b val="0"/>
        <sz val="7"/>
        <family val="2"/>
      </font>
    </dxf>
  </rfmt>
  <rcc rId="81" sId="23" numFmtId="34">
    <oc r="K31">
      <f>K28*K13</f>
    </oc>
    <nc r="K31">
      <v>991.45173861295916</v>
    </nc>
  </rcc>
  <rcc rId="82" sId="23">
    <oc r="L31" t="inlineStr">
      <is>
        <r>
          <t>MgCO</t>
        </r>
        <r>
          <rPr>
            <vertAlign val="subscript"/>
            <sz val="9"/>
            <rFont val="Arial"/>
            <family val="2"/>
          </rPr>
          <t>2</t>
        </r>
        <r>
          <rPr>
            <sz val="9"/>
            <rFont val="Arial"/>
            <family val="2"/>
          </rPr>
          <t>e</t>
        </r>
      </is>
    </oc>
    <nc r="L31" t="inlineStr">
      <is>
        <r>
          <t>MgCO</t>
        </r>
        <r>
          <rPr>
            <b/>
            <vertAlign val="subscript"/>
            <sz val="9"/>
            <rFont val="Arial"/>
            <family val="2"/>
          </rPr>
          <t>2</t>
        </r>
        <r>
          <rPr>
            <b/>
            <sz val="9"/>
            <rFont val="Arial"/>
            <family val="2"/>
          </rPr>
          <t>e</t>
        </r>
      </is>
    </nc>
  </rcc>
  <rcc rId="83" sId="23">
    <oc r="K37">
      <v>0.1</v>
    </oc>
    <nc r="K37"/>
  </rcc>
  <rcc rId="84" sId="23">
    <oc r="M37" t="inlineStr">
      <is>
        <t>05-066</t>
      </is>
    </oc>
    <nc r="M37"/>
  </rcc>
  <rcc rId="85" sId="23">
    <oc r="K40">
      <v>55</v>
    </oc>
    <nc r="K40"/>
  </rcc>
  <rcc rId="86" sId="23">
    <oc r="L40" t="inlineStr">
      <is>
        <t>acre</t>
      </is>
    </oc>
    <nc r="L40"/>
  </rcc>
  <rcc rId="87" sId="23">
    <oc r="M40" t="inlineStr">
      <is>
        <t>05-015</t>
      </is>
    </oc>
    <nc r="M40"/>
  </rcc>
  <rcc rId="88" sId="23">
    <oc r="K41">
      <v>20</v>
    </oc>
    <nc r="K41"/>
  </rcc>
  <rcc rId="89" sId="23">
    <oc r="L41" t="inlineStr">
      <is>
        <t>acre</t>
      </is>
    </oc>
    <nc r="L41"/>
  </rcc>
  <rcc rId="90" sId="23">
    <oc r="M41" t="inlineStr">
      <is>
        <t>05-015</t>
      </is>
    </oc>
    <nc r="M41"/>
  </rcc>
  <rcc rId="91" sId="23">
    <oc r="B42">
      <f>B41/B40</f>
    </oc>
    <nc r="B42">
      <f>B41/B40</f>
    </nc>
  </rcc>
  <rcc rId="92" sId="23">
    <oc r="F42">
      <f>F41/F40</f>
    </oc>
    <nc r="F42">
      <f>F41/F40</f>
    </nc>
  </rcc>
  <rcc rId="93" sId="23">
    <oc r="K42">
      <f>K41/K40</f>
    </oc>
    <nc r="K42"/>
  </rcc>
  <rcc rId="94" sId="23">
    <oc r="B45">
      <f>B42*B13</f>
    </oc>
    <nc r="B45">
      <f>B42*B13</f>
    </nc>
  </rcc>
  <rcc rId="95" sId="23">
    <oc r="F45">
      <f>F42*F13</f>
    </oc>
    <nc r="F45">
      <f>F42*F13</f>
    </nc>
  </rcc>
  <rfmt sheetId="23" sqref="I45" start="0" length="0">
    <dxf>
      <font>
        <b val="0"/>
        <sz val="7"/>
        <family val="2"/>
      </font>
    </dxf>
  </rfmt>
  <rcc rId="96" sId="23" numFmtId="34">
    <oc r="K45">
      <f>K42*K13</f>
    </oc>
    <nc r="K45">
      <v>1182.8126128506847</v>
    </nc>
  </rcc>
  <rcc rId="97" sId="23">
    <oc r="L45" t="inlineStr">
      <is>
        <r>
          <t>MgCO</t>
        </r>
        <r>
          <rPr>
            <vertAlign val="subscript"/>
            <sz val="9"/>
            <rFont val="Arial"/>
            <family val="2"/>
          </rPr>
          <t>2</t>
        </r>
        <r>
          <rPr>
            <sz val="9"/>
            <rFont val="Arial"/>
            <family val="2"/>
          </rPr>
          <t>e</t>
        </r>
      </is>
    </oc>
    <nc r="L45" t="inlineStr">
      <is>
        <r>
          <t>MgCO</t>
        </r>
        <r>
          <rPr>
            <b/>
            <vertAlign val="subscript"/>
            <sz val="9"/>
            <rFont val="Arial"/>
            <family val="2"/>
          </rPr>
          <t>2</t>
        </r>
        <r>
          <rPr>
            <b/>
            <sz val="9"/>
            <rFont val="Arial"/>
            <family val="2"/>
          </rPr>
          <t>e</t>
        </r>
      </is>
    </nc>
  </rcc>
  <rcc rId="98" sId="23" odxf="1" dxf="1">
    <oc r="A48" t="inlineStr">
      <is>
        <t>Montlake</t>
      </is>
    </oc>
    <nc r="A48"/>
    <odxf>
      <font>
        <b/>
        <family val="2"/>
      </font>
      <numFmt numFmtId="0" formatCode="General"/>
      <fill>
        <patternFill patternType="solid">
          <bgColor indexed="50"/>
        </patternFill>
      </fill>
    </odxf>
    <ndxf>
      <font>
        <b val="0"/>
        <family val="2"/>
      </font>
      <numFmt numFmtId="30" formatCode="@"/>
      <fill>
        <patternFill patternType="none">
          <bgColor indexed="65"/>
        </patternFill>
      </fill>
    </ndxf>
  </rcc>
  <rfmt sheetId="23" sqref="C48" start="0" length="0">
    <dxf>
      <font>
        <sz val="9"/>
        <color auto="1"/>
        <name val="Arial"/>
        <family val="2"/>
        <scheme val="none"/>
      </font>
    </dxf>
  </rfmt>
  <rfmt sheetId="23" sqref="D48" start="0" length="0">
    <dxf>
      <font>
        <sz val="9"/>
        <color auto="1"/>
        <name val="Arial"/>
        <family val="2"/>
        <scheme val="none"/>
      </font>
      <numFmt numFmtId="0" formatCode="General"/>
    </dxf>
  </rfmt>
  <rfmt sheetId="23" sqref="E48" start="0" length="0">
    <dxf>
      <numFmt numFmtId="0" formatCode="General"/>
      <alignment horizontal="general"/>
    </dxf>
  </rfmt>
  <rfmt sheetId="23" sqref="G48" start="0" length="0">
    <dxf>
      <font>
        <sz val="9"/>
        <color auto="1"/>
        <name val="Arial"/>
        <family val="2"/>
        <scheme val="none"/>
      </font>
    </dxf>
  </rfmt>
  <rfmt sheetId="23" sqref="H48" start="0" length="0">
    <dxf>
      <font>
        <sz val="9"/>
        <color auto="1"/>
        <name val="Arial"/>
        <family val="2"/>
        <scheme val="none"/>
      </font>
    </dxf>
  </rfmt>
  <rfmt sheetId="23" sqref="I48" start="0" length="0">
    <dxf>
      <alignment horizontal="general"/>
    </dxf>
  </rfmt>
  <rfmt sheetId="23" sqref="J48" start="0" length="0">
    <dxf>
      <font>
        <sz val="9"/>
        <color auto="1"/>
        <name val="Arial"/>
        <family val="2"/>
        <scheme val="none"/>
      </font>
      <alignment horizontal="general"/>
    </dxf>
  </rfmt>
  <rfmt sheetId="23" sqref="O48" start="0" length="0">
    <dxf>
      <alignment horizontal="general"/>
    </dxf>
  </rfmt>
  <rfmt sheetId="23" sqref="P48" start="0" length="0">
    <dxf>
      <alignment horizontal="general"/>
    </dxf>
  </rfmt>
  <rfmt sheetId="23" sqref="Q48" start="0" length="0">
    <dxf>
      <alignment horizontal="general"/>
    </dxf>
  </rfmt>
  <rcc rId="99" sId="23" odxf="1" dxf="1">
    <oc r="A49" t="inlineStr">
      <is>
        <t>Source data</t>
      </is>
    </oc>
    <nc r="A49" t="inlineStr">
      <is>
        <t xml:space="preserve">West Seattle </t>
      </is>
    </nc>
    <odxf>
      <numFmt numFmtId="30" formatCode="@"/>
      <fill>
        <patternFill>
          <bgColor theme="0" tint="-0.249977111117893"/>
        </patternFill>
      </fill>
    </odxf>
    <ndxf>
      <numFmt numFmtId="0" formatCode="General"/>
      <fill>
        <patternFill>
          <bgColor indexed="50"/>
        </patternFill>
      </fill>
    </ndxf>
  </rcc>
  <rfmt sheetId="23" sqref="B49" start="0" length="0">
    <dxf>
      <numFmt numFmtId="3" formatCode="#,##0"/>
    </dxf>
  </rfmt>
  <rfmt sheetId="23" sqref="C49" start="0" length="0">
    <dxf/>
  </rfmt>
  <rfmt sheetId="23" sqref="F49" start="0" length="0">
    <dxf>
      <numFmt numFmtId="3" formatCode="#,##0"/>
    </dxf>
  </rfmt>
  <rfmt sheetId="23" sqref="G49" start="0" length="0">
    <dxf>
      <font>
        <sz val="9"/>
        <color auto="1"/>
        <name val="Arial"/>
        <family val="2"/>
        <scheme val="none"/>
      </font>
      <numFmt numFmtId="0" formatCode="General"/>
      <alignment horizontal="general"/>
    </dxf>
  </rfmt>
  <rfmt sheetId="23" sqref="H49" start="0" length="0">
    <dxf>
      <font>
        <b val="0"/>
        <sz val="9"/>
        <color auto="1"/>
        <name val="Arial"/>
        <family val="2"/>
        <scheme val="none"/>
      </font>
    </dxf>
  </rfmt>
  <rfmt sheetId="23" sqref="I49" start="0" length="0">
    <dxf>
      <font>
        <b val="0"/>
        <sz val="7"/>
        <family val="2"/>
      </font>
      <alignment horizontal="general"/>
    </dxf>
  </rfmt>
  <rfmt sheetId="23" sqref="J49" start="0" length="0">
    <dxf>
      <font>
        <b val="0"/>
        <sz val="9"/>
        <color auto="1"/>
        <name val="Arial"/>
        <family val="2"/>
        <scheme val="none"/>
      </font>
      <alignment horizontal="general"/>
    </dxf>
  </rfmt>
  <rfmt sheetId="23" sqref="O49" start="0" length="0">
    <dxf>
      <font>
        <b val="0"/>
        <sz val="7"/>
        <family val="2"/>
      </font>
      <alignment horizontal="general"/>
    </dxf>
  </rfmt>
  <rfmt sheetId="23" sqref="P49" start="0" length="0">
    <dxf>
      <font>
        <b val="0"/>
        <sz val="7"/>
        <family val="2"/>
      </font>
      <alignment horizontal="general"/>
    </dxf>
  </rfmt>
  <rfmt sheetId="23" sqref="Q49" start="0" length="0">
    <dxf>
      <font>
        <b val="0"/>
        <sz val="7"/>
        <family val="2"/>
      </font>
      <alignment horizontal="general"/>
    </dxf>
  </rfmt>
  <rcc rId="100" sId="23" odxf="1" dxf="1">
    <oc r="A50" t="inlineStr">
      <is>
        <t>background info</t>
      </is>
    </oc>
    <nc r="A50" t="inlineStr">
      <is>
        <t>Soure data</t>
      </is>
    </nc>
    <odxf>
      <font>
        <b val="0"/>
        <color indexed="8"/>
        <family val="2"/>
      </font>
      <fill>
        <patternFill patternType="none">
          <bgColor indexed="65"/>
        </patternFill>
      </fill>
      <alignment vertical="top" wrapText="1"/>
    </odxf>
    <ndxf>
      <font>
        <b/>
        <color indexed="8"/>
        <family val="2"/>
      </font>
      <fill>
        <patternFill patternType="solid">
          <bgColor theme="0" tint="-0.249977111117893"/>
        </patternFill>
      </fill>
      <alignment vertical="bottom" wrapText="0"/>
    </ndxf>
  </rcc>
  <rfmt sheetId="23" sqref="B50" start="0" length="0">
    <dxf>
      <numFmt numFmtId="3" formatCode="#,##0"/>
    </dxf>
  </rfmt>
  <rfmt sheetId="23" sqref="C50" start="0" length="0">
    <dxf/>
  </rfmt>
  <rfmt sheetId="23" sqref="F50" start="0" length="0">
    <dxf>
      <numFmt numFmtId="3" formatCode="#,##0"/>
    </dxf>
  </rfmt>
  <rfmt sheetId="23" sqref="G50" start="0" length="0">
    <dxf/>
  </rfmt>
  <rfmt sheetId="23" sqref="H50" start="0" length="0">
    <dxf>
      <font>
        <sz val="9"/>
        <color auto="1"/>
        <name val="Arial"/>
        <family val="2"/>
        <scheme val="none"/>
      </font>
      <numFmt numFmtId="30" formatCode="@"/>
    </dxf>
  </rfmt>
  <rfmt sheetId="23" sqref="I50" start="0" length="0">
    <dxf>
      <numFmt numFmtId="30" formatCode="@"/>
      <alignment horizontal="center"/>
    </dxf>
  </rfmt>
  <rfmt sheetId="23" sqref="J50" start="0" length="0">
    <dxf>
      <font>
        <sz val="9"/>
        <color auto="1"/>
        <name val="Arial"/>
        <family val="2"/>
        <scheme val="none"/>
      </font>
      <numFmt numFmtId="30" formatCode="@"/>
      <alignment horizontal="center"/>
    </dxf>
  </rfmt>
  <rfmt sheetId="23" sqref="O50" start="0" length="0">
    <dxf>
      <numFmt numFmtId="30" formatCode="@"/>
      <alignment horizontal="center"/>
    </dxf>
  </rfmt>
  <rfmt sheetId="23" sqref="P50" start="0" length="0">
    <dxf>
      <numFmt numFmtId="30" formatCode="@"/>
      <alignment horizontal="center"/>
    </dxf>
  </rfmt>
  <rfmt sheetId="23" sqref="Q50" start="0" length="0">
    <dxf>
      <numFmt numFmtId="30" formatCode="@"/>
      <alignment horizontal="center"/>
    </dxf>
  </rfmt>
  <rcc rId="101" sId="23" odxf="1" dxf="1">
    <oc r="A51" t="inlineStr">
      <is>
        <t>landfill mass</t>
      </is>
    </oc>
    <nc r="A51" t="inlineStr">
      <is>
        <t>West Seattle emissions monitoring</t>
      </is>
    </nc>
    <odxf>
      <font>
        <color indexed="8"/>
        <family val="2"/>
      </font>
      <alignment wrapText="1" indent="1"/>
    </odxf>
    <ndxf>
      <font>
        <color indexed="8"/>
        <family val="2"/>
      </font>
      <alignment wrapText="0" indent="0"/>
    </ndxf>
  </rcc>
  <rcc rId="102" sId="23" odxf="1" dxf="1" numFmtId="4">
    <oc r="B51">
      <v>1805665.4588951999</v>
    </oc>
    <nc r="B51"/>
    <odxf>
      <font>
        <color indexed="8"/>
        <family val="2"/>
      </font>
    </odxf>
    <ndxf>
      <font>
        <sz val="9"/>
        <color auto="1"/>
        <name val="Arial"/>
        <family val="2"/>
        <scheme val="none"/>
      </font>
    </ndxf>
  </rcc>
  <rcc rId="103" sId="23" odxf="1" dxf="1">
    <oc r="C51" t="inlineStr">
      <is>
        <t>Mg</t>
      </is>
    </oc>
    <nc r="C51"/>
    <odxf>
      <font>
        <color indexed="8"/>
        <family val="2"/>
      </font>
      <numFmt numFmtId="0" formatCode="General"/>
    </odxf>
    <ndxf>
      <font>
        <color indexed="8"/>
        <family val="2"/>
      </font>
      <numFmt numFmtId="3" formatCode="#,##0"/>
    </ndxf>
  </rcc>
  <rcc rId="104" sId="23" odxf="1" dxf="1">
    <oc r="D51" t="inlineStr">
      <is>
        <t>08-50-6</t>
      </is>
    </oc>
    <nc r="D51"/>
    <odxf>
      <font>
        <color indexed="8"/>
        <family val="2"/>
      </font>
    </odxf>
    <ndxf>
      <font>
        <sz val="9"/>
        <color auto="1"/>
        <name val="Arial"/>
        <family val="2"/>
        <scheme val="none"/>
      </font>
    </ndxf>
  </rcc>
  <rfmt sheetId="23" sqref="E51" start="0" length="0">
    <dxf>
      <font>
        <sz val="7"/>
        <color indexed="8"/>
        <family val="2"/>
      </font>
    </dxf>
  </rfmt>
  <rcc rId="105" sId="23" odxf="1" dxf="1" numFmtId="4">
    <oc r="F51">
      <v>1805665.4588951999</v>
    </oc>
    <nc r="F51"/>
    <odxf>
      <font>
        <color indexed="8"/>
        <family val="2"/>
      </font>
    </odxf>
    <ndxf>
      <font>
        <sz val="9"/>
        <color auto="1"/>
        <name val="Arial"/>
        <family val="2"/>
        <scheme val="none"/>
      </font>
    </ndxf>
  </rcc>
  <rcc rId="106" sId="23" odxf="1" dxf="1">
    <oc r="G51" t="inlineStr">
      <is>
        <t>Mg</t>
      </is>
    </oc>
    <nc r="G51"/>
    <odxf>
      <font>
        <color indexed="8"/>
        <family val="2"/>
      </font>
      <numFmt numFmtId="0" formatCode="General"/>
    </odxf>
    <ndxf>
      <font>
        <color indexed="8"/>
        <family val="2"/>
      </font>
      <numFmt numFmtId="3" formatCode="#,##0"/>
    </ndxf>
  </rcc>
  <rcc rId="107" sId="23" odxf="1" dxf="1">
    <oc r="H51" t="inlineStr">
      <is>
        <t>08-50-6</t>
      </is>
    </oc>
    <nc r="H51"/>
    <odxf>
      <font>
        <color indexed="8"/>
        <family val="2"/>
      </font>
    </odxf>
    <ndxf>
      <font>
        <sz val="9"/>
        <color auto="1"/>
        <name val="Arial"/>
        <family val="2"/>
        <scheme val="none"/>
      </font>
    </ndxf>
  </rcc>
  <rfmt sheetId="23" sqref="I51" start="0" length="0">
    <dxf>
      <font>
        <sz val="7"/>
        <color indexed="8"/>
        <family val="2"/>
      </font>
    </dxf>
  </rfmt>
  <rfmt sheetId="23" sqref="J51" start="0" length="0">
    <dxf>
      <font>
        <sz val="9"/>
        <color auto="1"/>
        <name val="Arial"/>
        <family val="2"/>
        <scheme val="none"/>
      </font>
    </dxf>
  </rfmt>
  <rcc rId="108" sId="23">
    <oc r="K51">
      <v>1805665.4588951999</v>
    </oc>
    <nc r="K51"/>
  </rcc>
  <rcc rId="109" sId="23">
    <oc r="L51" t="inlineStr">
      <is>
        <t>Mg</t>
      </is>
    </oc>
    <nc r="L51"/>
  </rcc>
  <rcc rId="110" sId="23">
    <oc r="M51" t="inlineStr">
      <is>
        <t>08-50-6</t>
      </is>
    </oc>
    <nc r="M51"/>
  </rcc>
  <rfmt sheetId="23" sqref="O51" start="0" length="0">
    <dxf>
      <font>
        <sz val="7"/>
        <color indexed="8"/>
        <family val="2"/>
      </font>
    </dxf>
  </rfmt>
  <rfmt sheetId="23" sqref="P51" start="0" length="0">
    <dxf>
      <font>
        <sz val="7"/>
        <color indexed="8"/>
        <family val="2"/>
      </font>
    </dxf>
  </rfmt>
  <rfmt sheetId="23" sqref="Q51" start="0" length="0">
    <dxf>
      <font>
        <sz val="7"/>
        <color indexed="8"/>
        <family val="2"/>
      </font>
    </dxf>
  </rfmt>
  <rcc rId="111" sId="23" odxf="1" dxf="1">
    <oc r="A52" t="inlineStr">
      <is>
        <t>landfill opening year</t>
      </is>
    </oc>
    <nc r="A52" t="inlineStr">
      <is>
        <t>system methane concentration</t>
      </is>
    </nc>
    <odxf>
      <font>
        <color indexed="8"/>
        <family val="2"/>
      </font>
      <alignment wrapText="1"/>
    </odxf>
    <ndxf>
      <font>
        <color indexed="8"/>
        <family val="2"/>
      </font>
      <alignment wrapText="0"/>
    </ndxf>
  </rcc>
  <rcc rId="112" sId="23" odxf="1" dxf="1" numFmtId="14">
    <oc r="B52">
      <v>1958</v>
    </oc>
    <nc r="B52">
      <v>8.3000000000000004E-2</v>
    </nc>
    <odxf>
      <font>
        <color indexed="8"/>
        <family val="2"/>
      </font>
      <numFmt numFmtId="1" formatCode="0"/>
    </odxf>
    <ndxf>
      <font>
        <sz val="9"/>
        <color auto="1"/>
        <name val="Arial"/>
        <family val="2"/>
        <scheme val="none"/>
      </font>
      <numFmt numFmtId="178" formatCode="0.0%"/>
    </ndxf>
  </rcc>
  <rfmt sheetId="23" sqref="C52" start="0" length="0">
    <dxf>
      <font>
        <sz val="9"/>
        <color auto="1"/>
        <name val="Arial"/>
        <family val="2"/>
        <scheme val="none"/>
      </font>
    </dxf>
  </rfmt>
  <rcc rId="113" sId="23" odxf="1" dxf="1">
    <oc r="D52" t="inlineStr">
      <is>
        <t>08-50-6</t>
      </is>
    </oc>
    <nc r="D52" t="inlineStr">
      <is>
        <t xml:space="preserve">05-174 </t>
      </is>
    </nc>
    <odxf>
      <font>
        <color indexed="8"/>
        <family val="2"/>
      </font>
    </odxf>
    <ndxf>
      <font>
        <color indexed="8"/>
        <family val="2"/>
      </font>
    </ndxf>
  </rcc>
  <rcc rId="114" sId="23" odxf="1" dxf="1">
    <nc r="E52" t="inlineStr">
      <is>
        <t>fourth quarter average, p. 2</t>
      </is>
    </nc>
    <odxf>
      <font>
        <sz val="7"/>
        <color indexed="8"/>
        <family val="2"/>
      </font>
    </odxf>
    <ndxf>
      <font>
        <sz val="7"/>
        <color indexed="8"/>
        <family val="2"/>
      </font>
    </ndxf>
  </rcc>
  <rcc rId="115" sId="23" odxf="1" dxf="1" numFmtId="14">
    <oc r="F52">
      <v>1958</v>
    </oc>
    <nc r="F52">
      <v>7.4999999999999997E-2</v>
    </nc>
    <odxf>
      <font>
        <color indexed="8"/>
        <family val="2"/>
      </font>
      <numFmt numFmtId="1" formatCode="0"/>
    </odxf>
    <ndxf>
      <font>
        <sz val="9"/>
        <color auto="1"/>
        <name val="Arial"/>
        <family val="2"/>
        <scheme val="none"/>
      </font>
      <numFmt numFmtId="178" formatCode="0.0%"/>
    </ndxf>
  </rcc>
  <rfmt sheetId="23" sqref="G52" start="0" length="0">
    <dxf>
      <font>
        <sz val="9"/>
        <color auto="1"/>
        <name val="Arial"/>
        <family val="2"/>
        <scheme val="none"/>
      </font>
    </dxf>
  </rfmt>
  <rcc rId="116" sId="23" odxf="1" dxf="1">
    <oc r="H52" t="inlineStr">
      <is>
        <t>08-50-6</t>
      </is>
    </oc>
    <nc r="H52" t="inlineStr">
      <is>
        <t xml:space="preserve">08-50-2 </t>
      </is>
    </nc>
    <odxf>
      <font>
        <color indexed="8"/>
        <family val="2"/>
      </font>
      <numFmt numFmtId="30" formatCode="@"/>
    </odxf>
    <ndxf>
      <font>
        <color indexed="8"/>
        <family val="2"/>
      </font>
      <numFmt numFmtId="165" formatCode="#,##0.0"/>
    </ndxf>
  </rcc>
  <rcc rId="117" sId="23" odxf="1" dxf="1">
    <nc r="I52" t="inlineStr">
      <is>
        <t>fourth quarter average pg 2</t>
      </is>
    </nc>
    <odxf>
      <font>
        <sz val="7"/>
        <color indexed="8"/>
        <family val="2"/>
      </font>
      <numFmt numFmtId="30" formatCode="@"/>
      <alignment wrapText="0"/>
    </odxf>
    <ndxf>
      <font>
        <sz val="7"/>
        <color indexed="8"/>
        <family val="2"/>
      </font>
      <numFmt numFmtId="165" formatCode="#,##0.0"/>
      <alignment wrapText="1"/>
    </ndxf>
  </rcc>
  <rfmt sheetId="23" sqref="J52" start="0" length="0">
    <dxf>
      <font>
        <sz val="9"/>
        <color auto="1"/>
        <name val="Arial"/>
        <family val="2"/>
        <scheme val="none"/>
      </font>
      <numFmt numFmtId="165" formatCode="#,##0.0"/>
      <alignment wrapText="1"/>
    </dxf>
  </rfmt>
  <rcc rId="118" sId="23">
    <oc r="K52">
      <v>1958</v>
    </oc>
    <nc r="K52"/>
  </rcc>
  <rcc rId="119" sId="23">
    <oc r="M52" t="inlineStr">
      <is>
        <t>08-50-6</t>
      </is>
    </oc>
    <nc r="M52"/>
  </rcc>
  <rfmt sheetId="23" sqref="O52" start="0" length="0">
    <dxf>
      <font>
        <sz val="7"/>
        <color indexed="8"/>
        <family val="2"/>
      </font>
      <numFmt numFmtId="165" formatCode="#,##0.0"/>
      <alignment wrapText="1"/>
    </dxf>
  </rfmt>
  <rfmt sheetId="23" sqref="P52" start="0" length="0">
    <dxf>
      <font>
        <sz val="7"/>
        <color indexed="8"/>
        <family val="2"/>
      </font>
      <numFmt numFmtId="165" formatCode="#,##0.0"/>
      <alignment wrapText="1"/>
    </dxf>
  </rfmt>
  <rfmt sheetId="23" sqref="Q52" start="0" length="0">
    <dxf>
      <font>
        <sz val="7"/>
        <color indexed="8"/>
        <family val="2"/>
      </font>
      <numFmt numFmtId="165" formatCode="#,##0.0"/>
      <alignment wrapText="1"/>
    </dxf>
  </rfmt>
  <rcc rId="120" sId="23" odxf="1" dxf="1">
    <oc r="A53" t="inlineStr">
      <is>
        <t>landfill closing year</t>
      </is>
    </oc>
    <nc r="A53" t="inlineStr">
      <is>
        <t>system flow</t>
      </is>
    </nc>
    <odxf>
      <font>
        <color indexed="8"/>
        <family val="2"/>
      </font>
      <alignment wrapText="1"/>
    </odxf>
    <ndxf>
      <font>
        <color indexed="8"/>
        <family val="2"/>
      </font>
      <alignment wrapText="0"/>
    </ndxf>
  </rcc>
  <rcc rId="121" sId="23" odxf="1" dxf="1" numFmtId="4">
    <oc r="B53">
      <v>1966</v>
    </oc>
    <nc r="B53">
      <v>127</v>
    </nc>
    <odxf>
      <font>
        <color indexed="8"/>
        <family val="2"/>
      </font>
      <numFmt numFmtId="1" formatCode="0"/>
    </odxf>
    <ndxf>
      <font>
        <sz val="9"/>
        <color auto="1"/>
        <name val="Arial"/>
        <family val="2"/>
        <scheme val="none"/>
      </font>
      <numFmt numFmtId="3" formatCode="#,##0"/>
    </ndxf>
  </rcc>
  <rcc rId="122" sId="23" odxf="1" dxf="1">
    <nc r="C53" t="inlineStr">
      <is>
        <r>
          <t>ft</t>
        </r>
        <r>
          <rPr>
            <vertAlign val="superscript"/>
            <sz val="9"/>
            <rFont val="Arial"/>
            <family val="2"/>
          </rPr>
          <t>3</t>
        </r>
        <r>
          <rPr>
            <sz val="9"/>
            <rFont val="Arial"/>
            <family val="2"/>
          </rPr>
          <t>/min</t>
        </r>
      </is>
    </nc>
    <odxf>
      <font>
        <color indexed="8"/>
        <family val="2"/>
      </font>
    </odxf>
    <ndxf>
      <font>
        <color indexed="8"/>
        <family val="2"/>
      </font>
    </ndxf>
  </rcc>
  <rcc rId="123" sId="23" odxf="1" dxf="1">
    <oc r="D53" t="inlineStr">
      <is>
        <t>08-50-6</t>
      </is>
    </oc>
    <nc r="D53" t="inlineStr">
      <is>
        <t>05-174</t>
      </is>
    </nc>
    <odxf>
      <font>
        <color indexed="8"/>
        <family val="2"/>
      </font>
    </odxf>
    <ndxf>
      <font>
        <color indexed="8"/>
        <family val="2"/>
      </font>
    </ndxf>
  </rcc>
  <rfmt sheetId="23" sqref="E53" start="0" length="0">
    <dxf>
      <font>
        <sz val="7"/>
        <color indexed="8"/>
        <family val="2"/>
      </font>
    </dxf>
  </rfmt>
  <rcc rId="124" sId="23" odxf="1" dxf="1" numFmtId="4">
    <oc r="F53">
      <v>1966</v>
    </oc>
    <nc r="F53">
      <v>130</v>
    </nc>
    <odxf>
      <font>
        <color indexed="8"/>
        <family val="2"/>
      </font>
      <numFmt numFmtId="1" formatCode="0"/>
    </odxf>
    <ndxf>
      <font>
        <sz val="9"/>
        <color auto="1"/>
        <name val="Arial"/>
        <family val="2"/>
        <scheme val="none"/>
      </font>
      <numFmt numFmtId="3" formatCode="#,##0"/>
    </ndxf>
  </rcc>
  <rcc rId="125" sId="23" odxf="1" dxf="1">
    <nc r="G53" t="inlineStr">
      <is>
        <r>
          <t>ft</t>
        </r>
        <r>
          <rPr>
            <vertAlign val="superscript"/>
            <sz val="9"/>
            <rFont val="Arial"/>
            <family val="2"/>
          </rPr>
          <t>3</t>
        </r>
        <r>
          <rPr>
            <sz val="9"/>
            <rFont val="Arial"/>
            <family val="2"/>
          </rPr>
          <t>/min</t>
        </r>
      </is>
    </nc>
    <odxf>
      <font>
        <color indexed="8"/>
        <family val="2"/>
      </font>
    </odxf>
    <ndxf>
      <font>
        <color indexed="8"/>
        <family val="2"/>
      </font>
    </ndxf>
  </rcc>
  <rcc rId="126" sId="23" odxf="1" dxf="1">
    <oc r="H53" t="inlineStr">
      <is>
        <t>08-50-6</t>
      </is>
    </oc>
    <nc r="H53" t="inlineStr">
      <is>
        <t xml:space="preserve">08-50-2 </t>
      </is>
    </nc>
    <odxf>
      <font>
        <color indexed="8"/>
        <family val="2"/>
      </font>
    </odxf>
    <ndxf>
      <font>
        <color indexed="8"/>
        <family val="2"/>
      </font>
    </ndxf>
  </rcc>
  <rcc rId="127" sId="23" odxf="1" dxf="1">
    <nc r="I53" t="inlineStr">
      <is>
        <t>pg 2</t>
      </is>
    </nc>
    <odxf>
      <font>
        <sz val="7"/>
        <color indexed="8"/>
        <family val="2"/>
      </font>
      <alignment horizontal="center"/>
    </odxf>
    <ndxf>
      <font>
        <sz val="7"/>
        <color indexed="8"/>
        <family val="2"/>
      </font>
      <alignment horizontal="left"/>
    </ndxf>
  </rcc>
  <rfmt sheetId="23" sqref="J53" start="0" length="0">
    <dxf>
      <font>
        <sz val="9"/>
        <color auto="1"/>
        <name val="Arial"/>
        <family val="2"/>
        <scheme val="none"/>
      </font>
      <alignment horizontal="left"/>
    </dxf>
  </rfmt>
  <rcc rId="128" sId="23">
    <oc r="K53">
      <v>1966</v>
    </oc>
    <nc r="K53"/>
  </rcc>
  <rcc rId="129" sId="23">
    <oc r="M53" t="inlineStr">
      <is>
        <t>08-50-6</t>
      </is>
    </oc>
    <nc r="M53"/>
  </rcc>
  <rfmt sheetId="23" sqref="O53" start="0" length="0">
    <dxf>
      <font>
        <sz val="7"/>
        <color indexed="8"/>
        <family val="2"/>
      </font>
      <alignment horizontal="left"/>
    </dxf>
  </rfmt>
  <rfmt sheetId="23" sqref="P53" start="0" length="0">
    <dxf>
      <font>
        <sz val="7"/>
        <color indexed="8"/>
        <family val="2"/>
      </font>
      <alignment horizontal="left"/>
    </dxf>
  </rfmt>
  <rfmt sheetId="23" sqref="Q53" start="0" length="0">
    <dxf>
      <font>
        <sz val="7"/>
        <color indexed="8"/>
        <family val="2"/>
      </font>
      <alignment horizontal="left"/>
    </dxf>
  </rfmt>
  <rcc rId="130" sId="23" odxf="1" dxf="1">
    <oc r="A54" t="inlineStr">
      <is>
        <t>lifetime</t>
      </is>
    </oc>
    <nc r="A54"/>
    <odxf>
      <font>
        <color indexed="8"/>
        <family val="2"/>
      </font>
      <alignment indent="1"/>
    </odxf>
    <ndxf>
      <font>
        <sz val="9"/>
        <color auto="1"/>
        <name val="Arial"/>
        <family val="2"/>
        <scheme val="none"/>
      </font>
      <alignment indent="2"/>
    </ndxf>
  </rcc>
  <rfmt sheetId="23" sqref="B54" start="0" length="0">
    <dxf>
      <numFmt numFmtId="3" formatCode="#,##0"/>
    </dxf>
  </rfmt>
  <rfmt sheetId="23" sqref="C54" start="0" length="0">
    <dxf>
      <numFmt numFmtId="3" formatCode="#,##0"/>
    </dxf>
  </rfmt>
  <rfmt sheetId="23" sqref="D54" start="0" length="0">
    <dxf>
      <numFmt numFmtId="30" formatCode="@"/>
    </dxf>
  </rfmt>
  <rfmt sheetId="23" sqref="E54" start="0" length="0">
    <dxf>
      <numFmt numFmtId="30" formatCode="@"/>
      <alignment horizontal="center"/>
    </dxf>
  </rfmt>
  <rfmt sheetId="23" sqref="F54" start="0" length="0">
    <dxf>
      <numFmt numFmtId="3" formatCode="#,##0"/>
    </dxf>
  </rfmt>
  <rfmt sheetId="23" sqref="G54" start="0" length="0">
    <dxf>
      <font>
        <b/>
        <sz val="9"/>
        <color auto="1"/>
        <name val="Arial"/>
        <family val="2"/>
        <scheme val="none"/>
      </font>
    </dxf>
  </rfmt>
  <rfmt sheetId="23" sqref="H54" start="0" length="0">
    <dxf>
      <font>
        <b val="0"/>
        <sz val="9"/>
        <color auto="1"/>
        <name val="Arial"/>
        <family val="2"/>
        <scheme val="none"/>
      </font>
      <numFmt numFmtId="0" formatCode="General"/>
    </dxf>
  </rfmt>
  <rfmt sheetId="23" sqref="I54" start="0" length="0">
    <dxf>
      <font>
        <b val="0"/>
        <sz val="7"/>
        <family val="2"/>
      </font>
      <numFmt numFmtId="0" formatCode="General"/>
      <alignment horizontal="general"/>
    </dxf>
  </rfmt>
  <rfmt sheetId="23" sqref="J54" start="0" length="0">
    <dxf>
      <font>
        <b val="0"/>
        <sz val="9"/>
        <color auto="1"/>
        <name val="Arial"/>
        <family val="2"/>
        <scheme val="none"/>
      </font>
      <numFmt numFmtId="0" formatCode="General"/>
      <alignment horizontal="general"/>
    </dxf>
  </rfmt>
  <rfmt sheetId="23" sqref="O54" start="0" length="0">
    <dxf>
      <font>
        <b val="0"/>
        <sz val="7"/>
        <family val="2"/>
      </font>
      <numFmt numFmtId="0" formatCode="General"/>
      <alignment horizontal="general"/>
    </dxf>
  </rfmt>
  <rfmt sheetId="23" sqref="P54" start="0" length="0">
    <dxf>
      <font>
        <b val="0"/>
        <sz val="7"/>
        <family val="2"/>
      </font>
      <numFmt numFmtId="0" formatCode="General"/>
      <alignment horizontal="general"/>
    </dxf>
  </rfmt>
  <rfmt sheetId="23" sqref="Q54" start="0" length="0">
    <dxf>
      <font>
        <b val="0"/>
        <sz val="7"/>
        <family val="2"/>
      </font>
      <numFmt numFmtId="0" formatCode="General"/>
      <alignment horizontal="general"/>
    </dxf>
  </rfmt>
  <rcc rId="131" sId="23" odxf="1" dxf="1">
    <oc r="A55" t="inlineStr">
      <is>
        <t>annual dump rate R</t>
      </is>
    </oc>
    <nc r="A55" t="inlineStr">
      <is>
        <t>Calculation steps</t>
      </is>
    </nc>
    <odxf>
      <font>
        <b val="0"/>
        <color indexed="8"/>
        <family val="2"/>
      </font>
      <fill>
        <patternFill patternType="none">
          <bgColor indexed="65"/>
        </patternFill>
      </fill>
      <alignment vertical="top" wrapText="1" indent="1"/>
    </odxf>
    <ndxf>
      <font>
        <b/>
        <color indexed="8"/>
        <family val="2"/>
      </font>
      <fill>
        <patternFill patternType="solid">
          <bgColor rgb="FF00B0F0"/>
        </patternFill>
      </fill>
      <alignment vertical="bottom" wrapText="0" indent="0"/>
    </ndxf>
  </rcc>
  <rfmt sheetId="23" s="1" sqref="B55" start="0" length="0">
    <dxf>
      <font>
        <b/>
        <sz val="9"/>
        <color auto="1"/>
        <name val="Arial"/>
        <family val="2"/>
        <scheme val="none"/>
      </font>
      <numFmt numFmtId="181" formatCode="_(* #,##0_);_(* \(#,##0\);_(* &quot;-&quot;??_);_(@_)"/>
      <alignment horizontal="left"/>
    </dxf>
  </rfmt>
  <rfmt sheetId="23" sqref="C55" start="0" length="0">
    <dxf>
      <font>
        <b/>
        <sz val="9"/>
        <color auto="1"/>
        <name val="Arial"/>
        <family val="2"/>
        <scheme val="none"/>
      </font>
      <numFmt numFmtId="30" formatCode="@"/>
      <alignment horizontal="left"/>
    </dxf>
  </rfmt>
  <rfmt sheetId="23" sqref="D55" start="0" length="0">
    <dxf>
      <font>
        <b/>
        <sz val="9"/>
        <color auto="1"/>
        <name val="Arial"/>
        <family val="2"/>
        <scheme val="none"/>
      </font>
      <numFmt numFmtId="30" formatCode="@"/>
    </dxf>
  </rfmt>
  <rfmt sheetId="23" sqref="E55" start="0" length="0">
    <dxf>
      <font>
        <b/>
        <sz val="7"/>
        <family val="2"/>
      </font>
      <numFmt numFmtId="30" formatCode="@"/>
      <alignment horizontal="left"/>
    </dxf>
  </rfmt>
  <rfmt sheetId="23" s="1" sqref="F55" start="0" length="0">
    <dxf>
      <font>
        <b/>
        <sz val="9"/>
        <color auto="1"/>
        <name val="Arial"/>
        <family val="2"/>
        <scheme val="none"/>
      </font>
      <numFmt numFmtId="181" formatCode="_(* #,##0_);_(* \(#,##0\);_(* &quot;-&quot;??_);_(@_)"/>
      <alignment horizontal="left"/>
    </dxf>
  </rfmt>
  <rfmt sheetId="23" sqref="G55" start="0" length="0">
    <dxf>
      <font>
        <b/>
        <sz val="9"/>
        <color auto="1"/>
        <name val="Arial"/>
        <family val="2"/>
        <scheme val="none"/>
      </font>
      <numFmt numFmtId="30" formatCode="@"/>
      <alignment horizontal="left"/>
    </dxf>
  </rfmt>
  <rfmt sheetId="23" sqref="J55" start="0" length="0">
    <dxf>
      <font>
        <b val="0"/>
        <sz val="9"/>
        <color auto="1"/>
        <name val="Arial"/>
        <family val="2"/>
        <scheme val="none"/>
      </font>
    </dxf>
  </rfmt>
  <rcc rId="132" sId="23" odxf="1" dxf="1">
    <oc r="A56" t="inlineStr">
      <is>
        <r>
          <t>methane generation potential L</t>
        </r>
        <r>
          <rPr>
            <vertAlign val="subscript"/>
            <sz val="9"/>
            <rFont val="Arial"/>
            <family val="2"/>
          </rPr>
          <t>0</t>
        </r>
      </is>
    </oc>
    <nc r="A56" t="inlineStr">
      <is>
        <t>1. Convert to L/day</t>
      </is>
    </nc>
    <odxf>
      <font>
        <color indexed="8"/>
        <family val="2"/>
      </font>
      <alignment vertical="top" wrapText="1" indent="1"/>
    </odxf>
    <ndxf>
      <font>
        <color indexed="8"/>
        <family val="2"/>
      </font>
      <alignment vertical="bottom" wrapText="0" indent="0"/>
    </ndxf>
  </rcc>
  <rcc rId="133" sId="23" odxf="1" s="1" dxf="1" numFmtId="34">
    <oc r="B56">
      <v>100</v>
    </oc>
    <nc r="B56">
      <f>B53*ft3TOL/minTOday</f>
    </nc>
    <odxf>
      <font>
        <b val="0"/>
        <i val="0"/>
        <strike val="0"/>
        <condense val="0"/>
        <extend val="0"/>
        <outline val="0"/>
        <shadow val="0"/>
        <u val="none"/>
        <vertAlign val="baseline"/>
        <sz val="9"/>
        <color indexed="8"/>
        <name val="Arial"/>
        <family val="2"/>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181" formatCode="_(* #,##0_);_(* \(#,##0\);_(* &quot;-&quot;??_);_(@_)"/>
      <alignment horizontal="left"/>
    </ndxf>
  </rcc>
  <rcc rId="134" sId="23" odxf="1" dxf="1">
    <oc r="C56" t="inlineStr">
      <is>
        <r>
          <t>m</t>
        </r>
        <r>
          <rPr>
            <vertAlign val="superscript"/>
            <sz val="9"/>
            <rFont val="Arial"/>
            <family val="2"/>
          </rPr>
          <t>3</t>
        </r>
        <r>
          <rPr>
            <sz val="9"/>
            <color indexed="8"/>
            <rFont val="Arial"/>
            <family val="2"/>
          </rPr>
          <t>/Mg</t>
        </r>
      </is>
    </oc>
    <nc r="C56" t="inlineStr">
      <is>
        <t>L/day</t>
      </is>
    </nc>
    <odxf>
      <font>
        <color indexed="8"/>
        <family val="2"/>
      </font>
    </odxf>
    <ndxf>
      <font>
        <color indexed="8"/>
        <family val="2"/>
      </font>
    </ndxf>
  </rcc>
  <rcc rId="135" sId="23" odxf="1" dxf="1">
    <oc r="D56" t="inlineStr">
      <is>
        <t>08-50-6</t>
      </is>
    </oc>
    <nc r="D56"/>
    <odxf>
      <font>
        <b val="0"/>
        <color indexed="8"/>
        <family val="2"/>
      </font>
    </odxf>
    <ndxf>
      <font>
        <b/>
        <color indexed="8"/>
        <family val="2"/>
      </font>
    </ndxf>
  </rcc>
  <rfmt sheetId="23" sqref="E56" start="0" length="0">
    <dxf>
      <font>
        <b/>
        <sz val="7"/>
        <color indexed="8"/>
        <family val="2"/>
      </font>
      <alignment horizontal="left"/>
    </dxf>
  </rfmt>
  <rcc rId="136" sId="23" odxf="1" s="1" dxf="1" numFmtId="34">
    <oc r="F56">
      <v>100</v>
    </oc>
    <nc r="F56">
      <f>F53*ft3TOL/minTOday</f>
    </nc>
    <odxf>
      <font>
        <b val="0"/>
        <i val="0"/>
        <strike val="0"/>
        <condense val="0"/>
        <extend val="0"/>
        <outline val="0"/>
        <shadow val="0"/>
        <u val="none"/>
        <vertAlign val="baseline"/>
        <sz val="9"/>
        <color indexed="8"/>
        <name val="Arial"/>
        <family val="2"/>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181" formatCode="_(* #,##0_);_(* \(#,##0\);_(* &quot;-&quot;??_);_(@_)"/>
      <alignment horizontal="left"/>
    </ndxf>
  </rcc>
  <rcc rId="137" sId="23" odxf="1" dxf="1">
    <oc r="G56" t="inlineStr">
      <is>
        <r>
          <t>m</t>
        </r>
        <r>
          <rPr>
            <vertAlign val="superscript"/>
            <sz val="9"/>
            <rFont val="Arial"/>
            <family val="2"/>
          </rPr>
          <t>3</t>
        </r>
        <r>
          <rPr>
            <sz val="9"/>
            <color indexed="8"/>
            <rFont val="Arial"/>
            <family val="2"/>
          </rPr>
          <t>/Mg</t>
        </r>
      </is>
    </oc>
    <nc r="G56" t="inlineStr">
      <is>
        <t>L/day</t>
      </is>
    </nc>
    <odxf>
      <font>
        <color indexed="8"/>
        <family val="2"/>
      </font>
    </odxf>
    <ndxf>
      <font>
        <color indexed="8"/>
        <family val="2"/>
      </font>
    </ndxf>
  </rcc>
  <rcc rId="138" sId="23" odxf="1" dxf="1">
    <oc r="H56" t="inlineStr">
      <is>
        <t>08-50-6</t>
      </is>
    </oc>
    <nc r="H56"/>
    <odxf>
      <font>
        <b val="0"/>
        <family val="2"/>
      </font>
    </odxf>
    <ndxf>
      <font>
        <b/>
        <family val="2"/>
      </font>
    </ndxf>
  </rcc>
  <rfmt sheetId="23" sqref="I56" start="0" length="0">
    <dxf>
      <font>
        <b/>
        <sz val="7"/>
        <family val="2"/>
      </font>
      <alignment horizontal="left"/>
    </dxf>
  </rfmt>
  <rfmt sheetId="23" sqref="J56" start="0" length="0">
    <dxf>
      <font>
        <sz val="9"/>
        <color auto="1"/>
        <name val="Arial"/>
        <family val="2"/>
        <scheme val="none"/>
      </font>
      <alignment horizontal="left"/>
    </dxf>
  </rfmt>
  <rcc rId="139" sId="23">
    <oc r="K56">
      <v>100</v>
    </oc>
    <nc r="K56"/>
  </rcc>
  <rcc rId="140" sId="23">
    <oc r="L56" t="inlineStr">
      <is>
        <r>
          <t>m</t>
        </r>
        <r>
          <rPr>
            <vertAlign val="superscript"/>
            <sz val="9"/>
            <rFont val="Arial"/>
            <family val="2"/>
          </rPr>
          <t>3</t>
        </r>
        <r>
          <rPr>
            <sz val="9"/>
            <color indexed="8"/>
            <rFont val="Arial"/>
            <family val="2"/>
          </rPr>
          <t>/Mg</t>
        </r>
      </is>
    </oc>
    <nc r="L56"/>
  </rcc>
  <rcc rId="141" sId="23">
    <oc r="M56" t="inlineStr">
      <is>
        <t>08-50-6</t>
      </is>
    </oc>
    <nc r="M56"/>
  </rcc>
  <rfmt sheetId="23" sqref="O56" start="0" length="0">
    <dxf>
      <font>
        <b/>
        <sz val="7"/>
        <family val="2"/>
      </font>
      <alignment horizontal="left"/>
    </dxf>
  </rfmt>
  <rfmt sheetId="23" sqref="P56" start="0" length="0">
    <dxf>
      <font>
        <b/>
        <sz val="7"/>
        <family val="2"/>
      </font>
      <alignment horizontal="left"/>
    </dxf>
  </rfmt>
  <rfmt sheetId="23" sqref="Q56" start="0" length="0">
    <dxf>
      <font>
        <b/>
        <sz val="7"/>
        <family val="2"/>
      </font>
      <alignment horizontal="left"/>
    </dxf>
  </rfmt>
  <rcc rId="142" sId="23" odxf="1" dxf="1">
    <oc r="A57" t="inlineStr">
      <is>
        <t>rate constant k</t>
      </is>
    </oc>
    <nc r="A57" t="inlineStr">
      <is>
        <t>2. Calculate methane flow</t>
      </is>
    </nc>
    <odxf>
      <font>
        <color indexed="8"/>
        <family val="2"/>
      </font>
      <alignment wrapText="1" indent="1"/>
    </odxf>
    <ndxf>
      <font>
        <color indexed="8"/>
        <family val="2"/>
      </font>
      <alignment wrapText="0" indent="0"/>
    </ndxf>
  </rcc>
  <rcc rId="143" sId="23" odxf="1" dxf="1" numFmtId="34">
    <oc r="B57">
      <v>5.7000000000000002E-2</v>
    </oc>
    <nc r="B57">
      <f>B56*B52*densityCH4</f>
    </nc>
    <odxf>
      <font>
        <color indexed="8"/>
        <family val="2"/>
      </font>
      <numFmt numFmtId="164" formatCode="#,##0.000"/>
    </odxf>
    <ndxf>
      <font>
        <sz val="9"/>
        <color auto="1"/>
        <name val="Arial"/>
        <family val="2"/>
        <scheme val="none"/>
      </font>
      <numFmt numFmtId="181" formatCode="_(* #,##0_);_(* \(#,##0\);_(* &quot;-&quot;??_);_(@_)"/>
    </ndxf>
  </rcc>
  <rcc rId="144" sId="23" odxf="1" dxf="1">
    <oc r="C57" t="inlineStr">
      <is>
        <r>
          <t>yr</t>
        </r>
        <r>
          <rPr>
            <vertAlign val="superscript"/>
            <sz val="9"/>
            <rFont val="Arial"/>
            <family val="2"/>
          </rPr>
          <t>-1</t>
        </r>
      </is>
    </oc>
    <nc r="C57" t="inlineStr">
      <is>
        <t>g/day</t>
      </is>
    </nc>
    <odxf>
      <font>
        <color indexed="8"/>
        <family val="2"/>
      </font>
    </odxf>
    <ndxf>
      <font>
        <color indexed="8"/>
        <family val="2"/>
      </font>
    </ndxf>
  </rcc>
  <rcc rId="145" sId="23" odxf="1" dxf="1">
    <oc r="D57" t="inlineStr">
      <is>
        <t>08-50-6</t>
      </is>
    </oc>
    <nc r="D57"/>
    <odxf>
      <font>
        <color indexed="8"/>
        <family val="2"/>
      </font>
    </odxf>
    <ndxf>
      <font>
        <sz val="9"/>
        <color auto="1"/>
        <name val="Arial"/>
        <family val="2"/>
        <scheme val="none"/>
      </font>
    </ndxf>
  </rcc>
  <rfmt sheetId="23" sqref="E57" start="0" length="0">
    <dxf>
      <font>
        <sz val="7"/>
        <color indexed="8"/>
        <family val="2"/>
      </font>
    </dxf>
  </rfmt>
  <rcc rId="146" sId="23" odxf="1" dxf="1" numFmtId="34">
    <oc r="F57">
      <v>5.7000000000000002E-2</v>
    </oc>
    <nc r="F57">
      <f>F56*F52*densityCH4</f>
    </nc>
    <odxf>
      <font>
        <color indexed="8"/>
        <family val="2"/>
      </font>
      <numFmt numFmtId="164" formatCode="#,##0.000"/>
    </odxf>
    <ndxf>
      <font>
        <sz val="9"/>
        <color auto="1"/>
        <name val="Arial"/>
        <family val="2"/>
        <scheme val="none"/>
      </font>
      <numFmt numFmtId="181" formatCode="_(* #,##0_);_(* \(#,##0\);_(* &quot;-&quot;??_);_(@_)"/>
    </ndxf>
  </rcc>
  <rcc rId="147" sId="23" odxf="1" dxf="1">
    <oc r="G57" t="inlineStr">
      <is>
        <r>
          <t>yr</t>
        </r>
        <r>
          <rPr>
            <vertAlign val="superscript"/>
            <sz val="9"/>
            <rFont val="Arial"/>
            <family val="2"/>
          </rPr>
          <t>-1</t>
        </r>
      </is>
    </oc>
    <nc r="G57" t="inlineStr">
      <is>
        <t>g/day</t>
      </is>
    </nc>
    <odxf>
      <font>
        <color indexed="8"/>
        <family val="2"/>
      </font>
    </odxf>
    <ndxf>
      <font>
        <color indexed="8"/>
        <family val="2"/>
      </font>
    </ndxf>
  </rcc>
  <rcc rId="148" sId="23" odxf="1" dxf="1">
    <oc r="H57" t="inlineStr">
      <is>
        <t>08-50-6</t>
      </is>
    </oc>
    <nc r="H57"/>
    <odxf>
      <font>
        <family val="2"/>
      </font>
    </odxf>
    <ndxf>
      <font>
        <sz val="9"/>
        <color auto="1"/>
        <name val="Arial"/>
        <family val="2"/>
        <scheme val="none"/>
      </font>
    </ndxf>
  </rcc>
  <rfmt sheetId="23" sqref="J57" start="0" length="0">
    <dxf>
      <font>
        <sz val="9"/>
        <color auto="1"/>
        <name val="Arial"/>
        <family val="2"/>
        <scheme val="none"/>
      </font>
    </dxf>
  </rfmt>
  <rcc rId="149" sId="23">
    <oc r="K57">
      <v>5.7000000000000002E-2</v>
    </oc>
    <nc r="K57"/>
  </rcc>
  <rcc rId="150" sId="23">
    <oc r="L57" t="inlineStr">
      <is>
        <r>
          <t>yr</t>
        </r>
        <r>
          <rPr>
            <vertAlign val="superscript"/>
            <sz val="9"/>
            <rFont val="Arial"/>
            <family val="2"/>
          </rPr>
          <t>-1</t>
        </r>
      </is>
    </oc>
    <nc r="L57"/>
  </rcc>
  <rcc rId="151" sId="23">
    <oc r="M57" t="inlineStr">
      <is>
        <t>08-50-6</t>
      </is>
    </oc>
    <nc r="M57"/>
  </rcc>
  <rcc rId="152" sId="23" odxf="1" dxf="1">
    <oc r="A58" t="inlineStr">
      <is>
        <t xml:space="preserve">(ref) Methane Kinetics Formula </t>
      </is>
    </oc>
    <nc r="A58" t="inlineStr">
      <is>
        <t>3. Convert methane flow to mg/yr</t>
      </is>
    </nc>
    <odxf>
      <font>
        <color indexed="8"/>
        <family val="2"/>
      </font>
    </odxf>
    <ndxf>
      <font>
        <color indexed="8"/>
        <family val="2"/>
      </font>
    </ndxf>
  </rcc>
  <rcc rId="153" sId="23" odxf="1" dxf="1">
    <oc r="B58" t="inlineStr">
      <is>
        <r>
          <t>Q= L</t>
        </r>
        <r>
          <rPr>
            <vertAlign val="subscript"/>
            <sz val="9"/>
            <color indexed="8"/>
            <rFont val="Arial"/>
            <family val="2"/>
          </rPr>
          <t>0</t>
        </r>
        <r>
          <rPr>
            <sz val="9"/>
            <color indexed="8"/>
            <rFont val="Arial"/>
            <family val="2"/>
          </rPr>
          <t>R(e</t>
        </r>
        <r>
          <rPr>
            <vertAlign val="superscript"/>
            <sz val="9"/>
            <color indexed="8"/>
            <rFont val="Arial"/>
            <family val="2"/>
          </rPr>
          <t>-kc</t>
        </r>
        <r>
          <rPr>
            <sz val="9"/>
            <color indexed="8"/>
            <rFont val="Arial"/>
            <family val="2"/>
          </rPr>
          <t xml:space="preserve"> - e</t>
        </r>
        <r>
          <rPr>
            <vertAlign val="superscript"/>
            <sz val="9"/>
            <color indexed="8"/>
            <rFont val="Arial"/>
            <family val="2"/>
          </rPr>
          <t>-kt</t>
        </r>
        <r>
          <rPr>
            <sz val="9"/>
            <color indexed="8"/>
            <rFont val="Arial"/>
            <family val="2"/>
          </rPr>
          <t>)</t>
        </r>
      </is>
    </oc>
    <nc r="B58">
      <f>B57/(dayTOyr)/1000000</f>
    </nc>
    <odxf>
      <font>
        <color indexed="8"/>
        <family val="2"/>
      </font>
      <numFmt numFmtId="164" formatCode="#,##0.000"/>
    </odxf>
    <ndxf>
      <font>
        <sz val="9"/>
        <color auto="1"/>
        <name val="Arial"/>
        <family val="2"/>
        <scheme val="none"/>
      </font>
      <numFmt numFmtId="1" formatCode="0"/>
    </ndxf>
  </rcc>
  <rcc rId="154" sId="23" odxf="1" dxf="1">
    <nc r="C58" t="inlineStr">
      <is>
        <t>Mg/yr</t>
      </is>
    </nc>
    <odxf>
      <font>
        <color indexed="8"/>
        <family val="2"/>
      </font>
    </odxf>
    <ndxf>
      <font>
        <color indexed="8"/>
        <family val="2"/>
      </font>
    </ndxf>
  </rcc>
  <rcc rId="155" sId="23" odxf="1" dxf="1">
    <oc r="D58" t="inlineStr">
      <is>
        <t>08-50-6</t>
      </is>
    </oc>
    <nc r="D58"/>
    <odxf>
      <font>
        <color indexed="8"/>
        <family val="2"/>
      </font>
    </odxf>
    <ndxf>
      <font>
        <sz val="9"/>
        <color auto="1"/>
        <name val="Arial"/>
        <family val="2"/>
        <scheme val="none"/>
      </font>
    </ndxf>
  </rcc>
  <rfmt sheetId="23" sqref="E58" start="0" length="0">
    <dxf>
      <font>
        <sz val="7"/>
        <color indexed="8"/>
        <family val="2"/>
      </font>
    </dxf>
  </rfmt>
  <rcc rId="156" sId="23" odxf="1" dxf="1">
    <oc r="F58" t="inlineStr">
      <is>
        <r>
          <t>Q= L</t>
        </r>
        <r>
          <rPr>
            <vertAlign val="subscript"/>
            <sz val="9"/>
            <color indexed="8"/>
            <rFont val="Arial"/>
            <family val="2"/>
          </rPr>
          <t>0</t>
        </r>
        <r>
          <rPr>
            <sz val="9"/>
            <color indexed="8"/>
            <rFont val="Arial"/>
            <family val="2"/>
          </rPr>
          <t>R(e</t>
        </r>
        <r>
          <rPr>
            <vertAlign val="superscript"/>
            <sz val="9"/>
            <color indexed="8"/>
            <rFont val="Arial"/>
            <family val="2"/>
          </rPr>
          <t>-kc</t>
        </r>
        <r>
          <rPr>
            <sz val="9"/>
            <color indexed="8"/>
            <rFont val="Arial"/>
            <family val="2"/>
          </rPr>
          <t xml:space="preserve"> - e</t>
        </r>
        <r>
          <rPr>
            <vertAlign val="superscript"/>
            <sz val="9"/>
            <color indexed="8"/>
            <rFont val="Arial"/>
            <family val="2"/>
          </rPr>
          <t>-kt</t>
        </r>
        <r>
          <rPr>
            <sz val="9"/>
            <color indexed="8"/>
            <rFont val="Arial"/>
            <family val="2"/>
          </rPr>
          <t>)</t>
        </r>
      </is>
    </oc>
    <nc r="F58">
      <f>F57/(dayTOyr)/1000000</f>
    </nc>
    <odxf>
      <font>
        <color indexed="8"/>
        <family val="2"/>
      </font>
      <numFmt numFmtId="164" formatCode="#,##0.000"/>
    </odxf>
    <ndxf>
      <font>
        <sz val="9"/>
        <color auto="1"/>
        <name val="Arial"/>
        <family val="2"/>
        <scheme val="none"/>
      </font>
      <numFmt numFmtId="1" formatCode="0"/>
    </ndxf>
  </rcc>
  <rcc rId="157" sId="23" odxf="1" dxf="1">
    <nc r="G58" t="inlineStr">
      <is>
        <t>Mg/yr</t>
      </is>
    </nc>
    <odxf>
      <font>
        <color indexed="8"/>
        <family val="2"/>
      </font>
    </odxf>
    <ndxf>
      <font>
        <color indexed="8"/>
        <family val="2"/>
      </font>
    </ndxf>
  </rcc>
  <rcc rId="158" sId="23" odxf="1" dxf="1">
    <oc r="H58" t="inlineStr">
      <is>
        <t>08-50-6</t>
      </is>
    </oc>
    <nc r="H58"/>
    <odxf>
      <font>
        <color indexed="8"/>
        <family val="2"/>
      </font>
    </odxf>
    <ndxf>
      <font>
        <sz val="9"/>
        <color auto="1"/>
        <name val="Arial"/>
        <family val="2"/>
        <scheme val="none"/>
      </font>
    </ndxf>
  </rcc>
  <rfmt sheetId="23" sqref="I58" start="0" length="0">
    <dxf>
      <font>
        <sz val="7"/>
        <color indexed="8"/>
        <family val="2"/>
      </font>
    </dxf>
  </rfmt>
  <rfmt sheetId="23" sqref="J58" start="0" length="0">
    <dxf>
      <font>
        <sz val="9"/>
        <color auto="1"/>
        <name val="Arial"/>
        <family val="2"/>
        <scheme val="none"/>
      </font>
    </dxf>
  </rfmt>
  <rcc rId="159" sId="23">
    <oc r="K58" t="inlineStr">
      <is>
        <r>
          <t>Q= L</t>
        </r>
        <r>
          <rPr>
            <vertAlign val="subscript"/>
            <sz val="9"/>
            <color indexed="8"/>
            <rFont val="Arial"/>
            <family val="2"/>
          </rPr>
          <t>0</t>
        </r>
        <r>
          <rPr>
            <sz val="9"/>
            <color indexed="8"/>
            <rFont val="Arial"/>
            <family val="2"/>
          </rPr>
          <t>R(e</t>
        </r>
        <r>
          <rPr>
            <vertAlign val="superscript"/>
            <sz val="9"/>
            <color indexed="8"/>
            <rFont val="Arial"/>
            <family val="2"/>
          </rPr>
          <t>-kc</t>
        </r>
        <r>
          <rPr>
            <sz val="9"/>
            <color indexed="8"/>
            <rFont val="Arial"/>
            <family val="2"/>
          </rPr>
          <t xml:space="preserve"> - e</t>
        </r>
        <r>
          <rPr>
            <vertAlign val="superscript"/>
            <sz val="9"/>
            <color indexed="8"/>
            <rFont val="Arial"/>
            <family val="2"/>
          </rPr>
          <t>-kt</t>
        </r>
        <r>
          <rPr>
            <sz val="9"/>
            <color indexed="8"/>
            <rFont val="Arial"/>
            <family val="2"/>
          </rPr>
          <t>)</t>
        </r>
      </is>
    </oc>
    <nc r="K58"/>
  </rcc>
  <rcc rId="160" sId="23">
    <oc r="M58" t="inlineStr">
      <is>
        <t>08-50-6</t>
      </is>
    </oc>
    <nc r="M58"/>
  </rcc>
  <rfmt sheetId="23" sqref="O58" start="0" length="0">
    <dxf>
      <font>
        <sz val="7"/>
        <color indexed="8"/>
        <family val="2"/>
      </font>
    </dxf>
  </rfmt>
  <rfmt sheetId="23" sqref="P58" start="0" length="0">
    <dxf>
      <font>
        <sz val="7"/>
        <color indexed="8"/>
        <family val="2"/>
      </font>
    </dxf>
  </rfmt>
  <rfmt sheetId="23" sqref="Q58" start="0" length="0">
    <dxf>
      <font>
        <sz val="7"/>
        <color indexed="8"/>
        <family val="2"/>
      </font>
    </dxf>
  </rfmt>
  <rcc rId="161" sId="23" odxf="1" dxf="1">
    <oc r="A59" t="inlineStr">
      <is>
        <t>Calculation year</t>
      </is>
    </oc>
    <nc r="A59" t="inlineStr">
      <is>
        <t>4. Calculate methane emissions</t>
      </is>
    </nc>
    <odxf>
      <font>
        <b val="0"/>
        <color indexed="8"/>
        <family val="2"/>
      </font>
      <alignment vertical="top" wrapText="1"/>
    </odxf>
    <ndxf>
      <font>
        <b/>
        <color indexed="8"/>
        <family val="2"/>
      </font>
      <alignment vertical="bottom" wrapText="0"/>
    </ndxf>
  </rcc>
  <rcc rId="162" sId="23" odxf="1" dxf="1">
    <oc r="B59" t="inlineStr">
      <is>
        <t>2003</t>
      </is>
    </oc>
    <nc r="B59">
      <f>B58*GWPCH4</f>
    </nc>
    <odxf>
      <font>
        <b val="0"/>
        <sz val="9"/>
        <family val="2"/>
      </font>
      <numFmt numFmtId="30" formatCode="@"/>
      <fill>
        <patternFill patternType="none">
          <bgColor indexed="65"/>
        </patternFill>
      </fill>
      <alignment horizontal="right"/>
    </odxf>
    <ndxf>
      <font>
        <b/>
        <sz val="9"/>
        <family val="2"/>
      </font>
      <numFmt numFmtId="181" formatCode="_(* #,##0_);_(* \(#,##0\);_(* &quot;-&quot;??_);_(@_)"/>
      <fill>
        <patternFill patternType="solid">
          <bgColor rgb="FFFFC000"/>
        </patternFill>
      </fill>
      <alignment horizontal="general"/>
    </ndxf>
  </rcc>
  <rcc rId="163" sId="23" odxf="1" dxf="1">
    <nc r="C59" t="inlineStr">
      <is>
        <r>
          <t>MgCO</t>
        </r>
        <r>
          <rPr>
            <vertAlign val="subscript"/>
            <sz val="9"/>
            <rFont val="Arial"/>
            <family val="2"/>
          </rPr>
          <t>2</t>
        </r>
        <r>
          <rPr>
            <sz val="9"/>
            <rFont val="Arial"/>
            <family val="2"/>
          </rPr>
          <t>e</t>
        </r>
      </is>
    </nc>
    <odxf>
      <numFmt numFmtId="30" formatCode="@"/>
      <alignment horizontal="left"/>
    </odxf>
    <ndxf>
      <numFmt numFmtId="0" formatCode="General"/>
      <alignment horizontal="general"/>
    </ndxf>
  </rcc>
  <rfmt sheetId="23" sqref="D59" start="0" length="0">
    <dxf>
      <numFmt numFmtId="0" formatCode="General"/>
    </dxf>
  </rfmt>
  <rfmt sheetId="23" sqref="E59" start="0" length="0">
    <dxf>
      <numFmt numFmtId="0" formatCode="General"/>
      <alignment horizontal="general"/>
    </dxf>
  </rfmt>
  <rcc rId="164" sId="23" odxf="1" dxf="1" numFmtId="34">
    <oc r="F59">
      <v>2008</v>
    </oc>
    <nc r="F59">
      <f>F58*GWPCH4</f>
    </nc>
    <odxf>
      <font>
        <b val="0"/>
        <sz val="9"/>
        <family val="2"/>
      </font>
      <numFmt numFmtId="30" formatCode="@"/>
      <fill>
        <patternFill patternType="none">
          <bgColor indexed="65"/>
        </patternFill>
      </fill>
      <alignment horizontal="right"/>
    </odxf>
    <ndxf>
      <font>
        <b/>
        <sz val="9"/>
        <family val="2"/>
      </font>
      <numFmt numFmtId="181" formatCode="_(* #,##0_);_(* \(#,##0\);_(* &quot;-&quot;??_);_(@_)"/>
      <fill>
        <patternFill patternType="solid">
          <bgColor rgb="FFFFC000"/>
        </patternFill>
      </fill>
      <alignment horizontal="general"/>
    </ndxf>
  </rcc>
  <rcc rId="165" sId="23" odxf="1" dxf="1">
    <nc r="G59" t="inlineStr">
      <is>
        <r>
          <t>MgCO</t>
        </r>
        <r>
          <rPr>
            <vertAlign val="subscript"/>
            <sz val="9"/>
            <rFont val="Arial"/>
            <family val="2"/>
          </rPr>
          <t>2</t>
        </r>
        <r>
          <rPr>
            <sz val="9"/>
            <rFont val="Arial"/>
            <family val="2"/>
          </rPr>
          <t>e</t>
        </r>
      </is>
    </nc>
    <odxf>
      <font>
        <b val="0"/>
        <family val="2"/>
      </font>
      <numFmt numFmtId="30" formatCode="@"/>
      <alignment horizontal="center"/>
    </odxf>
    <ndxf>
      <font>
        <b/>
        <family val="2"/>
      </font>
      <numFmt numFmtId="0" formatCode="General"/>
      <alignment horizontal="general"/>
    </ndxf>
  </rcc>
  <rfmt sheetId="23" sqref="H59" start="0" length="0">
    <dxf>
      <font>
        <b val="0"/>
        <sz val="9"/>
        <color auto="1"/>
        <name val="Arial"/>
        <family val="2"/>
        <scheme val="none"/>
      </font>
    </dxf>
  </rfmt>
  <rfmt sheetId="23" sqref="I59" start="0" length="0">
    <dxf>
      <font>
        <b val="0"/>
        <sz val="7"/>
        <family val="2"/>
      </font>
      <alignment horizontal="center"/>
    </dxf>
  </rfmt>
  <rfmt sheetId="23" sqref="J59" start="0" length="0">
    <dxf>
      <font>
        <b val="0"/>
        <sz val="9"/>
        <color auto="1"/>
        <name val="Arial"/>
        <family val="2"/>
        <scheme val="none"/>
      </font>
      <alignment horizontal="center"/>
    </dxf>
  </rfmt>
  <rcc rId="166" sId="23">
    <oc r="K59">
      <v>2008</v>
    </oc>
    <nc r="K59"/>
  </rcc>
  <rfmt sheetId="23" sqref="O59" start="0" length="0">
    <dxf>
      <font>
        <b val="0"/>
        <sz val="7"/>
        <family val="2"/>
      </font>
      <alignment horizontal="center"/>
    </dxf>
  </rfmt>
  <rfmt sheetId="23" sqref="P59" start="0" length="0">
    <dxf>
      <font>
        <b val="0"/>
        <sz val="7"/>
        <family val="2"/>
      </font>
      <alignment horizontal="center"/>
    </dxf>
  </rfmt>
  <rfmt sheetId="23" sqref="Q59" start="0" length="0">
    <dxf>
      <font>
        <b val="0"/>
        <sz val="7"/>
        <family val="2"/>
      </font>
      <alignment horizontal="center"/>
    </dxf>
  </rfmt>
  <rfmt sheetId="23" sqref="A60" start="0" length="0">
    <dxf>
      <font>
        <b val="0"/>
        <family val="2"/>
      </font>
      <alignment vertical="top" wrapText="1" indent="3"/>
    </dxf>
  </rfmt>
  <rfmt sheetId="23" s="1" sqref="B60" start="0" length="0">
    <dxf>
      <numFmt numFmtId="181" formatCode="_(* #,##0_);_(* \(#,##0\);_(* &quot;-&quot;??_);_(@_)"/>
    </dxf>
  </rfmt>
  <rfmt sheetId="23" sqref="C60" start="0" length="0">
    <dxf>
      <font>
        <sz val="9"/>
        <color auto="1"/>
        <name val="Arial"/>
        <family val="2"/>
        <scheme val="none"/>
      </font>
    </dxf>
  </rfmt>
  <rfmt sheetId="23" sqref="D60" start="0" length="0">
    <dxf>
      <numFmt numFmtId="30" formatCode="@"/>
    </dxf>
  </rfmt>
  <rfmt sheetId="23" sqref="E60" start="0" length="0">
    <dxf>
      <numFmt numFmtId="30" formatCode="@"/>
      <alignment horizontal="center"/>
    </dxf>
  </rfmt>
  <rfmt sheetId="23" s="1" sqref="F60" start="0" length="0">
    <dxf>
      <numFmt numFmtId="181" formatCode="_(* #,##0_);_(* \(#,##0\);_(* &quot;-&quot;??_);_(@_)"/>
    </dxf>
  </rfmt>
  <rfmt sheetId="23" sqref="G60" start="0" length="0">
    <dxf>
      <numFmt numFmtId="0" formatCode="General"/>
      <alignment horizontal="general"/>
    </dxf>
  </rfmt>
  <rfmt sheetId="23" sqref="H60" start="0" length="0">
    <dxf>
      <font>
        <b val="0"/>
        <sz val="9"/>
        <color auto="1"/>
        <name val="Arial"/>
        <family val="2"/>
        <scheme val="none"/>
      </font>
      <alignment horizontal="left"/>
    </dxf>
  </rfmt>
  <rfmt sheetId="23" sqref="I60" start="0" length="0">
    <dxf>
      <font>
        <b val="0"/>
        <sz val="7"/>
        <family val="2"/>
      </font>
      <alignment horizontal="center"/>
    </dxf>
  </rfmt>
  <rfmt sheetId="23" sqref="J60" start="0" length="0">
    <dxf>
      <font>
        <b val="0"/>
        <sz val="9"/>
        <color auto="1"/>
        <name val="Arial"/>
        <family val="2"/>
        <scheme val="none"/>
      </font>
      <alignment horizontal="center"/>
    </dxf>
  </rfmt>
  <rfmt sheetId="23" sqref="O60" start="0" length="0">
    <dxf>
      <font>
        <b val="0"/>
        <sz val="7"/>
        <family val="2"/>
      </font>
      <alignment horizontal="center"/>
    </dxf>
  </rfmt>
  <rfmt sheetId="23" sqref="P60" start="0" length="0">
    <dxf>
      <font>
        <b val="0"/>
        <sz val="7"/>
        <family val="2"/>
      </font>
      <alignment horizontal="center"/>
    </dxf>
  </rfmt>
  <rfmt sheetId="23" sqref="Q60" start="0" length="0">
    <dxf>
      <font>
        <b val="0"/>
        <sz val="7"/>
        <family val="2"/>
      </font>
      <alignment horizontal="center"/>
    </dxf>
  </rfmt>
  <rcc rId="167" sId="23" odxf="1" dxf="1">
    <oc r="A61" t="inlineStr">
      <is>
        <t>Calculation steps</t>
      </is>
    </oc>
    <nc r="A61"/>
    <odxf>
      <font>
        <b/>
        <family val="2"/>
      </font>
      <fill>
        <patternFill patternType="solid">
          <bgColor rgb="FF00B0F0"/>
        </patternFill>
      </fill>
      <alignment vertical="bottom" wrapText="0" indent="0"/>
    </odxf>
    <ndxf>
      <font>
        <b val="0"/>
        <family val="2"/>
      </font>
      <fill>
        <patternFill patternType="none">
          <bgColor indexed="65"/>
        </patternFill>
      </fill>
      <alignment vertical="top" wrapText="1" indent="3"/>
    </ndxf>
  </rcc>
  <rfmt sheetId="23" sqref="B61" start="0" length="0">
    <dxf>
      <font>
        <b val="0"/>
        <sz val="9"/>
        <family val="2"/>
      </font>
      <alignment horizontal="general"/>
    </dxf>
  </rfmt>
  <rfmt sheetId="23" sqref="C61" start="0" length="0">
    <dxf>
      <font>
        <b val="0"/>
        <family val="2"/>
      </font>
      <numFmt numFmtId="3" formatCode="#,##0"/>
      <alignment horizontal="general"/>
    </dxf>
  </rfmt>
  <rfmt sheetId="23" sqref="D61" start="0" length="0">
    <dxf>
      <font>
        <b val="0"/>
        <sz val="9"/>
        <color auto="1"/>
        <name val="Arial"/>
        <family val="2"/>
        <scheme val="none"/>
      </font>
    </dxf>
  </rfmt>
  <rfmt sheetId="23" sqref="E61" start="0" length="0">
    <dxf>
      <font>
        <b val="0"/>
        <sz val="7"/>
        <family val="2"/>
      </font>
      <alignment horizontal="center"/>
    </dxf>
  </rfmt>
  <rfmt sheetId="23" sqref="F61" start="0" length="0">
    <dxf>
      <font>
        <b val="0"/>
        <sz val="9"/>
        <family val="2"/>
      </font>
      <alignment horizontal="general"/>
    </dxf>
  </rfmt>
  <rfmt sheetId="23" sqref="G61" start="0" length="0">
    <dxf>
      <font>
        <b val="0"/>
        <family val="2"/>
      </font>
      <numFmt numFmtId="3" formatCode="#,##0"/>
      <alignment horizontal="general"/>
    </dxf>
  </rfmt>
  <rfmt sheetId="23" sqref="H61" start="0" length="0">
    <dxf>
      <alignment horizontal="left"/>
    </dxf>
  </rfmt>
  <rfmt sheetId="23" sqref="I61" start="0" length="0">
    <dxf>
      <alignment horizontal="center"/>
    </dxf>
  </rfmt>
  <rfmt sheetId="23" sqref="J61" start="0" length="0">
    <dxf>
      <font>
        <b val="0"/>
        <sz val="9"/>
        <color auto="1"/>
        <name val="Arial"/>
        <family val="2"/>
        <scheme val="none"/>
      </font>
      <alignment horizontal="center"/>
    </dxf>
  </rfmt>
  <rfmt sheetId="23" sqref="O61" start="0" length="0">
    <dxf>
      <alignment horizontal="center"/>
    </dxf>
  </rfmt>
  <rfmt sheetId="23" sqref="P61" start="0" length="0">
    <dxf>
      <alignment horizontal="center"/>
    </dxf>
  </rfmt>
  <rfmt sheetId="23" sqref="Q61" start="0" length="0">
    <dxf>
      <alignment horizontal="center"/>
    </dxf>
  </rfmt>
  <rcc rId="168" sId="23" odxf="1" dxf="1">
    <oc r="A62" t="inlineStr">
      <is>
        <t>Calculate lifetime - subtract opening yr from closing yr)</t>
      </is>
    </oc>
    <nc r="A62" t="inlineStr">
      <is>
        <t>Closed Landfills</t>
      </is>
    </nc>
    <odxf>
      <font>
        <b val="0"/>
        <color indexed="8"/>
        <family val="2"/>
      </font>
      <numFmt numFmtId="30" formatCode="@"/>
      <fill>
        <patternFill patternType="none">
          <bgColor indexed="65"/>
        </patternFill>
      </fill>
      <alignment vertical="top" wrapText="1"/>
    </odxf>
    <ndxf>
      <font>
        <b/>
        <color indexed="8"/>
        <family val="2"/>
      </font>
      <numFmt numFmtId="0" formatCode="General"/>
      <fill>
        <patternFill patternType="solid">
          <bgColor indexed="50"/>
        </patternFill>
      </fill>
      <alignment vertical="bottom" wrapText="0"/>
    </ndxf>
  </rcc>
  <rcc rId="169" sId="23" odxf="1" dxf="1">
    <oc r="B62">
      <f>B53-B52</f>
    </oc>
    <nc r="B62"/>
    <odxf>
      <font>
        <b val="0"/>
        <color indexed="8"/>
        <family val="2"/>
      </font>
      <numFmt numFmtId="1" formatCode="0"/>
    </odxf>
    <ndxf>
      <font>
        <b/>
        <color indexed="8"/>
        <family val="2"/>
      </font>
      <numFmt numFmtId="3" formatCode="#,##0"/>
    </ndxf>
  </rcc>
  <rcc rId="170" sId="23" odxf="1" dxf="1">
    <oc r="C62" t="inlineStr">
      <is>
        <t>yr</t>
      </is>
    </oc>
    <nc r="C62"/>
    <odxf>
      <font>
        <b val="0"/>
        <color indexed="8"/>
        <family val="2"/>
      </font>
    </odxf>
    <ndxf>
      <font>
        <b/>
        <color indexed="8"/>
        <family val="2"/>
      </font>
    </ndxf>
  </rcc>
  <rfmt sheetId="23" sqref="D62" start="0" length="0">
    <dxf>
      <font>
        <b/>
        <color indexed="8"/>
        <family val="2"/>
      </font>
    </dxf>
  </rfmt>
  <rfmt sheetId="23" sqref="E62" start="0" length="0">
    <dxf>
      <font>
        <b/>
        <sz val="7"/>
        <color indexed="8"/>
        <family val="2"/>
      </font>
    </dxf>
  </rfmt>
  <rcc rId="171" sId="23" odxf="1" dxf="1">
    <oc r="F62">
      <f>F53-F52</f>
    </oc>
    <nc r="F62"/>
    <odxf>
      <font>
        <b val="0"/>
        <color indexed="8"/>
        <family val="2"/>
      </font>
      <numFmt numFmtId="1" formatCode="0"/>
    </odxf>
    <ndxf>
      <font>
        <b/>
        <color indexed="8"/>
        <family val="2"/>
      </font>
      <numFmt numFmtId="3" formatCode="#,##0"/>
    </ndxf>
  </rcc>
  <rcc rId="172" sId="23" odxf="1" dxf="1">
    <oc r="G62" t="inlineStr">
      <is>
        <t>yr</t>
      </is>
    </oc>
    <nc r="G62"/>
    <odxf>
      <font>
        <b val="0"/>
        <family val="2"/>
      </font>
      <numFmt numFmtId="30" formatCode="@"/>
      <alignment horizontal="left"/>
    </odxf>
    <ndxf>
      <font>
        <b/>
        <family val="2"/>
      </font>
      <numFmt numFmtId="0" formatCode="General"/>
      <alignment horizontal="general"/>
    </ndxf>
  </rcc>
  <rfmt sheetId="23" sqref="H62" start="0" length="0">
    <dxf>
      <font>
        <b val="0"/>
        <sz val="9"/>
        <color auto="1"/>
        <name val="Arial"/>
        <family val="2"/>
        <scheme val="none"/>
      </font>
      <alignment horizontal="left"/>
    </dxf>
  </rfmt>
  <rfmt sheetId="23" sqref="I62" start="0" length="0">
    <dxf>
      <font>
        <b val="0"/>
        <sz val="7"/>
        <family val="2"/>
      </font>
      <alignment horizontal="center"/>
    </dxf>
  </rfmt>
  <rfmt sheetId="23" sqref="J62" start="0" length="0">
    <dxf>
      <font>
        <b val="0"/>
        <sz val="9"/>
        <color auto="1"/>
        <name val="Arial"/>
        <family val="2"/>
        <scheme val="none"/>
      </font>
      <alignment horizontal="center"/>
    </dxf>
  </rfmt>
  <rcc rId="173" sId="23">
    <oc r="K62">
      <f>K53-K52</f>
    </oc>
    <nc r="K62"/>
  </rcc>
  <rcc rId="174" sId="23">
    <oc r="L62" t="inlineStr">
      <is>
        <t>yr</t>
      </is>
    </oc>
    <nc r="L62"/>
  </rcc>
  <rfmt sheetId="23" sqref="O62" start="0" length="0">
    <dxf>
      <font>
        <b val="0"/>
        <sz val="7"/>
        <family val="2"/>
      </font>
      <alignment horizontal="center"/>
    </dxf>
  </rfmt>
  <rfmt sheetId="23" sqref="P62" start="0" length="0">
    <dxf>
      <font>
        <b val="0"/>
        <sz val="7"/>
        <family val="2"/>
      </font>
      <alignment horizontal="center"/>
    </dxf>
  </rfmt>
  <rfmt sheetId="23" sqref="Q62" start="0" length="0">
    <dxf>
      <font>
        <b val="0"/>
        <sz val="7"/>
        <family val="2"/>
      </font>
      <alignment horizontal="center"/>
    </dxf>
  </rfmt>
  <rcc rId="175" sId="23" odxf="1" dxf="1">
    <oc r="A63" t="inlineStr">
      <is>
        <t xml:space="preserve">Calculate Annual dump rate R - divide landfill mass by lifetime) </t>
      </is>
    </oc>
    <nc r="A63" t="inlineStr">
      <is>
        <t>Source data</t>
      </is>
    </nc>
    <odxf>
      <font>
        <b val="0"/>
        <color indexed="8"/>
        <family val="2"/>
      </font>
      <fill>
        <patternFill patternType="none">
          <bgColor indexed="65"/>
        </patternFill>
      </fill>
      <alignment vertical="top" wrapText="1"/>
    </odxf>
    <ndxf>
      <font>
        <b/>
        <color indexed="8"/>
        <family val="2"/>
      </font>
      <fill>
        <patternFill patternType="solid">
          <bgColor theme="0" tint="-0.249977111117893"/>
        </patternFill>
      </fill>
      <alignment vertical="bottom" wrapText="0"/>
    </ndxf>
  </rcc>
  <rcc rId="176" sId="23" odxf="1" s="1" dxf="1">
    <oc r="B63">
      <f>B51/B62</f>
    </oc>
    <nc r="B63"/>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15" formatCode="0.00E+00"/>
      <alignment horizontal="general"/>
    </ndxf>
  </rcc>
  <rcc rId="177" sId="23" odxf="1" dxf="1">
    <oc r="C63" t="inlineStr">
      <is>
        <t>Mg/yr</t>
      </is>
    </oc>
    <nc r="C63"/>
    <odxf>
      <numFmt numFmtId="30" formatCode="@"/>
      <alignment horizontal="left"/>
    </odxf>
    <ndxf>
      <numFmt numFmtId="3" formatCode="#,##0"/>
      <alignment horizontal="general"/>
    </ndxf>
  </rcc>
  <rfmt sheetId="23" sqref="D63" start="0" length="0">
    <dxf>
      <font>
        <b val="0"/>
        <sz val="9"/>
        <color auto="1"/>
        <name val="Arial"/>
        <family val="2"/>
        <scheme val="none"/>
      </font>
    </dxf>
  </rfmt>
  <rfmt sheetId="23" sqref="E63" start="0" length="0">
    <dxf>
      <font>
        <b val="0"/>
        <sz val="7"/>
        <family val="2"/>
      </font>
      <alignment horizontal="center"/>
    </dxf>
  </rfmt>
  <rcc rId="178" sId="23" odxf="1" s="1" dxf="1">
    <oc r="F63">
      <f>F51/F62</f>
    </oc>
    <nc r="F63"/>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15" formatCode="0.00E+00"/>
      <alignment horizontal="general"/>
    </ndxf>
  </rcc>
  <rcc rId="179" sId="23" odxf="1" dxf="1">
    <oc r="G63" t="inlineStr">
      <is>
        <t>Mg/yr</t>
      </is>
    </oc>
    <nc r="G63"/>
    <odxf>
      <numFmt numFmtId="30" formatCode="@"/>
      <alignment horizontal="left"/>
    </odxf>
    <ndxf>
      <numFmt numFmtId="3" formatCode="#,##0"/>
      <alignment horizontal="general"/>
    </ndxf>
  </rcc>
  <rfmt sheetId="23" sqref="H63" start="0" length="0">
    <dxf>
      <font>
        <b val="0"/>
        <sz val="9"/>
        <color auto="1"/>
        <name val="Arial"/>
        <family val="2"/>
        <scheme val="none"/>
      </font>
      <numFmt numFmtId="0" formatCode="General"/>
      <alignment horizontal="left"/>
    </dxf>
  </rfmt>
  <rfmt sheetId="23" sqref="I63" start="0" length="0">
    <dxf>
      <font>
        <b val="0"/>
        <sz val="7"/>
        <family val="2"/>
      </font>
      <numFmt numFmtId="0" formatCode="General"/>
      <alignment horizontal="general"/>
    </dxf>
  </rfmt>
  <rfmt sheetId="23" sqref="J63" start="0" length="0">
    <dxf>
      <font>
        <b val="0"/>
        <sz val="9"/>
        <color auto="1"/>
        <name val="Arial"/>
        <family val="2"/>
        <scheme val="none"/>
      </font>
      <numFmt numFmtId="0" formatCode="General"/>
      <alignment horizontal="general"/>
    </dxf>
  </rfmt>
  <rcc rId="180" sId="23">
    <oc r="K63">
      <f>K51/K62</f>
    </oc>
    <nc r="K63"/>
  </rcc>
  <rcc rId="181" sId="23">
    <oc r="L63" t="inlineStr">
      <is>
        <t>Mg/yr</t>
      </is>
    </oc>
    <nc r="L63"/>
  </rcc>
  <rfmt sheetId="23" sqref="O63" start="0" length="0">
    <dxf>
      <font>
        <b val="0"/>
        <sz val="7"/>
        <family val="2"/>
      </font>
      <numFmt numFmtId="0" formatCode="General"/>
      <alignment horizontal="general"/>
    </dxf>
  </rfmt>
  <rfmt sheetId="23" sqref="P63" start="0" length="0">
    <dxf>
      <font>
        <b val="0"/>
        <sz val="7"/>
        <family val="2"/>
      </font>
      <numFmt numFmtId="0" formatCode="General"/>
      <alignment horizontal="general"/>
    </dxf>
  </rfmt>
  <rfmt sheetId="23" sqref="Q63" start="0" length="0">
    <dxf>
      <font>
        <b val="0"/>
        <sz val="7"/>
        <family val="2"/>
      </font>
      <numFmt numFmtId="0" formatCode="General"/>
      <alignment horizontal="general"/>
    </dxf>
  </rfmt>
  <rcc rId="182" sId="23" odxf="1" dxf="1">
    <oc r="A64" t="inlineStr">
      <is>
        <t>Calculate time since opening c - subtract opening yr from calculation yr</t>
      </is>
    </oc>
    <nc r="A64" t="inlineStr">
      <is>
        <t>Montlake</t>
      </is>
    </nc>
    <odxf>
      <font>
        <color indexed="8"/>
        <family val="2"/>
      </font>
      <alignment horizontal="left" wrapText="1"/>
    </odxf>
    <ndxf>
      <font>
        <sz val="9"/>
        <color auto="1"/>
        <name val="Arial"/>
        <family val="2"/>
        <scheme val="none"/>
      </font>
      <alignment horizontal="general" wrapText="0"/>
    </ndxf>
  </rcc>
  <rcc rId="183" sId="23" odxf="1" s="1" dxf="1" numFmtId="4">
    <oc r="B64">
      <f>B59-B52</f>
    </oc>
    <nc r="B64">
      <v>13842.047489048813</v>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alignment horizontal="general"/>
      <border outline="0">
        <left/>
      </border>
    </ndxf>
  </rcc>
  <rcc rId="184" sId="23" odxf="1" dxf="1">
    <oc r="C64" t="inlineStr">
      <is>
        <t>yr</t>
      </is>
    </oc>
    <nc r="C64"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185" sId="23" odxf="1" dxf="1">
    <nc r="D64" t="inlineStr">
      <is>
        <t>KC15-50-2_Landfill Calculations</t>
      </is>
    </nc>
    <odxf>
      <font>
        <b/>
        <family val="2"/>
      </font>
      <numFmt numFmtId="30" formatCode="@"/>
      <alignment horizontal="center"/>
    </odxf>
    <ndxf>
      <font>
        <b val="0"/>
        <sz val="9"/>
        <color auto="1"/>
        <name val="Arial"/>
        <family val="2"/>
        <scheme val="none"/>
      </font>
      <numFmt numFmtId="0" formatCode="General"/>
      <alignment horizontal="left"/>
    </ndxf>
  </rcc>
  <rfmt sheetId="23" sqref="E64" start="0" length="0">
    <dxf>
      <font>
        <b val="0"/>
        <sz val="7"/>
        <family val="2"/>
      </font>
      <numFmt numFmtId="0" formatCode="General"/>
      <alignment horizontal="general"/>
      <border outline="0">
        <right style="thin">
          <color indexed="64"/>
        </right>
      </border>
    </dxf>
  </rfmt>
  <rcc rId="186" sId="23" odxf="1" s="1" dxf="1" numFmtId="4">
    <oc r="F64">
      <f>F59-F52</f>
    </oc>
    <nc r="F64">
      <v>10409.417020730529</v>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alignment horizontal="general"/>
      <border outline="0">
        <left/>
      </border>
    </ndxf>
  </rcc>
  <rcc rId="187" sId="23" odxf="1" dxf="1">
    <oc r="G64" t="inlineStr">
      <is>
        <t>yr</t>
      </is>
    </oc>
    <nc r="G64"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188" sId="23" odxf="1" dxf="1">
    <nc r="H64" t="inlineStr">
      <is>
        <t>KC15-50-2_Landfill Calculations</t>
      </is>
    </nc>
    <odxf>
      <font>
        <b/>
        <family val="2"/>
      </font>
      <numFmt numFmtId="30" formatCode="@"/>
      <alignment horizontal="center"/>
    </odxf>
    <ndxf>
      <font>
        <b val="0"/>
        <sz val="9"/>
        <color auto="1"/>
        <name val="Arial"/>
        <family val="2"/>
        <scheme val="none"/>
      </font>
      <numFmt numFmtId="0" formatCode="General"/>
      <alignment horizontal="left"/>
    </ndxf>
  </rcc>
  <rfmt sheetId="23" sqref="I64" start="0" length="0">
    <dxf>
      <font>
        <b val="0"/>
        <sz val="7"/>
        <family val="2"/>
      </font>
      <numFmt numFmtId="0" formatCode="General"/>
      <alignment horizontal="general"/>
    </dxf>
  </rfmt>
  <rfmt sheetId="23" sqref="J64" start="0" length="0">
    <dxf>
      <font>
        <b val="0"/>
        <sz val="9"/>
        <color auto="1"/>
        <name val="Arial"/>
        <family val="2"/>
        <scheme val="none"/>
      </font>
      <numFmt numFmtId="0" formatCode="General"/>
      <alignment horizontal="general"/>
    </dxf>
  </rfmt>
  <rcc rId="189" sId="23" numFmtId="4">
    <oc r="K64">
      <f>K59-K52</f>
    </oc>
    <nc r="K64">
      <v>6984.6220274204734</v>
    </nc>
  </rcc>
  <rcc rId="190" sId="23">
    <oc r="L64" t="inlineStr">
      <is>
        <t>yr</t>
      </is>
    </oc>
    <nc r="L64" t="inlineStr">
      <is>
        <t>MgCO2e</t>
      </is>
    </nc>
  </rcc>
  <rcc rId="191" sId="23">
    <nc r="M64" t="inlineStr">
      <is>
        <t>KC15-50-2_Landfill Calculations</t>
      </is>
    </nc>
  </rcc>
  <rfmt sheetId="23" sqref="O64" start="0" length="0">
    <dxf>
      <font>
        <b val="0"/>
        <sz val="7"/>
        <family val="2"/>
      </font>
      <numFmt numFmtId="0" formatCode="General"/>
      <alignment horizontal="general"/>
    </dxf>
  </rfmt>
  <rfmt sheetId="23" sqref="P64" start="0" length="0">
    <dxf>
      <font>
        <b val="0"/>
        <sz val="7"/>
        <family val="2"/>
      </font>
      <numFmt numFmtId="0" formatCode="General"/>
      <alignment horizontal="general"/>
    </dxf>
  </rfmt>
  <rfmt sheetId="23" sqref="Q64" start="0" length="0">
    <dxf>
      <font>
        <b val="0"/>
        <sz val="7"/>
        <family val="2"/>
      </font>
      <numFmt numFmtId="0" formatCode="General"/>
      <alignment horizontal="general"/>
    </dxf>
  </rfmt>
  <rcc rId="192" sId="23" odxf="1" dxf="1">
    <oc r="A65" t="inlineStr">
      <is>
        <t>Calculate time since closing t - subtract closing yr from calculation yr</t>
      </is>
    </oc>
    <nc r="A65" t="inlineStr">
      <is>
        <t>Cedar Falls</t>
      </is>
    </nc>
    <odxf>
      <font>
        <color indexed="8"/>
        <family val="2"/>
      </font>
      <alignment horizontal="left" wrapText="1"/>
    </odxf>
    <ndxf>
      <font>
        <sz val="9"/>
        <color auto="1"/>
        <name val="Arial"/>
        <family val="2"/>
        <scheme val="none"/>
      </font>
      <alignment horizontal="general" wrapText="0"/>
    </ndxf>
  </rcc>
  <rcc rId="193" sId="23" odxf="1" s="1" dxf="1" numFmtId="4">
    <oc r="B65">
      <f>B59-B53</f>
    </oc>
    <nc r="B65">
      <v>957.69827793196589</v>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alignment horizontal="general"/>
    </ndxf>
  </rcc>
  <rcc rId="194" sId="23" odxf="1" dxf="1">
    <oc r="C65" t="inlineStr">
      <is>
        <t>yr</t>
      </is>
    </oc>
    <nc r="C65"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195" sId="23" odxf="1" dxf="1">
    <nc r="D65" t="inlineStr">
      <is>
        <t>KC15-50-2_Landfill Calculations</t>
      </is>
    </nc>
    <odxf>
      <font>
        <b/>
        <family val="2"/>
      </font>
      <numFmt numFmtId="30" formatCode="@"/>
      <alignment horizontal="center"/>
    </odxf>
    <ndxf>
      <font>
        <b val="0"/>
        <sz val="9"/>
        <color auto="1"/>
        <name val="Arial"/>
        <family val="2"/>
        <scheme val="none"/>
      </font>
      <numFmt numFmtId="0" formatCode="General"/>
      <alignment horizontal="left"/>
    </ndxf>
  </rcc>
  <rfmt sheetId="23" sqref="E65" start="0" length="0">
    <dxf>
      <font>
        <b val="0"/>
        <sz val="7"/>
        <family val="2"/>
      </font>
      <alignment horizontal="center"/>
    </dxf>
  </rfmt>
  <rcc rId="196" sId="23" odxf="1" s="1" dxf="1" numFmtId="4">
    <oc r="F65">
      <f>F59-F53</f>
    </oc>
    <nc r="F65">
      <v>720.20275634196423</v>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alignment horizontal="general"/>
    </ndxf>
  </rcc>
  <rcc rId="197" sId="23" odxf="1" dxf="1">
    <oc r="G65" t="inlineStr">
      <is>
        <t>yr</t>
      </is>
    </oc>
    <nc r="G65"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198" sId="23" odxf="1" dxf="1">
    <nc r="H65" t="inlineStr">
      <is>
        <t>KC15-50-2_Landfill Calculations</t>
      </is>
    </nc>
    <odxf>
      <font>
        <b/>
        <family val="2"/>
      </font>
      <numFmt numFmtId="30" formatCode="@"/>
      <alignment horizontal="center"/>
    </odxf>
    <ndxf>
      <font>
        <b val="0"/>
        <sz val="9"/>
        <color auto="1"/>
        <name val="Arial"/>
        <family val="2"/>
        <scheme val="none"/>
      </font>
      <numFmt numFmtId="0" formatCode="General"/>
      <alignment horizontal="left"/>
    </ndxf>
  </rcc>
  <rfmt sheetId="23" sqref="I65" start="0" length="0">
    <dxf>
      <font>
        <b val="0"/>
        <sz val="7"/>
        <family val="2"/>
      </font>
      <numFmt numFmtId="0" formatCode="General"/>
      <alignment horizontal="general"/>
    </dxf>
  </rfmt>
  <rfmt sheetId="23" sqref="J65" start="0" length="0">
    <dxf>
      <numFmt numFmtId="0" formatCode="General"/>
      <alignment horizontal="general"/>
    </dxf>
  </rfmt>
  <rcc rId="199" sId="23" numFmtId="4">
    <oc r="K65">
      <f>K59-K53</f>
    </oc>
    <nc r="K65">
      <v>483.24935259457942</v>
    </nc>
  </rcc>
  <rcc rId="200" sId="23">
    <oc r="L65" t="inlineStr">
      <is>
        <t>yr</t>
      </is>
    </oc>
    <nc r="L65" t="inlineStr">
      <is>
        <t>MgCO2e</t>
      </is>
    </nc>
  </rcc>
  <rcc rId="201" sId="23">
    <nc r="M65" t="inlineStr">
      <is>
        <t>KC15-50-2_Landfill Calculations</t>
      </is>
    </nc>
  </rcc>
  <rfmt sheetId="23" sqref="O65" start="0" length="0">
    <dxf>
      <font>
        <b val="0"/>
        <sz val="7"/>
        <family val="2"/>
      </font>
      <numFmt numFmtId="0" formatCode="General"/>
      <alignment horizontal="general"/>
    </dxf>
  </rfmt>
  <rfmt sheetId="23" sqref="P65" start="0" length="0">
    <dxf>
      <font>
        <b val="0"/>
        <sz val="7"/>
        <family val="2"/>
      </font>
      <numFmt numFmtId="0" formatCode="General"/>
      <alignment horizontal="general"/>
    </dxf>
  </rfmt>
  <rfmt sheetId="23" sqref="Q65" start="0" length="0">
    <dxf>
      <font>
        <b val="0"/>
        <sz val="7"/>
        <family val="2"/>
      </font>
      <numFmt numFmtId="0" formatCode="General"/>
      <alignment horizontal="general"/>
    </dxf>
  </rfmt>
  <rcc rId="202" sId="23" odxf="1" dxf="1">
    <oc r="A66" t="inlineStr">
      <is>
        <r>
          <t>Calculate CH</t>
        </r>
        <r>
          <rPr>
            <vertAlign val="subscript"/>
            <sz val="9"/>
            <rFont val="Arial"/>
            <family val="2"/>
          </rPr>
          <t>4</t>
        </r>
        <r>
          <rPr>
            <sz val="9"/>
            <color indexed="8"/>
            <rFont val="Arial"/>
            <family val="2"/>
          </rPr>
          <t xml:space="preserve"> emissions using methane kinetics formula </t>
        </r>
      </is>
    </oc>
    <nc r="A66" t="inlineStr">
      <is>
        <t>Enumclaw</t>
      </is>
    </nc>
    <odxf>
      <font>
        <color indexed="8"/>
        <family val="2"/>
      </font>
      <alignment horizontal="left" wrapText="1"/>
    </odxf>
    <ndxf>
      <font>
        <sz val="9"/>
        <color auto="1"/>
        <name val="Arial"/>
        <family val="2"/>
        <scheme val="none"/>
      </font>
      <alignment horizontal="general" wrapText="0"/>
    </ndxf>
  </rcc>
  <rcc rId="203" sId="23" odxf="1" dxf="1" numFmtId="4">
    <oc r="B66">
      <f>B56*B63*(EXP(-B57*B65)-EXP(-B57*B64))</f>
    </oc>
    <nc r="B66">
      <v>2816.6119939900946</v>
    </nc>
    <odxf>
      <font>
        <color indexed="8"/>
        <family val="2"/>
      </font>
      <fill>
        <patternFill patternType="none">
          <bgColor indexed="65"/>
        </patternFill>
      </fill>
    </odxf>
    <ndxf>
      <font>
        <sz val="9"/>
        <color auto="1"/>
        <name val="Arial"/>
        <family val="2"/>
        <scheme val="none"/>
      </font>
      <fill>
        <patternFill patternType="solid">
          <bgColor rgb="FFFFC000"/>
        </patternFill>
      </fill>
    </ndxf>
  </rcc>
  <rcc rId="204" sId="23" odxf="1" dxf="1">
    <oc r="C66" t="inlineStr">
      <is>
        <r>
          <t>m</t>
        </r>
        <r>
          <rPr>
            <vertAlign val="superscript"/>
            <sz val="9"/>
            <rFont val="Arial"/>
            <family val="2"/>
          </rPr>
          <t>3</t>
        </r>
      </is>
    </oc>
    <nc r="C66" t="inlineStr">
      <is>
        <r>
          <t>MgCO</t>
        </r>
        <r>
          <rPr>
            <b/>
            <vertAlign val="subscript"/>
            <sz val="9"/>
            <rFont val="Arial"/>
            <family val="2"/>
          </rPr>
          <t>2</t>
        </r>
        <r>
          <rPr>
            <b/>
            <sz val="9"/>
            <rFont val="Arial"/>
            <family val="2"/>
          </rPr>
          <t>e</t>
        </r>
      </is>
    </nc>
    <odxf>
      <font>
        <b val="0"/>
        <color indexed="8"/>
        <family val="2"/>
      </font>
    </odxf>
    <ndxf>
      <font>
        <b/>
        <color indexed="8"/>
        <family val="2"/>
      </font>
    </ndxf>
  </rcc>
  <rcc rId="205" sId="23" odxf="1" dxf="1">
    <nc r="D66" t="inlineStr">
      <is>
        <t>KC15-50-2_Landfill Calculations</t>
      </is>
    </nc>
    <odxf>
      <numFmt numFmtId="30" formatCode="@"/>
      <alignment horizontal="center"/>
    </odxf>
    <ndxf>
      <numFmt numFmtId="0" formatCode="General"/>
      <alignment horizontal="left"/>
    </ndxf>
  </rcc>
  <rfmt sheetId="23" sqref="E66" start="0" length="0">
    <dxf>
      <numFmt numFmtId="3" formatCode="#,##0"/>
      <alignment horizontal="general"/>
    </dxf>
  </rfmt>
  <rcc rId="206" sId="23" odxf="1" dxf="1" numFmtId="4">
    <oc r="F66">
      <f>F56*F63*(EXP(-F57*F65)-EXP(-F57*F64))</f>
    </oc>
    <nc r="F66">
      <v>2118.1323683674905</v>
    </nc>
    <odxf>
      <font>
        <color indexed="8"/>
        <family val="2"/>
      </font>
      <fill>
        <patternFill patternType="none">
          <bgColor indexed="65"/>
        </patternFill>
      </fill>
    </odxf>
    <ndxf>
      <font>
        <sz val="9"/>
        <color auto="1"/>
        <name val="Arial"/>
        <family val="2"/>
        <scheme val="none"/>
      </font>
      <fill>
        <patternFill patternType="solid">
          <bgColor rgb="FFFFC000"/>
        </patternFill>
      </fill>
    </ndxf>
  </rcc>
  <rcc rId="207" sId="23" odxf="1" dxf="1">
    <oc r="G66" t="inlineStr">
      <is>
        <r>
          <t>m</t>
        </r>
        <r>
          <rPr>
            <vertAlign val="superscript"/>
            <sz val="9"/>
            <rFont val="Arial"/>
            <family val="2"/>
          </rPr>
          <t>3</t>
        </r>
      </is>
    </oc>
    <nc r="G66" t="inlineStr">
      <is>
        <r>
          <t>MgCO</t>
        </r>
        <r>
          <rPr>
            <b/>
            <vertAlign val="subscript"/>
            <sz val="9"/>
            <rFont val="Arial"/>
            <family val="2"/>
          </rPr>
          <t>2</t>
        </r>
        <r>
          <rPr>
            <b/>
            <sz val="9"/>
            <rFont val="Arial"/>
            <family val="2"/>
          </rPr>
          <t>e</t>
        </r>
      </is>
    </nc>
    <odxf>
      <font>
        <b val="0"/>
        <color indexed="8"/>
        <family val="2"/>
      </font>
    </odxf>
    <ndxf>
      <font>
        <b/>
        <color indexed="8"/>
        <family val="2"/>
      </font>
    </ndxf>
  </rcc>
  <rcc rId="208" sId="23" odxf="1" dxf="1">
    <nc r="H66" t="inlineStr">
      <is>
        <t>KC15-50-2_Landfill Calculations</t>
      </is>
    </nc>
    <odxf>
      <numFmt numFmtId="30" formatCode="@"/>
      <alignment horizontal="center"/>
    </odxf>
    <ndxf>
      <numFmt numFmtId="0" formatCode="General"/>
      <alignment horizontal="left"/>
    </ndxf>
  </rcc>
  <rfmt sheetId="23" sqref="I66" start="0" length="0">
    <dxf>
      <numFmt numFmtId="0" formatCode="General"/>
    </dxf>
  </rfmt>
  <rfmt sheetId="23" sqref="J66" start="0" length="0">
    <dxf>
      <numFmt numFmtId="0" formatCode="General"/>
    </dxf>
  </rfmt>
  <rcc rId="209" sId="23" numFmtId="4">
    <oc r="K66">
      <f>K56*K63*(EXP(-K57*K65)-EXP(-K57*K64))</f>
    </oc>
    <nc r="K66">
      <v>1421.2471234103375</v>
    </nc>
  </rcc>
  <rcc rId="210" sId="23">
    <oc r="L66" t="inlineStr">
      <is>
        <r>
          <t>m</t>
        </r>
        <r>
          <rPr>
            <vertAlign val="superscript"/>
            <sz val="9"/>
            <rFont val="Arial"/>
            <family val="2"/>
          </rPr>
          <t>3</t>
        </r>
      </is>
    </oc>
    <nc r="L66" t="inlineStr">
      <is>
        <t>MgCO2e</t>
      </is>
    </nc>
  </rcc>
  <rcc rId="211" sId="23">
    <nc r="M66" t="inlineStr">
      <is>
        <t>KC15-50-2_Landfill Calculations</t>
      </is>
    </nc>
  </rcc>
  <rfmt sheetId="23" sqref="O66" start="0" length="0">
    <dxf>
      <numFmt numFmtId="0" formatCode="General"/>
    </dxf>
  </rfmt>
  <rfmt sheetId="23" sqref="P66" start="0" length="0">
    <dxf>
      <numFmt numFmtId="0" formatCode="General"/>
    </dxf>
  </rfmt>
  <rfmt sheetId="23" sqref="Q66" start="0" length="0">
    <dxf>
      <numFmt numFmtId="0" formatCode="General"/>
    </dxf>
  </rfmt>
  <rcc rId="212" sId="23" odxf="1" dxf="1">
    <oc r="A67" t="inlineStr">
      <is>
        <r>
          <t>Convert CH</t>
        </r>
        <r>
          <rPr>
            <vertAlign val="subscript"/>
            <sz val="9"/>
            <rFont val="Arial"/>
            <family val="2"/>
          </rPr>
          <t>4</t>
        </r>
        <r>
          <rPr>
            <sz val="9"/>
            <color indexed="8"/>
            <rFont val="Arial"/>
            <family val="2"/>
          </rPr>
          <t xml:space="preserve"> emissions to Mg</t>
        </r>
      </is>
    </oc>
    <nc r="A67" t="inlineStr">
      <is>
        <t>Hobart</t>
      </is>
    </nc>
    <odxf>
      <font>
        <color indexed="8"/>
        <family val="2"/>
      </font>
      <alignment horizontal="left" wrapText="1"/>
    </odxf>
    <ndxf>
      <font>
        <sz val="9"/>
        <color auto="1"/>
        <name val="Arial"/>
        <family val="2"/>
        <scheme val="none"/>
      </font>
      <alignment horizontal="general" wrapText="0"/>
    </ndxf>
  </rcc>
  <rcc rId="213" sId="23" odxf="1" s="1" dxf="1" numFmtId="4">
    <oc r="B67">
      <f>B66*densityCH4/1000</f>
    </oc>
    <nc r="B67">
      <v>3117.5730304934941</v>
    </nc>
    <o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ndxf>
  </rcc>
  <rcc rId="214" sId="23" odxf="1" dxf="1">
    <oc r="C67" t="inlineStr">
      <is>
        <t>Mg</t>
      </is>
    </oc>
    <nc r="C67"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215" sId="23" odxf="1" dxf="1">
    <nc r="D67" t="inlineStr">
      <is>
        <t>KC15-50-2_Landfill Calculations</t>
      </is>
    </nc>
    <odxf>
      <numFmt numFmtId="30" formatCode="@"/>
      <alignment horizontal="center"/>
    </odxf>
    <ndxf>
      <numFmt numFmtId="0" formatCode="General"/>
      <alignment horizontal="left"/>
    </ndxf>
  </rcc>
  <rfmt sheetId="23" sqref="E67" start="0" length="0">
    <dxf>
      <numFmt numFmtId="3" formatCode="#,##0"/>
      <alignment horizontal="general"/>
    </dxf>
  </rfmt>
  <rcc rId="216" sId="23" odxf="1" s="1" dxf="1" numFmtId="4">
    <oc r="F67">
      <f>F66*densityCH4/1000</f>
    </oc>
    <nc r="F67">
      <v>2344.4593578127833</v>
    </nc>
    <o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fill>
        <patternFill patternType="solid">
          <bgColor rgb="FFFFC000"/>
        </patternFill>
      </fill>
    </ndxf>
  </rcc>
  <rcc rId="217" sId="23" odxf="1" dxf="1">
    <oc r="G67" t="inlineStr">
      <is>
        <t>Mg</t>
      </is>
    </oc>
    <nc r="G67" t="inlineStr">
      <is>
        <r>
          <t>MgCO</t>
        </r>
        <r>
          <rPr>
            <b/>
            <vertAlign val="subscript"/>
            <sz val="9"/>
            <rFont val="Arial"/>
            <family val="2"/>
          </rPr>
          <t>2</t>
        </r>
        <r>
          <rPr>
            <b/>
            <sz val="9"/>
            <rFont val="Arial"/>
            <family val="2"/>
          </rPr>
          <t>e</t>
        </r>
      </is>
    </nc>
    <odxf>
      <font>
        <b val="0"/>
        <family val="2"/>
      </font>
      <numFmt numFmtId="30" formatCode="@"/>
      <alignment horizontal="left"/>
    </odxf>
    <ndxf>
      <font>
        <b/>
        <family val="2"/>
      </font>
      <numFmt numFmtId="0" formatCode="General"/>
      <alignment horizontal="general"/>
    </ndxf>
  </rcc>
  <rcc rId="218" sId="23" odxf="1" dxf="1">
    <nc r="H67" t="inlineStr">
      <is>
        <t>KC15-50-2_Landfill Calculations</t>
      </is>
    </nc>
    <odxf>
      <numFmt numFmtId="30" formatCode="@"/>
      <alignment horizontal="center"/>
    </odxf>
    <ndxf>
      <numFmt numFmtId="0" formatCode="General"/>
      <alignment horizontal="left"/>
    </ndxf>
  </rcc>
  <rfmt sheetId="23" sqref="I67" start="0" length="0">
    <dxf>
      <numFmt numFmtId="0" formatCode="General"/>
    </dxf>
  </rfmt>
  <rfmt sheetId="23" sqref="J67" start="0" length="0">
    <dxf>
      <numFmt numFmtId="0" formatCode="General"/>
    </dxf>
  </rfmt>
  <rcc rId="219" sId="23" numFmtId="4">
    <oc r="K67">
      <f>K66*densityCH4/1000</f>
    </oc>
    <nc r="K67">
      <v>1573.1104287934493</v>
    </nc>
  </rcc>
  <rcc rId="220" sId="23">
    <oc r="L67" t="inlineStr">
      <is>
        <t>Mg</t>
      </is>
    </oc>
    <nc r="L67" t="inlineStr">
      <is>
        <t>MgCO2e</t>
      </is>
    </nc>
  </rcc>
  <rcc rId="221" sId="23">
    <nc r="M67" t="inlineStr">
      <is>
        <t>KC15-50-2_Landfill Calculations</t>
      </is>
    </nc>
  </rcc>
  <rfmt sheetId="23" sqref="O67" start="0" length="0">
    <dxf>
      <numFmt numFmtId="0" formatCode="General"/>
    </dxf>
  </rfmt>
  <rfmt sheetId="23" sqref="P67" start="0" length="0">
    <dxf>
      <numFmt numFmtId="0" formatCode="General"/>
    </dxf>
  </rfmt>
  <rfmt sheetId="23" sqref="Q67" start="0" length="0">
    <dxf>
      <numFmt numFmtId="0" formatCode="General"/>
    </dxf>
  </rfmt>
  <rcc rId="222" sId="23" odxf="1" dxf="1">
    <oc r="A68" t="inlineStr">
      <is>
        <t>Convert CH4 emissions to MgCO2e</t>
      </is>
    </oc>
    <nc r="A68" t="inlineStr">
      <is>
        <t>Vashon</t>
      </is>
    </nc>
    <odxf>
      <font>
        <b/>
        <family val="2"/>
      </font>
      <alignment horizontal="left" vertical="bottom"/>
    </odxf>
    <ndxf>
      <font>
        <b val="0"/>
        <sz val="9"/>
        <color auto="1"/>
        <name val="Arial"/>
        <family val="2"/>
        <scheme val="none"/>
      </font>
      <alignment horizontal="general" vertical="top"/>
    </ndxf>
  </rcc>
  <rcc rId="223" sId="23" odxf="1" s="1" dxf="1" numFmtId="4">
    <oc r="B68">
      <f>B67*GWPCH4</f>
    </oc>
    <nc r="B68">
      <v>2060.7337753355237</v>
    </nc>
    <odxf>
      <font>
        <b/>
        <i val="0"/>
        <strike val="0"/>
        <condense val="0"/>
        <extend val="0"/>
        <outline val="0"/>
        <shadow val="0"/>
        <u val="none"/>
        <vertAlign val="baseline"/>
        <sz val="9"/>
        <color auto="1"/>
        <name val="Arial"/>
        <family val="2"/>
        <scheme val="none"/>
      </font>
      <numFmt numFmtId="181" formatCode="_(* #,##0_);_(* \(#,##0\);_(* &quot;-&quot;??_);_(@_)"/>
      <fill>
        <patternFill patternType="solid">
          <fgColor indexed="64"/>
          <bgColor rgb="FFFFC000"/>
        </patternFill>
      </fill>
      <alignment horizontal="general" vertical="top" textRotation="0" wrapText="0" indent="0" justifyLastLine="0" shrinkToFit="0" readingOrder="0"/>
      <border diagonalUp="0" diagonalDown="0" outline="0">
        <left style="thin">
          <color indexed="64"/>
        </left>
        <right/>
        <top/>
        <bottom/>
      </border>
    </odxf>
    <ndxf>
      <font>
        <b val="0"/>
        <sz val="9"/>
        <color auto="1"/>
        <name val="Arial"/>
        <family val="2"/>
        <scheme val="none"/>
      </font>
      <numFmt numFmtId="3" formatCode="#,##0"/>
    </ndxf>
  </rcc>
  <rcc rId="224" sId="23" odxf="1" dxf="1">
    <nc r="D68" t="inlineStr">
      <is>
        <t>KC15-50-2_Landfill Calculations</t>
      </is>
    </nc>
    <odxf>
      <font>
        <b/>
        <family val="2"/>
      </font>
      <alignment horizontal="center"/>
    </odxf>
    <ndxf>
      <font>
        <b val="0"/>
        <sz val="9"/>
        <color auto="1"/>
        <name val="Arial"/>
        <family val="2"/>
        <scheme val="none"/>
      </font>
      <alignment horizontal="left"/>
    </ndxf>
  </rcc>
  <rfmt sheetId="23" sqref="E68" start="0" length="0">
    <dxf>
      <font>
        <b val="0"/>
        <sz val="7"/>
        <family val="2"/>
      </font>
      <border outline="0">
        <right style="thin">
          <color indexed="64"/>
        </right>
      </border>
    </dxf>
  </rfmt>
  <rcc rId="225" sId="23" odxf="1" s="1" dxf="1" numFmtId="4">
    <oc r="F68">
      <f>F67*GWPCH4</f>
    </oc>
    <nc r="F68">
      <v>1549.7011734097098</v>
    </nc>
    <odxf>
      <font>
        <b/>
        <i val="0"/>
        <strike val="0"/>
        <condense val="0"/>
        <extend val="0"/>
        <outline val="0"/>
        <shadow val="0"/>
        <u val="none"/>
        <vertAlign val="baseline"/>
        <sz val="9"/>
        <color auto="1"/>
        <name val="Arial"/>
        <family val="2"/>
        <scheme val="none"/>
      </font>
      <numFmt numFmtId="181" formatCode="_(* #,##0_);_(* \(#,##0\);_(* &quot;-&quot;??_);_(@_)"/>
      <fill>
        <patternFill patternType="solid">
          <fgColor indexed="64"/>
          <bgColor rgb="FFFFC000"/>
        </patternFill>
      </fill>
      <alignment horizontal="general" vertical="top" textRotation="0" wrapText="0" indent="0" justifyLastLine="0" shrinkToFit="0" readingOrder="0"/>
      <border diagonalUp="0" diagonalDown="0" outline="0">
        <left style="thin">
          <color indexed="64"/>
        </left>
        <right/>
        <top/>
        <bottom/>
      </border>
    </odxf>
    <ndxf>
      <font>
        <b val="0"/>
        <sz val="9"/>
        <color auto="1"/>
        <name val="Arial"/>
        <family val="2"/>
        <scheme val="none"/>
      </font>
      <numFmt numFmtId="3" formatCode="#,##0"/>
    </ndxf>
  </rcc>
  <rcc rId="226" sId="23" odxf="1" dxf="1">
    <nc r="H68" t="inlineStr">
      <is>
        <t>KC15-50-2_Landfill Calculations</t>
      </is>
    </nc>
    <odxf>
      <numFmt numFmtId="30" formatCode="@"/>
      <alignment horizontal="center"/>
    </odxf>
    <ndxf>
      <numFmt numFmtId="0" formatCode="General"/>
      <alignment horizontal="left"/>
    </ndxf>
  </rcc>
  <rfmt sheetId="23" sqref="I68" start="0" length="0">
    <dxf>
      <numFmt numFmtId="0" formatCode="General"/>
    </dxf>
  </rfmt>
  <rfmt sheetId="23" sqref="J68" start="0" length="0">
    <dxf>
      <numFmt numFmtId="0" formatCode="General"/>
    </dxf>
  </rfmt>
  <rcc rId="227" sId="23" numFmtId="4">
    <oc r="K68">
      <f>K67*GWPCH4</f>
    </oc>
    <nc r="K68">
      <v>1039.835077234439</v>
    </nc>
  </rcc>
  <rcc rId="228" sId="23">
    <oc r="L68" t="inlineStr">
      <is>
        <r>
          <t>MgCO</t>
        </r>
        <r>
          <rPr>
            <b/>
            <vertAlign val="subscript"/>
            <sz val="9"/>
            <rFont val="Arial"/>
            <family val="2"/>
          </rPr>
          <t>2</t>
        </r>
        <r>
          <rPr>
            <b/>
            <sz val="9"/>
            <rFont val="Arial"/>
            <family val="2"/>
          </rPr>
          <t>e</t>
        </r>
      </is>
    </oc>
    <nc r="L68" t="inlineStr">
      <is>
        <t>MgCO2e</t>
      </is>
    </nc>
  </rcc>
  <rcc rId="229" sId="23">
    <nc r="M68" t="inlineStr">
      <is>
        <t>KC15-50-2_Landfill Calculations</t>
      </is>
    </nc>
  </rcc>
  <rfmt sheetId="23" sqref="O68" start="0" length="0">
    <dxf>
      <numFmt numFmtId="0" formatCode="General"/>
    </dxf>
  </rfmt>
  <rfmt sheetId="23" sqref="P68" start="0" length="0">
    <dxf>
      <numFmt numFmtId="0" formatCode="General"/>
    </dxf>
  </rfmt>
  <rfmt sheetId="23" sqref="Q68" start="0" length="0">
    <dxf>
      <numFmt numFmtId="0" formatCode="General"/>
    </dxf>
  </rfmt>
  <rfmt sheetId="23" sqref="A69" start="0" length="0">
    <dxf>
      <font>
        <sz val="9"/>
        <color auto="1"/>
        <name val="Arial"/>
        <family val="2"/>
        <scheme val="none"/>
      </font>
      <alignment horizontal="general" vertical="top"/>
      <border outline="0">
        <right style="thin">
          <color indexed="64"/>
        </right>
      </border>
    </dxf>
  </rfmt>
  <rfmt sheetId="23" sqref="B69" start="0" length="0">
    <dxf>
      <border outline="0">
        <left/>
      </border>
    </dxf>
  </rfmt>
  <rfmt sheetId="23" sqref="C69" start="0" length="0">
    <dxf/>
  </rfmt>
  <rfmt sheetId="23" sqref="D69" start="0" length="0">
    <dxf/>
  </rfmt>
  <rfmt sheetId="23" sqref="E69" start="0" length="0">
    <dxf>
      <border outline="0">
        <right style="thin">
          <color indexed="64"/>
        </right>
      </border>
    </dxf>
  </rfmt>
  <rfmt sheetId="23" sqref="F69" start="0" length="0">
    <dxf>
      <border outline="0">
        <left/>
      </border>
    </dxf>
  </rfmt>
  <rfmt sheetId="23" sqref="G69" start="0" length="0">
    <dxf>
      <font>
        <b/>
        <sz val="9"/>
        <color auto="1"/>
        <name val="Arial"/>
        <family val="2"/>
        <scheme val="none"/>
      </font>
    </dxf>
  </rfmt>
  <rfmt sheetId="23" sqref="H69" start="0" length="0">
    <dxf>
      <numFmt numFmtId="0" formatCode="General"/>
      <alignment horizontal="left"/>
    </dxf>
  </rfmt>
  <rfmt sheetId="23" sqref="I69" start="0" length="0">
    <dxf>
      <numFmt numFmtId="0" formatCode="General"/>
    </dxf>
  </rfmt>
  <rfmt sheetId="23" sqref="J69" start="0" length="0">
    <dxf>
      <numFmt numFmtId="0" formatCode="General"/>
    </dxf>
  </rfmt>
  <rfmt sheetId="23" sqref="O69" start="0" length="0">
    <dxf>
      <numFmt numFmtId="0" formatCode="General"/>
    </dxf>
  </rfmt>
  <rfmt sheetId="23" sqref="P69" start="0" length="0">
    <dxf>
      <numFmt numFmtId="0" formatCode="General"/>
    </dxf>
  </rfmt>
  <rfmt sheetId="23" sqref="Q69" start="0" length="0">
    <dxf>
      <numFmt numFmtId="0" formatCode="General"/>
    </dxf>
  </rfmt>
  <rcc rId="230" sId="23" odxf="1" dxf="1">
    <oc r="A70" t="inlineStr">
      <is>
        <t xml:space="preserve">West Seattle </t>
      </is>
    </oc>
    <nc r="A70" t="inlineStr">
      <is>
        <t>Cedar Hills Landfill in King County (active)</t>
      </is>
    </nc>
    <odxf>
      <border outline="0">
        <right/>
      </border>
    </odxf>
    <ndxf>
      <border outline="0">
        <right style="thin">
          <color indexed="64"/>
        </right>
      </border>
    </ndxf>
  </rcc>
  <rfmt sheetId="23" sqref="B70" start="0" length="0">
    <dxf>
      <border outline="0">
        <left/>
      </border>
    </dxf>
  </rfmt>
  <rfmt sheetId="23" sqref="C70" start="0" length="0">
    <dxf/>
  </rfmt>
  <rfmt sheetId="23" sqref="D70" start="0" length="0">
    <dxf/>
  </rfmt>
  <rfmt sheetId="23" sqref="E70" start="0" length="0">
    <dxf>
      <border outline="0">
        <right style="thin">
          <color indexed="64"/>
        </right>
      </border>
    </dxf>
  </rfmt>
  <rfmt sheetId="23" sqref="F70" start="0" length="0">
    <dxf>
      <border outline="0">
        <left/>
      </border>
    </dxf>
  </rfmt>
  <rfmt sheetId="23" sqref="G70" start="0" length="0">
    <dxf>
      <numFmt numFmtId="30" formatCode="@"/>
      <alignment horizontal="center"/>
    </dxf>
  </rfmt>
  <rfmt sheetId="23" sqref="H70" start="0" length="0">
    <dxf>
      <numFmt numFmtId="0" formatCode="General"/>
    </dxf>
  </rfmt>
  <rfmt sheetId="23" sqref="I70" start="0" length="0">
    <dxf>
      <numFmt numFmtId="0" formatCode="General"/>
    </dxf>
  </rfmt>
  <rfmt sheetId="23" sqref="J70" start="0" length="0">
    <dxf>
      <font>
        <sz val="7"/>
        <color auto="1"/>
        <name val="Arial"/>
        <family val="2"/>
        <scheme val="none"/>
      </font>
      <numFmt numFmtId="0" formatCode="General"/>
    </dxf>
  </rfmt>
  <rfmt sheetId="23" sqref="O70" start="0" length="0">
    <dxf>
      <numFmt numFmtId="0" formatCode="General"/>
    </dxf>
  </rfmt>
  <rfmt sheetId="23" sqref="P70" start="0" length="0">
    <dxf>
      <numFmt numFmtId="0" formatCode="General"/>
    </dxf>
  </rfmt>
  <rfmt sheetId="23" sqref="Q70" start="0" length="0">
    <dxf>
      <numFmt numFmtId="0" formatCode="General"/>
    </dxf>
  </rfmt>
  <rcc rId="231" sId="23" odxf="1" dxf="1">
    <oc r="A71" t="inlineStr">
      <is>
        <t>Soure data</t>
      </is>
    </oc>
    <nc r="A71" t="inlineStr">
      <is>
        <t>Source data</t>
      </is>
    </nc>
    <odxf>
      <border outline="0">
        <right/>
      </border>
    </odxf>
    <ndxf>
      <border outline="0">
        <right style="thin">
          <color indexed="64"/>
        </right>
      </border>
    </ndxf>
  </rcc>
  <rfmt sheetId="23" sqref="B71" start="0" length="0">
    <dxf>
      <border outline="0">
        <left/>
      </border>
    </dxf>
  </rfmt>
  <rfmt sheetId="23" sqref="C71" start="0" length="0">
    <dxf/>
  </rfmt>
  <rfmt sheetId="23" sqref="D71" start="0" length="0">
    <dxf/>
  </rfmt>
  <rfmt sheetId="23" sqref="E71" start="0" length="0">
    <dxf>
      <border outline="0">
        <right style="thin">
          <color indexed="64"/>
        </right>
      </border>
    </dxf>
  </rfmt>
  <rfmt sheetId="23" sqref="F71" start="0" length="0">
    <dxf>
      <border outline="0">
        <left/>
      </border>
    </dxf>
  </rfmt>
  <rfmt sheetId="23" sqref="G71" start="0" length="0">
    <dxf>
      <numFmt numFmtId="30" formatCode="@"/>
      <alignment horizontal="center"/>
    </dxf>
  </rfmt>
  <rfmt sheetId="23" sqref="H71" start="0" length="0">
    <dxf>
      <font>
        <sz val="9"/>
        <color auto="1"/>
        <name val="Arial"/>
        <family val="2"/>
        <scheme val="none"/>
      </font>
      <numFmt numFmtId="0" formatCode="General"/>
    </dxf>
  </rfmt>
  <rfmt sheetId="23" sqref="I71" start="0" length="0">
    <dxf>
      <numFmt numFmtId="0" formatCode="General"/>
      <alignment horizontal="general"/>
    </dxf>
  </rfmt>
  <rfmt sheetId="23" sqref="J71" start="0" length="0">
    <dxf>
      <font>
        <sz val="7"/>
        <color auto="1"/>
        <name val="Arial"/>
        <family val="2"/>
        <scheme val="none"/>
      </font>
      <numFmt numFmtId="0" formatCode="General"/>
      <alignment horizontal="general"/>
    </dxf>
  </rfmt>
  <rfmt sheetId="23" sqref="O71" start="0" length="0">
    <dxf>
      <numFmt numFmtId="0" formatCode="General"/>
      <alignment horizontal="general"/>
    </dxf>
  </rfmt>
  <rfmt sheetId="23" sqref="P71" start="0" length="0">
    <dxf>
      <numFmt numFmtId="0" formatCode="General"/>
      <alignment horizontal="general"/>
    </dxf>
  </rfmt>
  <rfmt sheetId="23" sqref="Q71" start="0" length="0">
    <dxf>
      <numFmt numFmtId="0" formatCode="General"/>
      <alignment horizontal="general"/>
    </dxf>
  </rfmt>
  <rcc rId="232" sId="23" odxf="1" dxf="1">
    <oc r="A72" t="inlineStr">
      <is>
        <t>West Seattle emissions monitoring</t>
      </is>
    </oc>
    <nc r="A72" t="inlineStr">
      <is>
        <t>Emissions monitoring</t>
      </is>
    </nc>
    <odxf>
      <font>
        <family val="2"/>
      </font>
      <alignment horizontal="left"/>
      <border outline="0">
        <right/>
      </border>
    </odxf>
    <ndxf>
      <font>
        <sz val="9"/>
        <color auto="1"/>
        <name val="Arial"/>
        <family val="2"/>
        <scheme val="none"/>
      </font>
      <alignment horizontal="general"/>
      <border outline="0">
        <right style="thin">
          <color indexed="64"/>
        </right>
      </border>
    </ndxf>
  </rcc>
  <rfmt sheetId="23" sqref="B72" start="0" length="0">
    <dxf>
      <border outline="0">
        <left/>
      </border>
    </dxf>
  </rfmt>
  <rfmt sheetId="23" sqref="C72" start="0" length="0">
    <dxf>
      <font>
        <sz val="9"/>
        <color auto="1"/>
        <name val="Arial"/>
        <family val="2"/>
        <scheme val="none"/>
      </font>
      <numFmt numFmtId="0" formatCode="General"/>
    </dxf>
  </rfmt>
  <rfmt sheetId="23" sqref="D72" start="0" length="0">
    <dxf>
      <numFmt numFmtId="0" formatCode="General"/>
    </dxf>
  </rfmt>
  <rfmt sheetId="23" sqref="E72" start="0" length="0">
    <dxf>
      <numFmt numFmtId="0" formatCode="General"/>
      <alignment horizontal="general"/>
      <border outline="0">
        <right style="thin">
          <color indexed="64"/>
        </right>
      </border>
    </dxf>
  </rfmt>
  <rfmt sheetId="23" sqref="F72" start="0" length="0">
    <dxf>
      <border outline="0">
        <left/>
      </border>
    </dxf>
  </rfmt>
  <rfmt sheetId="23" sqref="G72" start="0" length="0">
    <dxf>
      <font>
        <sz val="9"/>
        <color auto="1"/>
        <name val="Arial"/>
        <family val="2"/>
        <scheme val="none"/>
      </font>
      <numFmt numFmtId="30" formatCode="@"/>
      <alignment horizontal="center"/>
    </dxf>
  </rfmt>
  <rfmt sheetId="23" sqref="H72" start="0" length="0">
    <dxf>
      <numFmt numFmtId="0" formatCode="General"/>
    </dxf>
  </rfmt>
  <rfmt sheetId="23" sqref="I72" start="0" length="0">
    <dxf>
      <numFmt numFmtId="0" formatCode="General"/>
      <alignment horizontal="general"/>
    </dxf>
  </rfmt>
  <rfmt sheetId="23" sqref="J72" start="0" length="0">
    <dxf>
      <font>
        <sz val="7"/>
        <color auto="1"/>
        <name val="Arial"/>
        <family val="2"/>
        <scheme val="none"/>
      </font>
      <numFmt numFmtId="0" formatCode="General"/>
      <alignment horizontal="general"/>
    </dxf>
  </rfmt>
  <rfmt sheetId="23" sqref="O72" start="0" length="0">
    <dxf>
      <numFmt numFmtId="0" formatCode="General"/>
      <alignment horizontal="general"/>
    </dxf>
  </rfmt>
  <rfmt sheetId="23" sqref="P72" start="0" length="0">
    <dxf>
      <numFmt numFmtId="0" formatCode="General"/>
      <alignment horizontal="general"/>
    </dxf>
  </rfmt>
  <rfmt sheetId="23" sqref="Q72" start="0" length="0">
    <dxf>
      <numFmt numFmtId="0" formatCode="General"/>
      <alignment horizontal="general"/>
    </dxf>
  </rfmt>
  <rcc rId="233" sId="23" odxf="1" dxf="1">
    <oc r="A73" t="inlineStr">
      <is>
        <t>system methane concentration</t>
      </is>
    </oc>
    <nc r="A73" t="inlineStr">
      <is>
        <t>methane flare rate</t>
      </is>
    </nc>
    <odxf>
      <font>
        <family val="2"/>
      </font>
      <border outline="0">
        <right/>
      </border>
    </odxf>
    <ndxf>
      <font>
        <sz val="9"/>
        <color auto="1"/>
        <name val="Arial"/>
        <family val="2"/>
        <scheme val="none"/>
      </font>
      <border outline="0">
        <right style="thin">
          <color indexed="64"/>
        </right>
      </border>
    </ndxf>
  </rcc>
  <rcc rId="234" sId="23" odxf="1" dxf="1" numFmtId="4">
    <oc r="B73">
      <v>8.3000000000000004E-2</v>
    </oc>
    <nc r="B73">
      <v>4255.5087436022804</v>
    </nc>
    <odxf>
      <numFmt numFmtId="178" formatCode="0.0%"/>
      <border outline="0">
        <left style="thin">
          <color indexed="64"/>
        </left>
      </border>
    </odxf>
    <ndxf>
      <numFmt numFmtId="3" formatCode="#,##0"/>
      <border outline="0">
        <left/>
      </border>
    </ndxf>
  </rcc>
  <rcc rId="235" sId="23" odxf="1" dxf="1">
    <nc r="C73" t="inlineStr">
      <is>
        <r>
          <t>ft</t>
        </r>
        <r>
          <rPr>
            <vertAlign val="superscript"/>
            <sz val="9"/>
            <rFont val="Arial"/>
            <family val="2"/>
          </rPr>
          <t>3</t>
        </r>
        <r>
          <rPr>
            <sz val="9"/>
            <rFont val="Arial"/>
            <family val="2"/>
          </rPr>
          <t>/min</t>
        </r>
      </is>
    </nc>
    <odxf>
      <font>
        <sz val="9"/>
        <color auto="1"/>
        <name val="Arial"/>
        <family val="2"/>
        <scheme val="none"/>
      </font>
    </odxf>
    <ndxf>
      <font>
        <sz val="9"/>
        <color auto="1"/>
        <name val="Arial"/>
        <family val="2"/>
        <scheme val="none"/>
      </font>
    </ndxf>
  </rcc>
  <rcc rId="236" sId="23" odxf="1" dxf="1">
    <oc r="D73" t="inlineStr">
      <is>
        <t xml:space="preserve">05-174 </t>
      </is>
    </oc>
    <nc r="D73" t="inlineStr">
      <is>
        <t>KC08-50-09_Cedar_Hills_CH4</t>
      </is>
    </nc>
    <odxf>
      <font>
        <family val="2"/>
      </font>
      <numFmt numFmtId="30" formatCode="@"/>
      <alignment horizontal="center"/>
    </odxf>
    <ndxf>
      <font>
        <sz val="9"/>
        <color auto="1"/>
        <name val="Arial"/>
        <family val="2"/>
        <scheme val="none"/>
      </font>
      <numFmt numFmtId="0" formatCode="General"/>
      <alignment horizontal="left"/>
    </ndxf>
  </rcc>
  <rcc rId="237" sId="23" odxf="1" dxf="1">
    <oc r="E73" t="inlineStr">
      <is>
        <t>fourth quarter average, p. 2</t>
      </is>
    </oc>
    <nc r="E73"/>
    <odxf>
      <numFmt numFmtId="30" formatCode="@"/>
      <alignment horizontal="center"/>
      <border outline="0">
        <right/>
      </border>
    </odxf>
    <ndxf>
      <numFmt numFmtId="0" formatCode="General"/>
      <alignment horizontal="general"/>
      <border outline="0">
        <right style="thin">
          <color indexed="64"/>
        </right>
      </border>
    </ndxf>
  </rcc>
  <rcc rId="238" sId="23" odxf="1" dxf="1" numFmtId="4">
    <oc r="F73">
      <v>7.4999999999999997E-2</v>
    </oc>
    <nc r="F73">
      <v>4346.8990885977391</v>
    </nc>
    <odxf>
      <numFmt numFmtId="178" formatCode="0.0%"/>
      <border outline="0">
        <left style="thin">
          <color indexed="64"/>
        </left>
      </border>
    </odxf>
    <ndxf>
      <numFmt numFmtId="3" formatCode="#,##0"/>
      <border outline="0">
        <left/>
      </border>
    </ndxf>
  </rcc>
  <rcc rId="239" sId="23" odxf="1" dxf="1">
    <nc r="G73" t="inlineStr">
      <is>
        <r>
          <t>ft</t>
        </r>
        <r>
          <rPr>
            <vertAlign val="superscript"/>
            <sz val="9"/>
            <rFont val="Arial"/>
            <family val="2"/>
          </rPr>
          <t>3</t>
        </r>
        <r>
          <rPr>
            <sz val="9"/>
            <rFont val="Arial"/>
            <family val="2"/>
          </rPr>
          <t>/min</t>
        </r>
      </is>
    </nc>
    <odxf>
      <font>
        <sz val="9"/>
        <color auto="1"/>
        <name val="Arial"/>
        <family val="2"/>
        <scheme val="none"/>
      </font>
    </odxf>
    <ndxf>
      <font>
        <sz val="9"/>
        <color auto="1"/>
        <name val="Arial"/>
        <family val="2"/>
        <scheme val="none"/>
      </font>
    </ndxf>
  </rcc>
  <rcc rId="240" sId="23" odxf="1" dxf="1">
    <oc r="H73" t="inlineStr">
      <is>
        <t xml:space="preserve">08-50-2 </t>
      </is>
    </oc>
    <nc r="H73" t="inlineStr">
      <is>
        <t>KC08-50-09_Cedar_Hills_CH4</t>
      </is>
    </nc>
    <odxf>
      <font>
        <family val="2"/>
      </font>
      <numFmt numFmtId="165" formatCode="#,##0.0"/>
      <alignment horizontal="center"/>
    </odxf>
    <ndxf>
      <font>
        <sz val="9"/>
        <color auto="1"/>
        <name val="Arial"/>
        <family val="2"/>
        <scheme val="none"/>
      </font>
      <numFmt numFmtId="0" formatCode="General"/>
      <alignment horizontal="left"/>
    </ndxf>
  </rcc>
  <rcc rId="241" sId="23" odxf="1" dxf="1">
    <oc r="I73" t="inlineStr">
      <is>
        <t>fourth quarter average pg 2</t>
      </is>
    </oc>
    <nc r="I73"/>
    <odxf>
      <numFmt numFmtId="165" formatCode="#,##0.0"/>
      <alignment horizontal="center" wrapText="1"/>
    </odxf>
    <ndxf>
      <numFmt numFmtId="0" formatCode="General"/>
      <alignment horizontal="general" wrapText="0"/>
    </ndxf>
  </rcc>
  <rfmt sheetId="23" sqref="J73" start="0" length="0">
    <dxf>
      <font>
        <sz val="7"/>
        <color auto="1"/>
        <name val="Arial"/>
        <family val="2"/>
        <scheme val="none"/>
      </font>
      <numFmt numFmtId="0" formatCode="General"/>
      <alignment horizontal="general" wrapText="0"/>
    </dxf>
  </rfmt>
  <rcc rId="242" sId="23">
    <oc r="K73">
      <v>7.4999999999999997E-2</v>
    </oc>
    <nc r="K73"/>
  </rcc>
  <rcc rId="243" sId="23">
    <oc r="M73" t="inlineStr">
      <is>
        <t xml:space="preserve">08-50-2 </t>
      </is>
    </oc>
    <nc r="M73"/>
  </rcc>
  <rfmt sheetId="23" sqref="O73" start="0" length="0">
    <dxf>
      <numFmt numFmtId="0" formatCode="General"/>
      <alignment horizontal="general" wrapText="0"/>
    </dxf>
  </rfmt>
  <rfmt sheetId="23" sqref="P73" start="0" length="0">
    <dxf>
      <numFmt numFmtId="0" formatCode="General"/>
      <alignment horizontal="general" wrapText="0"/>
    </dxf>
  </rfmt>
  <rfmt sheetId="23" sqref="Q73" start="0" length="0">
    <dxf>
      <numFmt numFmtId="0" formatCode="General"/>
      <alignment horizontal="general" wrapText="0"/>
    </dxf>
  </rfmt>
  <rcc rId="244" sId="23" odxf="1" dxf="1">
    <oc r="A74" t="inlineStr">
      <is>
        <t>system flow</t>
      </is>
    </oc>
    <nc r="A74" t="inlineStr">
      <is>
        <t>Combustion efficiency</t>
      </is>
    </nc>
    <odxf>
      <font>
        <family val="2"/>
      </font>
      <alignment indent="1"/>
      <border outline="0">
        <right/>
      </border>
    </odxf>
    <ndxf>
      <font>
        <sz val="9"/>
        <color auto="1"/>
        <name val="Arial"/>
        <family val="2"/>
        <scheme val="none"/>
      </font>
      <alignment indent="0"/>
      <border outline="0">
        <right style="thin">
          <color indexed="64"/>
        </right>
      </border>
    </ndxf>
  </rcc>
  <rcc rId="245" sId="23" odxf="1" s="1" dxf="1" numFmtId="13">
    <oc r="B74">
      <v>127</v>
    </oc>
    <nc r="B74">
      <v>0.98</v>
    </nc>
    <odxf>
      <numFmt numFmtId="3"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numFmt numFmtId="13" formatCode="0%"/>
      <border outline="0">
        <left/>
      </border>
    </ndxf>
  </rcc>
  <rcc rId="246" sId="23">
    <oc r="C74" t="inlineStr">
      <is>
        <r>
          <t>ft</t>
        </r>
        <r>
          <rPr>
            <vertAlign val="superscript"/>
            <sz val="9"/>
            <rFont val="Arial"/>
            <family val="2"/>
          </rPr>
          <t>3</t>
        </r>
        <r>
          <rPr>
            <sz val="9"/>
            <rFont val="Arial"/>
            <family val="2"/>
          </rPr>
          <t>/min</t>
        </r>
      </is>
    </oc>
    <nc r="C74"/>
  </rcc>
  <rcc rId="247" sId="23" odxf="1" dxf="1">
    <oc r="D74" t="inlineStr">
      <is>
        <t>05-174</t>
      </is>
    </oc>
    <nc r="D74" t="inlineStr">
      <is>
        <t>KC08-50-10_Cedar_Hills_combustion_rate</t>
      </is>
    </nc>
    <odxf>
      <font>
        <family val="2"/>
      </font>
      <numFmt numFmtId="30" formatCode="@"/>
      <alignment horizontal="center"/>
    </odxf>
    <ndxf>
      <font>
        <sz val="9"/>
        <color auto="1"/>
        <name val="Arial"/>
        <family val="2"/>
        <scheme val="none"/>
      </font>
      <numFmt numFmtId="0" formatCode="General"/>
      <alignment horizontal="left"/>
    </ndxf>
  </rcc>
  <rfmt sheetId="23" sqref="E74" start="0" length="0">
    <dxf>
      <numFmt numFmtId="0" formatCode="General"/>
      <alignment horizontal="general"/>
      <border outline="0">
        <right style="thin">
          <color indexed="64"/>
        </right>
      </border>
    </dxf>
  </rfmt>
  <rcc rId="248" sId="23" odxf="1" s="1" dxf="1" numFmtId="13">
    <oc r="F74">
      <v>130</v>
    </oc>
    <nc r="F74">
      <v>0.98</v>
    </nc>
    <odxf>
      <numFmt numFmtId="3"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numFmt numFmtId="13" formatCode="0%"/>
      <border outline="0">
        <left/>
      </border>
    </ndxf>
  </rcc>
  <rcc rId="249" sId="23">
    <oc r="G74" t="inlineStr">
      <is>
        <r>
          <t>ft</t>
        </r>
        <r>
          <rPr>
            <vertAlign val="superscript"/>
            <sz val="9"/>
            <rFont val="Arial"/>
            <family val="2"/>
          </rPr>
          <t>3</t>
        </r>
        <r>
          <rPr>
            <sz val="9"/>
            <rFont val="Arial"/>
            <family val="2"/>
          </rPr>
          <t>/min</t>
        </r>
      </is>
    </oc>
    <nc r="G74"/>
  </rcc>
  <rcc rId="250" sId="23" odxf="1" dxf="1">
    <oc r="H74" t="inlineStr">
      <is>
        <t xml:space="preserve">08-50-2 </t>
      </is>
    </oc>
    <nc r="H74" t="inlineStr">
      <is>
        <t>KC08-50-10_Cedar_Hills_combustion_rate</t>
      </is>
    </nc>
    <odxf>
      <font>
        <family val="2"/>
      </font>
      <numFmt numFmtId="30" formatCode="@"/>
      <alignment horizontal="center"/>
    </odxf>
    <ndxf>
      <font>
        <sz val="9"/>
        <color auto="1"/>
        <name val="Arial"/>
        <family val="2"/>
        <scheme val="none"/>
      </font>
      <numFmt numFmtId="0" formatCode="General"/>
      <alignment horizontal="left"/>
    </ndxf>
  </rcc>
  <rcc rId="251" sId="23" odxf="1" dxf="1">
    <oc r="I74" t="inlineStr">
      <is>
        <t>pg 2</t>
      </is>
    </oc>
    <nc r="I74"/>
    <odxf>
      <numFmt numFmtId="30" formatCode="@"/>
      <alignment horizontal="left"/>
    </odxf>
    <ndxf>
      <numFmt numFmtId="0" formatCode="General"/>
      <alignment horizontal="general"/>
    </ndxf>
  </rcc>
  <rfmt sheetId="23" sqref="J74" start="0" length="0">
    <dxf>
      <font>
        <sz val="7"/>
        <color auto="1"/>
        <name val="Arial"/>
        <family val="2"/>
        <scheme val="none"/>
      </font>
      <numFmt numFmtId="0" formatCode="General"/>
      <alignment horizontal="general"/>
    </dxf>
  </rfmt>
  <rcc rId="252" sId="23">
    <oc r="K74">
      <v>130</v>
    </oc>
    <nc r="K74"/>
  </rcc>
  <rcc rId="253" sId="23">
    <oc r="L74" t="inlineStr">
      <is>
        <r>
          <t>ft</t>
        </r>
        <r>
          <rPr>
            <vertAlign val="superscript"/>
            <sz val="9"/>
            <rFont val="Arial"/>
            <family val="2"/>
          </rPr>
          <t>3</t>
        </r>
        <r>
          <rPr>
            <sz val="9"/>
            <rFont val="Arial"/>
            <family val="2"/>
          </rPr>
          <t>/min</t>
        </r>
      </is>
    </oc>
    <nc r="L74"/>
  </rcc>
  <rcc rId="254" sId="23">
    <oc r="M74" t="inlineStr">
      <is>
        <t xml:space="preserve">08-50-2 </t>
      </is>
    </oc>
    <nc r="M74"/>
  </rcc>
  <rfmt sheetId="23" sqref="O74" start="0" length="0">
    <dxf>
      <numFmt numFmtId="0" formatCode="General"/>
      <alignment horizontal="general"/>
    </dxf>
  </rfmt>
  <rfmt sheetId="23" sqref="P74" start="0" length="0">
    <dxf>
      <numFmt numFmtId="0" formatCode="General"/>
      <alignment horizontal="general"/>
    </dxf>
  </rfmt>
  <rfmt sheetId="23" sqref="Q74" start="0" length="0">
    <dxf>
      <numFmt numFmtId="0" formatCode="General"/>
      <alignment horizontal="general"/>
    </dxf>
  </rfmt>
  <rcc rId="255" sId="23" odxf="1" dxf="1">
    <nc r="A75" t="inlineStr">
      <is>
        <t>Collection efficiency</t>
      </is>
    </nc>
    <odxf>
      <alignment wrapText="1" indent="2"/>
      <border outline="0">
        <right/>
      </border>
    </odxf>
    <ndxf>
      <alignment wrapText="0" indent="0"/>
      <border outline="0">
        <right style="thin">
          <color indexed="64"/>
        </right>
      </border>
    </ndxf>
  </rcc>
  <rcc rId="256" sId="23" odxf="1" s="1" dxf="1" numFmtId="13">
    <nc r="B75">
      <v>0.9</v>
    </nc>
    <odxf>
      <numFmt numFmtId="3"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numFmt numFmtId="13" formatCode="0%"/>
      <border outline="0">
        <left/>
      </border>
    </ndxf>
  </rcc>
  <rfmt sheetId="23" sqref="C75" start="0" length="0">
    <dxf>
      <font>
        <sz val="9"/>
        <color auto="1"/>
        <name val="Arial"/>
        <family val="2"/>
        <scheme val="none"/>
      </font>
      <numFmt numFmtId="0" formatCode="General"/>
    </dxf>
  </rfmt>
  <rcc rId="257" sId="23" odxf="1" dxf="1">
    <nc r="D75" t="inlineStr">
      <is>
        <t>KC08-50-10_Cedar_Hills_capture_rate</t>
      </is>
    </nc>
    <odxf>
      <numFmt numFmtId="30" formatCode="@"/>
      <alignment horizontal="center"/>
    </odxf>
    <ndxf>
      <numFmt numFmtId="0" formatCode="General"/>
      <alignment horizontal="left"/>
    </ndxf>
  </rcc>
  <rfmt sheetId="23" sqref="E75" start="0" length="0">
    <dxf>
      <numFmt numFmtId="0" formatCode="General"/>
      <alignment horizontal="general"/>
      <border outline="0">
        <right style="thin">
          <color indexed="64"/>
        </right>
      </border>
    </dxf>
  </rfmt>
  <rcc rId="258" sId="23" odxf="1" s="1" dxf="1" numFmtId="13">
    <nc r="F75">
      <v>0.9</v>
    </nc>
    <odxf>
      <numFmt numFmtId="3" formatCode="#,##0"/>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numFmt numFmtId="13" formatCode="0%"/>
      <border outline="0">
        <left/>
      </border>
    </ndxf>
  </rcc>
  <rfmt sheetId="23" sqref="G75" start="0" length="0">
    <dxf>
      <font>
        <b val="0"/>
        <family val="2"/>
      </font>
    </dxf>
  </rfmt>
  <rcc rId="259" sId="23" odxf="1" dxf="1">
    <nc r="H75" t="inlineStr">
      <is>
        <t>KC08-50-10_Cedar_Hills_capture_rate</t>
      </is>
    </nc>
    <odxf>
      <alignment horizontal="center"/>
    </odxf>
    <ndxf>
      <alignment horizontal="left"/>
    </ndxf>
  </rcc>
  <rfmt sheetId="23" sqref="I75" start="0" length="0">
    <dxf/>
  </rfmt>
  <rfmt sheetId="23" sqref="J75" start="0" length="0">
    <dxf>
      <font>
        <sz val="7"/>
        <color auto="1"/>
        <name val="Arial"/>
        <family val="2"/>
        <scheme val="none"/>
      </font>
    </dxf>
  </rfmt>
  <rfmt sheetId="23" sqref="O75" start="0" length="0">
    <dxf/>
  </rfmt>
  <rfmt sheetId="23" sqref="P75" start="0" length="0">
    <dxf/>
  </rfmt>
  <rfmt sheetId="23" sqref="Q75" start="0" length="0">
    <dxf/>
  </rfmt>
  <rcc rId="260" sId="23" odxf="1" dxf="1">
    <oc r="A76" t="inlineStr">
      <is>
        <t>Calculation steps</t>
      </is>
    </oc>
    <nc r="A76" t="inlineStr">
      <is>
        <t>Soil oxidation rate</t>
      </is>
    </nc>
    <odxf>
      <font>
        <b/>
        <family val="2"/>
      </font>
      <fill>
        <patternFill patternType="solid">
          <bgColor rgb="FF00B0F0"/>
        </patternFill>
      </fill>
      <alignment vertical="bottom"/>
      <border outline="0">
        <right/>
      </border>
    </odxf>
    <ndxf>
      <font>
        <b val="0"/>
        <sz val="9"/>
        <color auto="1"/>
        <name val="Arial"/>
        <family val="2"/>
        <scheme val="none"/>
      </font>
      <fill>
        <patternFill patternType="none">
          <bgColor indexed="65"/>
        </patternFill>
      </fill>
      <alignment vertical="top"/>
      <border outline="0">
        <right style="thin">
          <color indexed="64"/>
        </right>
      </border>
    </ndxf>
  </rcc>
  <rcc rId="261" sId="23" odxf="1" s="1" dxf="1" numFmtId="13">
    <nc r="B76">
      <v>0.1</v>
    </nc>
    <odxf>
      <font>
        <b/>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b val="0"/>
        <sz val="9"/>
        <color auto="1"/>
        <name val="Arial"/>
        <family val="2"/>
        <scheme val="none"/>
      </font>
      <numFmt numFmtId="13" formatCode="0%"/>
      <alignment horizontal="general"/>
      <border outline="0">
        <left/>
      </border>
    </ndxf>
  </rcc>
  <rfmt sheetId="23" sqref="C76" start="0" length="0">
    <dxf>
      <font>
        <b val="0"/>
        <family val="2"/>
      </font>
      <numFmt numFmtId="0" formatCode="General"/>
      <alignment horizontal="general"/>
    </dxf>
  </rfmt>
  <rcc rId="262" sId="23" odxf="1" dxf="1">
    <nc r="D76" t="inlineStr">
      <is>
        <t>KC08-50-2_LGOP</t>
      </is>
    </nc>
    <odxf>
      <font>
        <b/>
        <family val="2"/>
      </font>
      <numFmt numFmtId="30" formatCode="@"/>
      <alignment horizontal="center"/>
    </odxf>
    <ndxf>
      <font>
        <b val="0"/>
        <sz val="9"/>
        <color auto="1"/>
        <name val="Arial"/>
        <family val="2"/>
        <scheme val="none"/>
      </font>
      <numFmt numFmtId="0" formatCode="General"/>
      <alignment horizontal="left"/>
    </ndxf>
  </rcc>
  <rfmt sheetId="23" sqref="E76" start="0" length="0">
    <dxf>
      <font>
        <b val="0"/>
        <sz val="7"/>
        <family val="2"/>
      </font>
      <numFmt numFmtId="0" formatCode="General"/>
      <alignment horizontal="general"/>
      <border outline="0">
        <right style="thin">
          <color indexed="64"/>
        </right>
      </border>
    </dxf>
  </rfmt>
  <rcc rId="263" sId="23" odxf="1" s="1" dxf="1" numFmtId="13">
    <nc r="F76">
      <v>0.1</v>
    </nc>
    <odxf>
      <font>
        <b/>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b val="0"/>
        <sz val="9"/>
        <color auto="1"/>
        <name val="Arial"/>
        <family val="2"/>
        <scheme val="none"/>
      </font>
      <numFmt numFmtId="13" formatCode="0%"/>
      <alignment horizontal="general"/>
      <border outline="0">
        <left/>
      </border>
    </ndxf>
  </rcc>
  <rfmt sheetId="23" sqref="G76" start="0" length="0">
    <dxf>
      <font>
        <b val="0"/>
        <family val="2"/>
      </font>
      <numFmt numFmtId="0" formatCode="General"/>
      <alignment horizontal="general"/>
    </dxf>
  </rfmt>
  <rcc rId="264" sId="23" odxf="1" dxf="1">
    <nc r="H76" t="inlineStr">
      <is>
        <t>KC08-50-2_LGOP</t>
      </is>
    </nc>
    <odxf>
      <font>
        <b/>
        <family val="2"/>
      </font>
      <numFmt numFmtId="30" formatCode="@"/>
      <alignment horizontal="center"/>
    </odxf>
    <ndxf>
      <font>
        <b val="0"/>
        <sz val="9"/>
        <color auto="1"/>
        <name val="Arial"/>
        <family val="2"/>
        <scheme val="none"/>
      </font>
      <numFmt numFmtId="0" formatCode="General"/>
      <alignment horizontal="left"/>
    </ndxf>
  </rcc>
  <rfmt sheetId="23" sqref="I76" start="0" length="0">
    <dxf>
      <font>
        <b val="0"/>
        <sz val="7"/>
        <family val="2"/>
      </font>
      <numFmt numFmtId="0" formatCode="General"/>
      <alignment horizontal="general"/>
    </dxf>
  </rfmt>
  <rfmt sheetId="23" sqref="J76" start="0" length="0">
    <dxf>
      <font>
        <sz val="7"/>
        <color auto="1"/>
        <name val="Arial"/>
        <family val="2"/>
        <scheme val="none"/>
      </font>
      <numFmt numFmtId="0" formatCode="General"/>
      <alignment horizontal="general"/>
    </dxf>
  </rfmt>
  <rfmt sheetId="23" sqref="O76" start="0" length="0">
    <dxf>
      <font>
        <b val="0"/>
        <sz val="7"/>
        <family val="2"/>
      </font>
      <numFmt numFmtId="0" formatCode="General"/>
      <alignment horizontal="general"/>
    </dxf>
  </rfmt>
  <rfmt sheetId="23" sqref="P76" start="0" length="0">
    <dxf>
      <font>
        <b val="0"/>
        <sz val="7"/>
        <family val="2"/>
      </font>
      <numFmt numFmtId="0" formatCode="General"/>
      <alignment horizontal="general"/>
    </dxf>
  </rfmt>
  <rfmt sheetId="23" sqref="Q76" start="0" length="0">
    <dxf>
      <font>
        <b val="0"/>
        <sz val="7"/>
        <family val="2"/>
      </font>
      <numFmt numFmtId="0" formatCode="General"/>
      <alignment horizontal="general"/>
    </dxf>
  </rfmt>
  <rcc rId="265" sId="23" odxf="1" dxf="1">
    <oc r="A77" t="inlineStr">
      <is>
        <t>1. Convert to L/day</t>
      </is>
    </oc>
    <nc r="A77"/>
    <odxf>
      <font>
        <family val="2"/>
      </font>
      <alignment vertical="bottom" indent="0"/>
      <border outline="0">
        <right/>
      </border>
    </odxf>
    <ndxf>
      <font>
        <sz val="9"/>
        <color auto="1"/>
        <name val="Arial"/>
        <family val="2"/>
        <scheme val="none"/>
      </font>
      <alignment vertical="top" indent="1"/>
      <border outline="0">
        <right style="thin">
          <color indexed="64"/>
        </right>
      </border>
    </ndxf>
  </rcc>
  <rcc rId="266" sId="23" odxf="1" s="1" dxf="1">
    <oc r="B77">
      <f>B74*ft3TOL/minTOday</f>
    </oc>
    <nc r="B77"/>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alignment horizontal="general"/>
      <border outline="0">
        <left/>
      </border>
    </ndxf>
  </rcc>
  <rcc rId="267" sId="23" odxf="1" dxf="1">
    <oc r="C77" t="inlineStr">
      <is>
        <t>L/day</t>
      </is>
    </oc>
    <nc r="C77"/>
    <odxf>
      <font>
        <family val="2"/>
      </font>
    </odxf>
    <ndxf>
      <font>
        <sz val="9"/>
        <color auto="1"/>
        <name val="Arial"/>
        <family val="2"/>
        <scheme val="none"/>
      </font>
    </ndxf>
  </rcc>
  <rfmt sheetId="23" sqref="D77" start="0" length="0">
    <dxf>
      <font>
        <b val="0"/>
        <sz val="9"/>
        <color auto="1"/>
        <name val="Arial"/>
        <family val="2"/>
        <scheme val="none"/>
      </font>
      <numFmt numFmtId="0" formatCode="General"/>
    </dxf>
  </rfmt>
  <rfmt sheetId="23" sqref="E77" start="0" length="0">
    <dxf>
      <font>
        <b val="0"/>
        <sz val="7"/>
        <family val="2"/>
      </font>
      <numFmt numFmtId="0" formatCode="General"/>
      <alignment horizontal="general"/>
      <border outline="0">
        <right style="thin">
          <color indexed="64"/>
        </right>
      </border>
    </dxf>
  </rfmt>
  <rcc rId="268" sId="23" odxf="1" s="1" dxf="1">
    <oc r="F77">
      <f>F74*ft3TOL/minTOday</f>
    </oc>
    <nc r="F77"/>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top/>
        <bottom/>
      </border>
    </odxf>
    <ndxf>
      <font>
        <sz val="9"/>
        <color auto="1"/>
        <name val="Arial"/>
        <family val="2"/>
        <scheme val="none"/>
      </font>
      <numFmt numFmtId="3" formatCode="#,##0"/>
      <alignment horizontal="general"/>
      <border outline="0">
        <left/>
      </border>
    </ndxf>
  </rcc>
  <rcc rId="269" sId="23" odxf="1" dxf="1">
    <oc r="G77" t="inlineStr">
      <is>
        <t>L/day</t>
      </is>
    </oc>
    <nc r="G77"/>
    <odxf>
      <font>
        <family val="2"/>
      </font>
    </odxf>
    <ndxf>
      <font>
        <sz val="9"/>
        <color auto="1"/>
        <name val="Arial"/>
        <family val="2"/>
        <scheme val="none"/>
      </font>
    </ndxf>
  </rcc>
  <rfmt sheetId="23" sqref="H77" start="0" length="0">
    <dxf>
      <font>
        <b val="0"/>
        <sz val="9"/>
        <color auto="1"/>
        <name val="Arial"/>
        <family val="2"/>
        <scheme val="none"/>
      </font>
      <numFmt numFmtId="0" formatCode="General"/>
    </dxf>
  </rfmt>
  <rfmt sheetId="23" sqref="I77" start="0" length="0">
    <dxf>
      <font>
        <b val="0"/>
        <sz val="7"/>
        <family val="2"/>
      </font>
      <numFmt numFmtId="0" formatCode="General"/>
      <alignment horizontal="general"/>
    </dxf>
  </rfmt>
  <rfmt sheetId="23" sqref="J77" start="0" length="0">
    <dxf>
      <font>
        <sz val="7"/>
        <color auto="1"/>
        <name val="Arial"/>
        <family val="2"/>
        <scheme val="none"/>
      </font>
      <numFmt numFmtId="0" formatCode="General"/>
      <alignment horizontal="general"/>
    </dxf>
  </rfmt>
  <rcc rId="270" sId="23">
    <oc r="K77">
      <f>K74*ft3TOL/minTOday</f>
    </oc>
    <nc r="K77"/>
  </rcc>
  <rcc rId="271" sId="23">
    <oc r="L77" t="inlineStr">
      <is>
        <t>L/day</t>
      </is>
    </oc>
    <nc r="L77"/>
  </rcc>
  <rfmt sheetId="23" sqref="O77" start="0" length="0">
    <dxf>
      <font>
        <b val="0"/>
        <sz val="7"/>
        <family val="2"/>
      </font>
      <numFmt numFmtId="0" formatCode="General"/>
      <alignment horizontal="general"/>
    </dxf>
  </rfmt>
  <rfmt sheetId="23" sqref="P77" start="0" length="0">
    <dxf>
      <font>
        <b val="0"/>
        <sz val="7"/>
        <family val="2"/>
      </font>
      <numFmt numFmtId="0" formatCode="General"/>
      <alignment horizontal="general"/>
    </dxf>
  </rfmt>
  <rfmt sheetId="23" sqref="Q77" start="0" length="0">
    <dxf>
      <font>
        <b val="0"/>
        <sz val="7"/>
        <family val="2"/>
      </font>
      <numFmt numFmtId="0" formatCode="General"/>
      <alignment horizontal="general"/>
    </dxf>
  </rfmt>
  <rcc rId="272" sId="23" odxf="1" dxf="1">
    <oc r="A78" t="inlineStr">
      <is>
        <t>2. Calculate methane flow</t>
      </is>
    </oc>
    <nc r="A78" t="inlineStr">
      <is>
        <t>Calculation steps</t>
      </is>
    </nc>
    <odxf>
      <font>
        <b val="0"/>
        <family val="2"/>
      </font>
      <fill>
        <patternFill patternType="none">
          <bgColor indexed="65"/>
        </patternFill>
      </fill>
      <alignment vertical="top"/>
    </odxf>
    <ndxf>
      <font>
        <b/>
        <family val="2"/>
      </font>
      <fill>
        <patternFill patternType="solid">
          <bgColor rgb="FF00B0F0"/>
        </patternFill>
      </fill>
      <alignment vertical="bottom"/>
    </ndxf>
  </rcc>
  <rcc rId="273" sId="23" odxf="1" dxf="1">
    <oc r="B78">
      <f>B77*B73*densityCH4</f>
    </oc>
    <nc r="B78"/>
    <odxf>
      <numFmt numFmtId="181" formatCode="_(* #,##0_);_(* \(#,##0\);_(* &quot;-&quot;??_);_(@_)"/>
    </odxf>
    <ndxf>
      <numFmt numFmtId="0" formatCode="General"/>
    </ndxf>
  </rcc>
  <rcc rId="274" sId="23" odxf="1" dxf="1">
    <oc r="C78" t="inlineStr">
      <is>
        <t>g/day</t>
      </is>
    </oc>
    <nc r="C78"/>
    <odxf>
      <font>
        <family val="2"/>
      </font>
    </odxf>
    <ndxf>
      <font>
        <sz val="9"/>
        <color auto="1"/>
        <name val="Arial"/>
        <family val="2"/>
        <scheme val="none"/>
      </font>
    </ndxf>
  </rcc>
  <rfmt sheetId="23" sqref="D78" start="0" length="0">
    <dxf>
      <numFmt numFmtId="0" formatCode="General"/>
    </dxf>
  </rfmt>
  <rfmt sheetId="23" sqref="E78" start="0" length="0">
    <dxf>
      <numFmt numFmtId="0" formatCode="General"/>
      <alignment horizontal="general"/>
    </dxf>
  </rfmt>
  <rcc rId="275" sId="23" odxf="1" dxf="1">
    <oc r="F78">
      <f>F77*F73*densityCH4</f>
    </oc>
    <nc r="F78"/>
    <odxf>
      <numFmt numFmtId="181" formatCode="_(* #,##0_);_(* \(#,##0\);_(* &quot;-&quot;??_);_(@_)"/>
    </odxf>
    <ndxf>
      <numFmt numFmtId="0" formatCode="General"/>
    </ndxf>
  </rcc>
  <rcc rId="276" sId="23" odxf="1" dxf="1">
    <oc r="G78" t="inlineStr">
      <is>
        <t>g/day</t>
      </is>
    </oc>
    <nc r="G78"/>
    <odxf>
      <font>
        <family val="2"/>
      </font>
    </odxf>
    <ndxf>
      <font>
        <sz val="9"/>
        <color auto="1"/>
        <name val="Arial"/>
        <family val="2"/>
        <scheme val="none"/>
      </font>
    </ndxf>
  </rcc>
  <rfmt sheetId="23" sqref="H78" start="0" length="0">
    <dxf>
      <numFmt numFmtId="0" formatCode="General"/>
    </dxf>
  </rfmt>
  <rfmt sheetId="23" sqref="I78" start="0" length="0">
    <dxf>
      <numFmt numFmtId="0" formatCode="General"/>
      <alignment horizontal="general"/>
    </dxf>
  </rfmt>
  <rfmt sheetId="23" sqref="J78" start="0" length="0">
    <dxf>
      <font>
        <sz val="7"/>
        <color auto="1"/>
        <name val="Arial"/>
        <family val="2"/>
        <scheme val="none"/>
      </font>
      <numFmt numFmtId="0" formatCode="General"/>
      <alignment horizontal="general"/>
    </dxf>
  </rfmt>
  <rcc rId="277" sId="23">
    <oc r="K78">
      <f>K77*K73*densityCH4</f>
    </oc>
    <nc r="K78"/>
  </rcc>
  <rcc rId="278" sId="23">
    <oc r="L78" t="inlineStr">
      <is>
        <t>g/day</t>
      </is>
    </oc>
    <nc r="L78"/>
  </rcc>
  <rfmt sheetId="23" sqref="O78" start="0" length="0">
    <dxf>
      <numFmt numFmtId="0" formatCode="General"/>
      <alignment horizontal="general"/>
    </dxf>
  </rfmt>
  <rfmt sheetId="23" sqref="P78" start="0" length="0">
    <dxf>
      <numFmt numFmtId="0" formatCode="General"/>
      <alignment horizontal="general"/>
    </dxf>
  </rfmt>
  <rfmt sheetId="23" sqref="Q78" start="0" length="0">
    <dxf>
      <numFmt numFmtId="0" formatCode="General"/>
      <alignment horizontal="general"/>
    </dxf>
  </rfmt>
  <rcc rId="279" sId="23" odxf="1" dxf="1">
    <oc r="A79" t="inlineStr">
      <is>
        <t>3. Convert methane flow to mg/yr</t>
      </is>
    </oc>
    <nc r="A79" t="inlineStr">
      <is>
        <t>1.  Convert to L/day</t>
      </is>
    </nc>
    <odxf>
      <font>
        <family val="2"/>
      </font>
    </odxf>
    <ndxf>
      <font>
        <sz val="9"/>
        <color auto="1"/>
        <name val="Arial"/>
        <family val="2"/>
        <scheme val="none"/>
      </font>
    </ndxf>
  </rcc>
  <rcc rId="280" sId="23" odxf="1" dxf="1">
    <oc r="B79">
      <f>B78/(dayTOyr)/1000000</f>
    </oc>
    <nc r="B79">
      <f>B73*ft3TOL/minTOday</f>
    </nc>
    <odxf>
      <numFmt numFmtId="1" formatCode="0"/>
    </odxf>
    <ndxf>
      <numFmt numFmtId="181" formatCode="_(* #,##0_);_(* \(#,##0\);_(* &quot;-&quot;??_);_(@_)"/>
    </ndxf>
  </rcc>
  <rcc rId="281" sId="23" odxf="1" dxf="1">
    <oc r="C79" t="inlineStr">
      <is>
        <t>Mg/yr</t>
      </is>
    </oc>
    <nc r="C79" t="inlineStr">
      <is>
        <t>L/day</t>
      </is>
    </nc>
    <odxf>
      <font>
        <family val="2"/>
      </font>
    </odxf>
    <ndxf>
      <font>
        <sz val="9"/>
        <color auto="1"/>
        <name val="Arial"/>
        <family val="2"/>
        <scheme val="none"/>
      </font>
    </ndxf>
  </rcc>
  <rfmt sheetId="23" sqref="D79" start="0" length="0">
    <dxf>
      <numFmt numFmtId="0" formatCode="General"/>
    </dxf>
  </rfmt>
  <rfmt sheetId="23" sqref="E79" start="0" length="0">
    <dxf>
      <numFmt numFmtId="0" formatCode="General"/>
      <alignment horizontal="general"/>
    </dxf>
  </rfmt>
  <rcc rId="282" sId="23" odxf="1" dxf="1">
    <oc r="F79">
      <f>F78/(dayTOyr)/1000000</f>
    </oc>
    <nc r="F79">
      <f>F73*ft3TOL/minTOday</f>
    </nc>
    <odxf>
      <numFmt numFmtId="1" formatCode="0"/>
    </odxf>
    <ndxf>
      <numFmt numFmtId="181" formatCode="_(* #,##0_);_(* \(#,##0\);_(* &quot;-&quot;??_);_(@_)"/>
    </ndxf>
  </rcc>
  <rcc rId="283" sId="23" odxf="1" dxf="1">
    <oc r="G79" t="inlineStr">
      <is>
        <t>Mg/yr</t>
      </is>
    </oc>
    <nc r="G79" t="inlineStr">
      <is>
        <t>L/day</t>
      </is>
    </nc>
    <odxf>
      <font>
        <family val="2"/>
      </font>
    </odxf>
    <ndxf>
      <font>
        <sz val="9"/>
        <color auto="1"/>
        <name val="Arial"/>
        <family val="2"/>
        <scheme val="none"/>
      </font>
    </ndxf>
  </rcc>
  <rfmt sheetId="23" sqref="H79" start="0" length="0">
    <dxf>
      <numFmt numFmtId="0" formatCode="General"/>
    </dxf>
  </rfmt>
  <rfmt sheetId="23" sqref="I79" start="0" length="0">
    <dxf>
      <numFmt numFmtId="0" formatCode="General"/>
      <alignment horizontal="general"/>
    </dxf>
  </rfmt>
  <rfmt sheetId="23" sqref="J79" start="0" length="0">
    <dxf>
      <font>
        <sz val="7"/>
        <color auto="1"/>
        <name val="Arial"/>
        <family val="2"/>
        <scheme val="none"/>
      </font>
      <numFmt numFmtId="0" formatCode="General"/>
      <alignment horizontal="general"/>
    </dxf>
  </rfmt>
  <rcc rId="284" sId="23">
    <oc r="K79">
      <f>K78/(dayTOyr)/1000000</f>
    </oc>
    <nc r="K79"/>
  </rcc>
  <rcc rId="285" sId="23">
    <oc r="L79" t="inlineStr">
      <is>
        <t>Mg/yr</t>
      </is>
    </oc>
    <nc r="L79"/>
  </rcc>
  <rfmt sheetId="23" sqref="O79" start="0" length="0">
    <dxf>
      <numFmt numFmtId="0" formatCode="General"/>
      <alignment horizontal="general"/>
    </dxf>
  </rfmt>
  <rfmt sheetId="23" sqref="P79" start="0" length="0">
    <dxf>
      <numFmt numFmtId="0" formatCode="General"/>
      <alignment horizontal="general"/>
    </dxf>
  </rfmt>
  <rfmt sheetId="23" sqref="Q79" start="0" length="0">
    <dxf>
      <numFmt numFmtId="0" formatCode="General"/>
      <alignment horizontal="general"/>
    </dxf>
  </rfmt>
  <rcc rId="286" sId="23" odxf="1" dxf="1">
    <oc r="A80" t="inlineStr">
      <is>
        <t>4. Calculate methane emissions</t>
      </is>
    </oc>
    <nc r="A80" t="inlineStr">
      <is>
        <t>2. Convert to g/day</t>
      </is>
    </nc>
    <odxf>
      <font>
        <b/>
        <family val="2"/>
      </font>
      <alignment vertical="bottom" wrapText="0"/>
    </odxf>
    <ndxf>
      <font>
        <b val="0"/>
        <sz val="9"/>
        <color auto="1"/>
        <name val="Arial"/>
        <family val="2"/>
        <scheme val="none"/>
      </font>
      <alignment vertical="top" wrapText="1"/>
    </ndxf>
  </rcc>
  <rcc rId="287" sId="23" odxf="1" s="1" dxf="1">
    <oc r="B80">
      <f>B79*GWPCH4</f>
    </oc>
    <nc r="B80">
      <f>B79*densityCH4</f>
    </nc>
    <odxf>
      <font>
        <b/>
        <i val="0"/>
        <strike val="0"/>
        <condense val="0"/>
        <extend val="0"/>
        <outline val="0"/>
        <shadow val="0"/>
        <u val="none"/>
        <vertAlign val="baseline"/>
        <sz val="9"/>
        <color auto="1"/>
        <name val="Arial"/>
        <family val="2"/>
        <scheme val="none"/>
      </font>
      <numFmt numFmtId="181" formatCode="_(* #,##0_);_(* \(#,##0\);_(* &quot;-&quot;??_);_(@_)"/>
      <fill>
        <patternFill patternType="solid">
          <fgColor indexed="64"/>
          <bgColor rgb="FFFFC000"/>
        </patternFill>
      </fill>
      <alignment horizontal="general" vertical="top" textRotation="0" wrapText="0" indent="0" justifyLastLine="0" shrinkToFit="0" readingOrder="0"/>
      <border diagonalUp="0" diagonalDown="0" outline="0">
        <left style="thin">
          <color indexed="64"/>
        </left>
        <right/>
        <top/>
        <bottom/>
      </border>
    </odxf>
    <ndxf>
      <font>
        <b val="0"/>
        <sz val="9"/>
        <color auto="1"/>
        <name val="Arial"/>
        <family val="2"/>
        <scheme val="none"/>
      </font>
      <fill>
        <patternFill patternType="none">
          <bgColor indexed="65"/>
        </patternFill>
      </fill>
    </ndxf>
  </rcc>
  <rcc rId="288" sId="23" odxf="1" dxf="1">
    <oc r="C80" t="inlineStr">
      <is>
        <r>
          <t>MgCO</t>
        </r>
        <r>
          <rPr>
            <vertAlign val="subscript"/>
            <sz val="9"/>
            <rFont val="Arial"/>
            <family val="2"/>
          </rPr>
          <t>2</t>
        </r>
        <r>
          <rPr>
            <sz val="9"/>
            <rFont val="Arial"/>
            <family val="2"/>
          </rPr>
          <t>e</t>
        </r>
      </is>
    </oc>
    <nc r="C80" t="inlineStr">
      <is>
        <t>g/day</t>
      </is>
    </nc>
    <odxf>
      <font>
        <b/>
        <family val="2"/>
      </font>
    </odxf>
    <ndxf>
      <font>
        <b val="0"/>
        <sz val="9"/>
        <color auto="1"/>
        <name val="Arial"/>
        <family val="2"/>
        <scheme val="none"/>
      </font>
    </ndxf>
  </rcc>
  <rfmt sheetId="23" sqref="D80" start="0" length="0">
    <dxf>
      <font>
        <b val="0"/>
        <sz val="9"/>
        <color auto="1"/>
        <name val="Arial"/>
        <family val="2"/>
        <scheme val="none"/>
      </font>
    </dxf>
  </rfmt>
  <rfmt sheetId="23" sqref="E80" start="0" length="0">
    <dxf>
      <font>
        <b val="0"/>
        <sz val="7"/>
        <family val="2"/>
      </font>
    </dxf>
  </rfmt>
  <rcc rId="289" sId="23" odxf="1" s="1" dxf="1">
    <oc r="F80">
      <f>F79*GWPCH4</f>
    </oc>
    <nc r="F80">
      <f>F79*densityCH4</f>
    </nc>
    <odxf>
      <font>
        <b/>
        <i val="0"/>
        <strike val="0"/>
        <condense val="0"/>
        <extend val="0"/>
        <outline val="0"/>
        <shadow val="0"/>
        <u val="none"/>
        <vertAlign val="baseline"/>
        <sz val="9"/>
        <color auto="1"/>
        <name val="Arial"/>
        <family val="2"/>
        <scheme val="none"/>
      </font>
      <numFmt numFmtId="181" formatCode="_(* #,##0_);_(* \(#,##0\);_(* &quot;-&quot;??_);_(@_)"/>
      <fill>
        <patternFill patternType="solid">
          <fgColor indexed="64"/>
          <bgColor rgb="FFFFC000"/>
        </patternFill>
      </fill>
      <alignment horizontal="general" vertical="top" textRotation="0" wrapText="0" indent="0" justifyLastLine="0" shrinkToFit="0" readingOrder="0"/>
      <border diagonalUp="0" diagonalDown="0" outline="0">
        <left style="thin">
          <color indexed="64"/>
        </left>
        <right/>
        <top/>
        <bottom/>
      </border>
    </odxf>
    <ndxf>
      <font>
        <b val="0"/>
        <sz val="9"/>
        <color auto="1"/>
        <name val="Arial"/>
        <family val="2"/>
        <scheme val="none"/>
      </font>
      <fill>
        <patternFill patternType="none">
          <bgColor indexed="65"/>
        </patternFill>
      </fill>
    </ndxf>
  </rcc>
  <rcc rId="290" sId="23" odxf="1" dxf="1">
    <oc r="G80" t="inlineStr">
      <is>
        <r>
          <t>MgCO</t>
        </r>
        <r>
          <rPr>
            <vertAlign val="subscript"/>
            <sz val="9"/>
            <rFont val="Arial"/>
            <family val="2"/>
          </rPr>
          <t>2</t>
        </r>
        <r>
          <rPr>
            <sz val="9"/>
            <rFont val="Arial"/>
            <family val="2"/>
          </rPr>
          <t>e</t>
        </r>
      </is>
    </oc>
    <nc r="G80" t="inlineStr">
      <is>
        <t>g/day</t>
      </is>
    </nc>
    <odxf>
      <font>
        <b/>
        <family val="2"/>
      </font>
    </odxf>
    <ndxf>
      <font>
        <b val="0"/>
        <sz val="9"/>
        <color auto="1"/>
        <name val="Arial"/>
        <family val="2"/>
        <scheme val="none"/>
      </font>
    </ndxf>
  </rcc>
  <rfmt sheetId="23" sqref="H80" start="0" length="0">
    <dxf>
      <numFmt numFmtId="0" formatCode="General"/>
    </dxf>
  </rfmt>
  <rfmt sheetId="23" sqref="I80" start="0" length="0">
    <dxf>
      <numFmt numFmtId="0" formatCode="General"/>
      <alignment horizontal="general"/>
    </dxf>
  </rfmt>
  <rfmt sheetId="23" sqref="J80" start="0" length="0">
    <dxf>
      <font>
        <sz val="7"/>
        <color auto="1"/>
        <name val="Arial"/>
        <family val="2"/>
        <scheme val="none"/>
      </font>
      <numFmt numFmtId="0" formatCode="General"/>
      <alignment horizontal="general"/>
    </dxf>
  </rfmt>
  <rcc rId="291" sId="23">
    <oc r="K80">
      <f>K79*GWPCH4</f>
    </oc>
    <nc r="K80"/>
  </rcc>
  <rcc rId="292" sId="23">
    <oc r="L80" t="inlineStr">
      <is>
        <r>
          <t>MgCO</t>
        </r>
        <r>
          <rPr>
            <vertAlign val="subscript"/>
            <sz val="9"/>
            <rFont val="Arial"/>
            <family val="2"/>
          </rPr>
          <t>2</t>
        </r>
        <r>
          <rPr>
            <sz val="9"/>
            <rFont val="Arial"/>
            <family val="2"/>
          </rPr>
          <t>e</t>
        </r>
      </is>
    </oc>
    <nc r="L80"/>
  </rcc>
  <rfmt sheetId="23" sqref="O80" start="0" length="0">
    <dxf>
      <numFmt numFmtId="0" formatCode="General"/>
      <alignment horizontal="general"/>
    </dxf>
  </rfmt>
  <rfmt sheetId="23" sqref="P80" start="0" length="0">
    <dxf>
      <numFmt numFmtId="0" formatCode="General"/>
      <alignment horizontal="general"/>
    </dxf>
  </rfmt>
  <rfmt sheetId="23" sqref="Q80" start="0" length="0">
    <dxf>
      <numFmt numFmtId="0" formatCode="General"/>
      <alignment horizontal="general"/>
    </dxf>
  </rfmt>
  <rcc rId="293" sId="23" odxf="1" dxf="1">
    <nc r="A81" t="inlineStr">
      <is>
        <t>3. Convert to mg/yr</t>
      </is>
    </nc>
    <odxf>
      <font>
        <family val="2"/>
      </font>
      <numFmt numFmtId="30" formatCode="@"/>
      <alignment horizontal="left" wrapText="1" indent="3"/>
    </odxf>
    <ndxf>
      <font>
        <sz val="9"/>
        <color auto="1"/>
        <name val="Arial"/>
        <family val="2"/>
        <scheme val="none"/>
      </font>
      <numFmt numFmtId="0" formatCode="General"/>
      <alignment horizontal="general" wrapText="0" indent="0"/>
    </ndxf>
  </rcc>
  <rcc rId="294" sId="23" odxf="1" dxf="1">
    <nc r="B81">
      <f>B80/(dayTOyr)/1000000</f>
    </nc>
    <odxf/>
    <ndxf/>
  </rcc>
  <rcc rId="295" sId="23" odxf="1" dxf="1">
    <nc r="C81" t="inlineStr">
      <is>
        <t>Mg/yr</t>
      </is>
    </nc>
    <odxf/>
    <ndxf/>
  </rcc>
  <rfmt sheetId="23" sqref="D81" start="0" length="0">
    <dxf>
      <numFmt numFmtId="0" formatCode="General"/>
    </dxf>
  </rfmt>
  <rfmt sheetId="23" sqref="E81" start="0" length="0">
    <dxf>
      <numFmt numFmtId="0" formatCode="General"/>
      <alignment horizontal="general"/>
    </dxf>
  </rfmt>
  <rcc rId="296" sId="23" odxf="1" dxf="1">
    <nc r="F81">
      <f>F80/(dayTOyr)/1000000</f>
    </nc>
    <odxf/>
    <ndxf/>
  </rcc>
  <rcc rId="297" sId="23" odxf="1" dxf="1">
    <nc r="G81" t="inlineStr">
      <is>
        <t>Mg/yr</t>
      </is>
    </nc>
    <odxf/>
    <ndxf/>
  </rcc>
  <rfmt sheetId="23" sqref="H81" start="0" length="0">
    <dxf>
      <numFmt numFmtId="0" formatCode="General"/>
      <alignment horizontal="center"/>
    </dxf>
  </rfmt>
  <rfmt sheetId="23" sqref="I81" start="0" length="0">
    <dxf>
      <numFmt numFmtId="0" formatCode="General"/>
      <alignment horizontal="general"/>
    </dxf>
  </rfmt>
  <rfmt sheetId="23" sqref="J81" start="0" length="0">
    <dxf>
      <font>
        <sz val="7"/>
        <color auto="1"/>
        <name val="Arial"/>
        <family val="2"/>
        <scheme val="none"/>
      </font>
      <numFmt numFmtId="0" formatCode="General"/>
      <alignment horizontal="general"/>
    </dxf>
  </rfmt>
  <rfmt sheetId="23" sqref="O81" start="0" length="0">
    <dxf>
      <numFmt numFmtId="0" formatCode="General"/>
      <alignment horizontal="general"/>
    </dxf>
  </rfmt>
  <rfmt sheetId="23" sqref="P81" start="0" length="0">
    <dxf>
      <numFmt numFmtId="0" formatCode="General"/>
      <alignment horizontal="general"/>
    </dxf>
  </rfmt>
  <rfmt sheetId="23" sqref="Q81" start="0" length="0">
    <dxf>
      <numFmt numFmtId="0" formatCode="General"/>
      <alignment horizontal="general"/>
    </dxf>
  </rfmt>
  <rcc rId="298" sId="23" odxf="1" dxf="1">
    <nc r="A82" t="inlineStr">
      <is>
        <t>4.  Calculate release of methane from flare system</t>
      </is>
    </nc>
    <odxf>
      <font>
        <family val="2"/>
      </font>
      <numFmt numFmtId="30" formatCode="@"/>
      <alignment horizontal="left" wrapText="1" indent="3"/>
    </odxf>
    <ndxf>
      <font>
        <sz val="9"/>
        <color auto="1"/>
        <name val="Arial"/>
        <family val="2"/>
        <scheme val="none"/>
      </font>
      <numFmt numFmtId="0" formatCode="General"/>
      <alignment horizontal="general" wrapText="0" indent="0"/>
    </ndxf>
  </rcc>
  <rcc rId="299" sId="23" odxf="1" s="1" dxf="1">
    <nc r="B82">
      <f>(1-B74)*B81</f>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rcc>
  <rcc rId="300" sId="23" odxf="1" dxf="1">
    <nc r="C82" t="inlineStr">
      <is>
        <t>Mg/yr</t>
      </is>
    </nc>
    <odxf>
      <numFmt numFmtId="3" formatCode="#,##0"/>
    </odxf>
    <ndxf>
      <numFmt numFmtId="0" formatCode="General"/>
    </ndxf>
  </rcc>
  <rfmt sheetId="23" sqref="D82" start="0" length="0">
    <dxf>
      <numFmt numFmtId="0" formatCode="General"/>
    </dxf>
  </rfmt>
  <rfmt sheetId="23" sqref="E82" start="0" length="0">
    <dxf>
      <numFmt numFmtId="0" formatCode="General"/>
      <alignment horizontal="general"/>
    </dxf>
  </rfmt>
  <rcc rId="301" sId="23" odxf="1" s="1" dxf="1">
    <nc r="F82">
      <f>(1-F74)*F81</f>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odxf>
    <ndxf/>
  </rcc>
  <rcc rId="302" sId="23" odxf="1" dxf="1">
    <nc r="G82" t="inlineStr">
      <is>
        <t>Mg/yr</t>
      </is>
    </nc>
    <odxf>
      <numFmt numFmtId="3" formatCode="#,##0"/>
    </odxf>
    <ndxf>
      <numFmt numFmtId="0" formatCode="General"/>
    </ndxf>
  </rcc>
  <rfmt sheetId="23" sqref="H82" start="0" length="0">
    <dxf>
      <font>
        <b val="0"/>
        <sz val="9"/>
        <color auto="1"/>
        <name val="Arial"/>
        <family val="2"/>
        <scheme val="none"/>
      </font>
      <numFmt numFmtId="0" formatCode="General"/>
      <alignment horizontal="center"/>
    </dxf>
  </rfmt>
  <rfmt sheetId="23" sqref="I82" start="0" length="0">
    <dxf>
      <font>
        <b val="0"/>
        <sz val="7"/>
        <family val="2"/>
      </font>
      <numFmt numFmtId="0" formatCode="General"/>
      <alignment horizontal="general"/>
    </dxf>
  </rfmt>
  <rfmt sheetId="23" sqref="J82" start="0" length="0">
    <dxf>
      <font>
        <sz val="7"/>
        <color auto="1"/>
        <name val="Arial"/>
        <family val="2"/>
        <scheme val="none"/>
      </font>
      <numFmt numFmtId="0" formatCode="General"/>
      <alignment horizontal="general"/>
    </dxf>
  </rfmt>
  <rfmt sheetId="23" sqref="O82" start="0" length="0">
    <dxf>
      <font>
        <b val="0"/>
        <sz val="7"/>
        <family val="2"/>
      </font>
      <numFmt numFmtId="0" formatCode="General"/>
      <alignment horizontal="general"/>
    </dxf>
  </rfmt>
  <rfmt sheetId="23" sqref="P82" start="0" length="0">
    <dxf>
      <font>
        <b val="0"/>
        <sz val="7"/>
        <family val="2"/>
      </font>
      <numFmt numFmtId="0" formatCode="General"/>
      <alignment horizontal="general"/>
    </dxf>
  </rfmt>
  <rfmt sheetId="23" sqref="Q82" start="0" length="0">
    <dxf>
      <font>
        <b val="0"/>
        <sz val="7"/>
        <family val="2"/>
      </font>
      <numFmt numFmtId="0" formatCode="General"/>
      <alignment horizontal="general"/>
    </dxf>
  </rfmt>
  <rcc rId="303" sId="23" odxf="1" dxf="1">
    <oc r="A83" t="inlineStr">
      <is>
        <t>Closed Landfills in Rural King County</t>
      </is>
    </oc>
    <nc r="A83" t="inlineStr">
      <is>
        <t>5.  Calculate fugitive methane releases</t>
      </is>
    </nc>
    <odxf>
      <font>
        <b/>
        <family val="2"/>
      </font>
      <fill>
        <patternFill patternType="solid">
          <bgColor indexed="50"/>
        </patternFill>
      </fill>
      <alignment horizontal="left" vertical="bottom"/>
    </odxf>
    <ndxf>
      <font>
        <b val="0"/>
        <sz val="9"/>
        <color auto="1"/>
        <name val="Arial"/>
        <family val="2"/>
        <scheme val="none"/>
      </font>
      <fill>
        <patternFill patternType="none">
          <bgColor indexed="65"/>
        </patternFill>
      </fill>
      <alignment horizontal="general" vertical="top"/>
    </ndxf>
  </rcc>
  <rcc rId="304" sId="23" odxf="1" dxf="1">
    <nc r="B83">
      <f>(1-B76)*(B81/B75-B81)</f>
    </nc>
    <odxf>
      <font>
        <b/>
        <family val="2"/>
      </font>
      <numFmt numFmtId="3" formatCode="#,##0"/>
    </odxf>
    <ndxf>
      <font>
        <b val="0"/>
        <sz val="9"/>
        <color auto="1"/>
        <name val="Arial"/>
        <family val="2"/>
        <scheme val="none"/>
      </font>
      <numFmt numFmtId="181" formatCode="_(* #,##0_);_(* \(#,##0\);_(* &quot;-&quot;??_);_(@_)"/>
    </ndxf>
  </rcc>
  <rcc rId="305" sId="23" odxf="1" dxf="1">
    <nc r="C83" t="inlineStr">
      <is>
        <t>Mg/yr</t>
      </is>
    </nc>
    <odxf>
      <font>
        <b/>
        <family val="2"/>
      </font>
    </odxf>
    <ndxf>
      <font>
        <b val="0"/>
        <family val="2"/>
      </font>
    </ndxf>
  </rcc>
  <rfmt sheetId="23" sqref="D83" start="0" length="0">
    <dxf>
      <font>
        <b val="0"/>
        <sz val="9"/>
        <color auto="1"/>
        <name val="Arial"/>
        <family val="2"/>
        <scheme val="none"/>
      </font>
      <numFmt numFmtId="0" formatCode="General"/>
    </dxf>
  </rfmt>
  <rfmt sheetId="23" sqref="E83" start="0" length="0">
    <dxf>
      <font>
        <b val="0"/>
        <sz val="7"/>
        <family val="2"/>
      </font>
      <numFmt numFmtId="0" formatCode="General"/>
      <alignment horizontal="general"/>
    </dxf>
  </rfmt>
  <rcc rId="306" sId="23" odxf="1" dxf="1">
    <nc r="F83">
      <f>(1-F76)*(F81/F75-F81)</f>
    </nc>
    <odxf>
      <font>
        <b/>
        <family val="2"/>
      </font>
      <numFmt numFmtId="3" formatCode="#,##0"/>
    </odxf>
    <ndxf>
      <font>
        <b val="0"/>
        <sz val="9"/>
        <color auto="1"/>
        <name val="Arial"/>
        <family val="2"/>
        <scheme val="none"/>
      </font>
      <numFmt numFmtId="181" formatCode="_(* #,##0_);_(* \(#,##0\);_(* &quot;-&quot;??_);_(@_)"/>
    </ndxf>
  </rcc>
  <rcc rId="307" sId="23" odxf="1" dxf="1">
    <nc r="G83" t="inlineStr">
      <is>
        <t>Mg/yr</t>
      </is>
    </nc>
    <odxf>
      <font>
        <b/>
        <family val="2"/>
      </font>
    </odxf>
    <ndxf>
      <font>
        <b val="0"/>
        <family val="2"/>
      </font>
    </ndxf>
  </rcc>
  <rfmt sheetId="23" sqref="H83" start="0" length="0">
    <dxf>
      <numFmt numFmtId="35" formatCode="_(* #,##0.00_);_(* \(#,##0.00\);_(* &quot;-&quot;??_);_(@_)"/>
      <alignment horizontal="center"/>
    </dxf>
  </rfmt>
  <rfmt sheetId="23" sqref="I83" start="0" length="0">
    <dxf>
      <numFmt numFmtId="0" formatCode="General"/>
      <alignment horizontal="general"/>
    </dxf>
  </rfmt>
  <rfmt sheetId="23" sqref="J83" start="0" length="0">
    <dxf>
      <numFmt numFmtId="0" formatCode="General"/>
      <alignment horizontal="general"/>
      <border outline="0">
        <left/>
        <right/>
      </border>
    </dxf>
  </rfmt>
  <rfmt sheetId="23" sqref="O83" start="0" length="0">
    <dxf>
      <numFmt numFmtId="0" formatCode="General"/>
      <alignment horizontal="general"/>
    </dxf>
  </rfmt>
  <rfmt sheetId="23" sqref="P83" start="0" length="0">
    <dxf>
      <numFmt numFmtId="0" formatCode="General"/>
      <alignment horizontal="general"/>
    </dxf>
  </rfmt>
  <rfmt sheetId="23" sqref="Q83" start="0" length="0">
    <dxf>
      <numFmt numFmtId="0" formatCode="General"/>
      <alignment horizontal="general"/>
    </dxf>
  </rfmt>
  <rcc rId="308" sId="23" odxf="1" dxf="1">
    <oc r="A84" t="inlineStr">
      <is>
        <t>Source data</t>
      </is>
    </oc>
    <nc r="A84" t="inlineStr">
      <is>
        <t>6.  Calculate total methane release</t>
      </is>
    </nc>
    <odxf>
      <font>
        <b/>
        <family val="2"/>
      </font>
      <numFmt numFmtId="30" formatCode="@"/>
      <fill>
        <patternFill patternType="solid">
          <bgColor theme="0" tint="-0.249977111117893"/>
        </patternFill>
      </fill>
      <alignment horizontal="left" vertical="bottom"/>
    </odxf>
    <ndxf>
      <font>
        <b val="0"/>
        <sz val="9"/>
        <color auto="1"/>
        <name val="Arial"/>
        <family val="2"/>
        <scheme val="none"/>
      </font>
      <numFmt numFmtId="0" formatCode="General"/>
      <fill>
        <patternFill patternType="none">
          <bgColor indexed="65"/>
        </patternFill>
      </fill>
      <alignment horizontal="general" vertical="top"/>
    </ndxf>
  </rcc>
  <rcc rId="309" sId="23" odxf="1" dxf="1">
    <nc r="B84">
      <f>SUM(B82:B83)</f>
    </nc>
    <odxf>
      <numFmt numFmtId="15" formatCode="0.00E+00"/>
    </odxf>
    <ndxf>
      <numFmt numFmtId="181" formatCode="_(* #,##0_);_(* \(#,##0\);_(* &quot;-&quot;??_);_(@_)"/>
    </ndxf>
  </rcc>
  <rcc rId="310" sId="23" odxf="1" dxf="1">
    <nc r="C84" t="inlineStr">
      <is>
        <t>Mg/yr</t>
      </is>
    </nc>
    <odxf>
      <numFmt numFmtId="3" formatCode="#,##0"/>
    </odxf>
    <ndxf>
      <numFmt numFmtId="0" formatCode="General"/>
    </ndxf>
  </rcc>
  <rfmt sheetId="23" sqref="D84" start="0" length="0">
    <dxf>
      <numFmt numFmtId="0" formatCode="General"/>
    </dxf>
  </rfmt>
  <rfmt sheetId="23" sqref="E84" start="0" length="0">
    <dxf>
      <numFmt numFmtId="0" formatCode="General"/>
      <alignment horizontal="general"/>
    </dxf>
  </rfmt>
  <rcc rId="311" sId="23" odxf="1" dxf="1">
    <nc r="F84">
      <f>SUM(F82:F83)</f>
    </nc>
    <odxf>
      <numFmt numFmtId="15" formatCode="0.00E+00"/>
    </odxf>
    <ndxf>
      <numFmt numFmtId="181" formatCode="_(* #,##0_);_(* \(#,##0\);_(* &quot;-&quot;??_);_(@_)"/>
    </ndxf>
  </rcc>
  <rcc rId="312" sId="23" odxf="1" dxf="1">
    <nc r="G84" t="inlineStr">
      <is>
        <t>Mg/yr</t>
      </is>
    </nc>
    <odxf>
      <numFmt numFmtId="3" formatCode="#,##0"/>
    </odxf>
    <ndxf>
      <numFmt numFmtId="0" formatCode="General"/>
    </ndxf>
  </rcc>
  <rfmt sheetId="23" sqref="H84" start="0" length="0">
    <dxf>
      <numFmt numFmtId="35" formatCode="_(* #,##0.00_);_(* \(#,##0.00\);_(* &quot;-&quot;??_);_(@_)"/>
      <alignment horizontal="center"/>
    </dxf>
  </rfmt>
  <rfmt sheetId="23" sqref="J84" start="0" length="0">
    <dxf>
      <font>
        <sz val="7"/>
        <color auto="1"/>
        <name val="Arial"/>
        <family val="2"/>
        <scheme val="none"/>
      </font>
    </dxf>
  </rfmt>
  <rcc rId="313" sId="23" numFmtId="34">
    <nc r="K84">
      <f>715*7.48</f>
    </nc>
  </rcc>
  <rcc rId="314" sId="23">
    <nc r="L84" t="inlineStr">
      <is>
        <t>Mg/yr</t>
      </is>
    </nc>
  </rcc>
  <rcc rId="315" sId="23" odxf="1" dxf="1">
    <nc r="M84" t="inlineStr">
      <is>
        <t>KC15-40-04</t>
      </is>
    </nc>
    <ndxf>
      <border outline="0">
        <right style="thin">
          <color indexed="64"/>
        </right>
      </border>
    </ndxf>
  </rcc>
  <rcc rId="316" sId="23" odxf="1" dxf="1">
    <nc r="N84" t="inlineStr">
      <is>
        <t>Lines 26-32 converted into gallons</t>
      </is>
    </nc>
    <ndxf>
      <font>
        <sz val="9"/>
        <color auto="1"/>
        <name val="Arial"/>
        <family val="2"/>
        <scheme val="none"/>
      </font>
    </ndxf>
  </rcc>
  <rcc rId="317" sId="23" odxf="1" dxf="1">
    <oc r="A85" t="inlineStr">
      <is>
        <t>Cedar Falls</t>
      </is>
    </oc>
    <nc r="A85" t="inlineStr">
      <is>
        <t>7.  Calculate methane emissions</t>
      </is>
    </nc>
    <odxf>
      <numFmt numFmtId="30" formatCode="@"/>
    </odxf>
    <ndxf>
      <numFmt numFmtId="0" formatCode="General"/>
    </ndxf>
  </rcc>
  <rcc rId="318" sId="23" odxf="1" dxf="1">
    <oc r="B85">
      <f>($B$80+$B$68+$B$45+$B$31+$B$13+$B$22)/($F$68+$F$45+$F$31+$F$22+$F$13)*F85</f>
    </oc>
    <nc r="B85">
      <f>B84*GWPCH4</f>
    </nc>
    <odxf>
      <font>
        <b val="0"/>
        <sz val="9"/>
        <color auto="1"/>
        <name val="Arial"/>
        <family val="2"/>
        <scheme val="none"/>
      </font>
      <numFmt numFmtId="3" formatCode="#,##0"/>
    </odxf>
    <ndxf>
      <font>
        <b/>
        <sz val="9"/>
        <color auto="1"/>
        <name val="Arial"/>
        <family val="2"/>
        <scheme val="none"/>
      </font>
      <numFmt numFmtId="181" formatCode="_(* #,##0_);_(* \(#,##0\);_(* &quot;-&quot;??_);_(@_)"/>
    </ndxf>
  </rcc>
  <rcc rId="319" sId="23">
    <oc r="C85" t="inlineStr">
      <is>
        <r>
          <t>MgCO</t>
        </r>
        <r>
          <rPr>
            <b/>
            <vertAlign val="subscript"/>
            <sz val="9"/>
            <rFont val="Arial"/>
            <family val="2"/>
          </rPr>
          <t>2</t>
        </r>
        <r>
          <rPr>
            <b/>
            <sz val="9"/>
            <rFont val="Arial"/>
            <family val="2"/>
          </rPr>
          <t>e</t>
        </r>
      </is>
    </oc>
    <nc r="C85" t="inlineStr">
      <is>
        <r>
          <t>MgCO</t>
        </r>
        <r>
          <rPr>
            <vertAlign val="subscript"/>
            <sz val="9"/>
            <rFont val="Arial"/>
            <family val="2"/>
          </rPr>
          <t>2</t>
        </r>
        <r>
          <rPr>
            <sz val="9"/>
            <rFont val="Arial"/>
            <family val="2"/>
          </rPr>
          <t>e</t>
        </r>
      </is>
    </nc>
  </rcc>
  <rcc rId="320" sId="23" odxf="1" dxf="1">
    <oc r="E85" t="inlineStr">
      <is>
        <t>2003 / 2008 ratio of all other closed landfills</t>
      </is>
    </oc>
    <nc r="E85"/>
    <odxf>
      <numFmt numFmtId="30" formatCode="@"/>
      <alignment horizontal="center"/>
    </odxf>
    <ndxf>
      <numFmt numFmtId="0" formatCode="General"/>
      <alignment horizontal="general"/>
    </ndxf>
  </rcc>
  <rcc rId="321" sId="23" odxf="1" dxf="1" numFmtId="34">
    <oc r="F85">
      <v>2374</v>
    </oc>
    <nc r="F85">
      <f>F84*GWPCH4</f>
    </nc>
    <odxf>
      <font>
        <b val="0"/>
        <sz val="9"/>
        <color auto="1"/>
        <name val="Arial"/>
        <family val="2"/>
        <scheme val="none"/>
      </font>
      <numFmt numFmtId="3" formatCode="#,##0"/>
    </odxf>
    <ndxf>
      <font>
        <b/>
        <sz val="9"/>
        <color auto="1"/>
        <name val="Arial"/>
        <family val="2"/>
        <scheme val="none"/>
      </font>
      <numFmt numFmtId="35" formatCode="_(* #,##0.00_);_(* \(#,##0.00\);_(* &quot;-&quot;??_);_(@_)"/>
    </ndxf>
  </rcc>
  <rcc rId="322" sId="23">
    <oc r="G85" t="inlineStr">
      <is>
        <r>
          <t>MgCO</t>
        </r>
        <r>
          <rPr>
            <b/>
            <vertAlign val="subscript"/>
            <sz val="9"/>
            <rFont val="Arial"/>
            <family val="2"/>
          </rPr>
          <t>2</t>
        </r>
        <r>
          <rPr>
            <b/>
            <sz val="9"/>
            <rFont val="Arial"/>
            <family val="2"/>
          </rPr>
          <t>e</t>
        </r>
      </is>
    </oc>
    <nc r="G85" t="inlineStr">
      <is>
        <r>
          <t>MgCO</t>
        </r>
        <r>
          <rPr>
            <vertAlign val="subscript"/>
            <sz val="9"/>
            <rFont val="Arial"/>
            <family val="2"/>
          </rPr>
          <t>2</t>
        </r>
        <r>
          <rPr>
            <sz val="9"/>
            <rFont val="Arial"/>
            <family val="2"/>
          </rPr>
          <t>e</t>
        </r>
      </is>
    </nc>
  </rcc>
  <rcc rId="323" sId="23" odxf="1" dxf="1">
    <oc r="H85" t="inlineStr">
      <is>
        <t>KC08-50-3_Closed_Landfills</t>
      </is>
    </oc>
    <nc r="H85"/>
    <odxf>
      <numFmt numFmtId="0" formatCode="General"/>
      <alignment horizontal="left"/>
    </odxf>
    <ndxf>
      <numFmt numFmtId="35" formatCode="_(* #,##0.00_);_(* \(#,##0.00\);_(* &quot;-&quot;??_);_(@_)"/>
      <alignment horizontal="center"/>
    </ndxf>
  </rcc>
  <rcc rId="324" sId="23" odxf="1" dxf="1">
    <oc r="J85" t="inlineStr">
      <is>
        <t>Why doesn't the ratio include F80?</t>
      </is>
    </oc>
    <nc r="J85"/>
    <odxf>
      <font>
        <sz val="9"/>
        <color auto="1"/>
        <name val="Arial"/>
        <family val="2"/>
        <scheme val="none"/>
      </font>
    </odxf>
    <ndxf>
      <font>
        <sz val="7"/>
        <color auto="1"/>
        <name val="Arial"/>
        <family val="2"/>
        <scheme val="none"/>
      </font>
    </ndxf>
  </rcc>
  <rcc rId="325" sId="23">
    <oc r="K85">
      <v>2374</v>
    </oc>
    <nc r="K85">
      <f>K84*GWPCH4</f>
    </nc>
  </rcc>
  <rcc rId="326" sId="23">
    <oc r="L85" t="inlineStr">
      <is>
        <r>
          <t>MgCO</t>
        </r>
        <r>
          <rPr>
            <b/>
            <vertAlign val="subscript"/>
            <sz val="9"/>
            <rFont val="Arial"/>
            <family val="2"/>
          </rPr>
          <t>2</t>
        </r>
        <r>
          <rPr>
            <b/>
            <sz val="9"/>
            <rFont val="Arial"/>
            <family val="2"/>
          </rPr>
          <t>e</t>
        </r>
      </is>
    </oc>
    <nc r="L85" t="inlineStr">
      <is>
        <r>
          <t>MgCO</t>
        </r>
        <r>
          <rPr>
            <vertAlign val="subscript"/>
            <sz val="9"/>
            <rFont val="Arial"/>
            <family val="2"/>
          </rPr>
          <t>2</t>
        </r>
        <r>
          <rPr>
            <sz val="9"/>
            <rFont val="Arial"/>
            <family val="2"/>
          </rPr>
          <t>e</t>
        </r>
      </is>
    </nc>
  </rcc>
  <rcc rId="327" sId="23">
    <oc r="M85" t="inlineStr">
      <is>
        <t>KC08-50-3_Closed_Landfills</t>
      </is>
    </oc>
    <nc r="M85"/>
  </rcc>
  <rcc rId="328" sId="23" odxf="1" dxf="1">
    <oc r="A86" t="inlineStr">
      <is>
        <t>Enumclaw</t>
      </is>
    </oc>
    <nc r="A86"/>
    <odxf>
      <numFmt numFmtId="30" formatCode="@"/>
    </odxf>
    <ndxf>
      <numFmt numFmtId="0" formatCode="General"/>
    </ndxf>
  </rcc>
  <rcc rId="329" sId="23" odxf="1" dxf="1">
    <oc r="B86">
      <f>($B$80+$B$68+$B$45+$B$31+$B$13+$B$22)/($F$68+$F$45+$F$31+$F$22+$F$13)*F86</f>
    </oc>
    <nc r="B86"/>
    <odxf>
      <numFmt numFmtId="3" formatCode="#,##0"/>
      <fill>
        <patternFill patternType="solid">
          <bgColor rgb="FFFFC000"/>
        </patternFill>
      </fill>
    </odxf>
    <ndxf>
      <numFmt numFmtId="0" formatCode="General"/>
      <fill>
        <patternFill patternType="none">
          <bgColor indexed="65"/>
        </patternFill>
      </fill>
    </ndxf>
  </rcc>
  <rcc rId="330" sId="23" odxf="1" dxf="1">
    <oc r="C86" t="inlineStr">
      <is>
        <r>
          <t>MgCO</t>
        </r>
        <r>
          <rPr>
            <b/>
            <vertAlign val="subscript"/>
            <sz val="9"/>
            <rFont val="Arial"/>
            <family val="2"/>
          </rPr>
          <t>2</t>
        </r>
        <r>
          <rPr>
            <b/>
            <sz val="9"/>
            <rFont val="Arial"/>
            <family val="2"/>
          </rPr>
          <t>e</t>
        </r>
      </is>
    </oc>
    <nc r="C86"/>
    <odxf>
      <font>
        <b/>
        <family val="2"/>
      </font>
    </odxf>
    <ndxf>
      <font>
        <b val="0"/>
        <sz val="9"/>
        <color auto="1"/>
        <name val="Arial"/>
        <family val="2"/>
        <scheme val="none"/>
      </font>
    </ndxf>
  </rcc>
  <rfmt sheetId="23" sqref="D86" start="0" length="0">
    <dxf>
      <numFmt numFmtId="0" formatCode="General"/>
    </dxf>
  </rfmt>
  <rfmt sheetId="23" sqref="E86" start="0" length="0">
    <dxf>
      <numFmt numFmtId="0" formatCode="General"/>
    </dxf>
  </rfmt>
  <rcc rId="331" sId="23" odxf="1" dxf="1">
    <oc r="F86">
      <v>5340</v>
    </oc>
    <nc r="F86"/>
    <odxf>
      <numFmt numFmtId="3" formatCode="#,##0"/>
      <fill>
        <patternFill patternType="solid">
          <bgColor rgb="FFFFC000"/>
        </patternFill>
      </fill>
    </odxf>
    <ndxf>
      <numFmt numFmtId="0" formatCode="General"/>
      <fill>
        <patternFill patternType="none">
          <bgColor indexed="65"/>
        </patternFill>
      </fill>
    </ndxf>
  </rcc>
  <rcc rId="332" sId="23" odxf="1" dxf="1">
    <oc r="G86" t="inlineStr">
      <is>
        <r>
          <t>MgCO</t>
        </r>
        <r>
          <rPr>
            <b/>
            <vertAlign val="subscript"/>
            <sz val="9"/>
            <rFont val="Arial"/>
            <family val="2"/>
          </rPr>
          <t>2</t>
        </r>
        <r>
          <rPr>
            <b/>
            <sz val="9"/>
            <rFont val="Arial"/>
            <family val="2"/>
          </rPr>
          <t>e</t>
        </r>
      </is>
    </oc>
    <nc r="G86"/>
    <odxf>
      <font>
        <b/>
        <family val="2"/>
      </font>
    </odxf>
    <ndxf>
      <font>
        <b val="0"/>
        <family val="2"/>
      </font>
    </ndxf>
  </rcc>
  <rcc rId="333" sId="23" odxf="1" dxf="1">
    <oc r="H86" t="inlineStr">
      <is>
        <t>KC08-50-3_Closed_Landfills</t>
      </is>
    </oc>
    <nc r="H86"/>
    <odxf>
      <alignment horizontal="left"/>
    </odxf>
    <ndxf>
      <alignment horizontal="center"/>
    </ndxf>
  </rcc>
  <rcc rId="334" sId="23" odxf="1" dxf="1">
    <oc r="J86" t="inlineStr">
      <is>
        <t>Why doesn't the ratio include F80?</t>
      </is>
    </oc>
    <nc r="J86"/>
    <odxf>
      <font>
        <sz val="9"/>
        <color auto="1"/>
        <name val="Arial"/>
        <family val="2"/>
        <scheme val="none"/>
      </font>
    </odxf>
    <ndxf>
      <font>
        <sz val="7"/>
        <color auto="1"/>
        <name val="Arial"/>
        <family val="2"/>
        <scheme val="none"/>
      </font>
    </ndxf>
  </rcc>
  <rcc rId="335" sId="23">
    <oc r="K86">
      <v>5340</v>
    </oc>
    <nc r="K86"/>
  </rcc>
  <rcc rId="336" sId="23">
    <oc r="L86" t="inlineStr">
      <is>
        <r>
          <t>MgCO</t>
        </r>
        <r>
          <rPr>
            <b/>
            <vertAlign val="subscript"/>
            <sz val="9"/>
            <rFont val="Arial"/>
            <family val="2"/>
          </rPr>
          <t>2</t>
        </r>
        <r>
          <rPr>
            <b/>
            <sz val="9"/>
            <rFont val="Arial"/>
            <family val="2"/>
          </rPr>
          <t>e</t>
        </r>
      </is>
    </oc>
    <nc r="L86"/>
  </rcc>
  <rcc rId="337" sId="23">
    <oc r="M86" t="inlineStr">
      <is>
        <t>KC08-50-3_Closed_Landfills</t>
      </is>
    </oc>
    <nc r="M86"/>
  </rcc>
  <rcc rId="338" sId="23" odxf="1" dxf="1">
    <oc r="A87" t="inlineStr">
      <is>
        <t>Hobart</t>
      </is>
    </oc>
    <nc r="A87" t="inlineStr">
      <is>
        <t>1. Reported N20 emissions</t>
      </is>
    </nc>
    <odxf>
      <numFmt numFmtId="30" formatCode="@"/>
    </odxf>
    <ndxf>
      <numFmt numFmtId="0" formatCode="General"/>
    </ndxf>
  </rcc>
  <rcc rId="339" sId="23" odxf="1" dxf="1">
    <oc r="B87">
      <f>($B$80+$B$68+$B$45+$B$31+$B$13+$B$22)/($F$68+$F$45+$F$31+$F$22+$F$13)*F87</f>
    </oc>
    <nc r="B87"/>
    <odxf>
      <numFmt numFmtId="3" formatCode="#,##0"/>
      <fill>
        <patternFill patternType="solid">
          <bgColor rgb="FFFFC000"/>
        </patternFill>
      </fill>
    </odxf>
    <ndxf>
      <numFmt numFmtId="0" formatCode="General"/>
      <fill>
        <patternFill patternType="none">
          <bgColor indexed="65"/>
        </patternFill>
      </fill>
    </ndxf>
  </rcc>
  <rcc rId="340" sId="23" odxf="1" dxf="1">
    <oc r="C87" t="inlineStr">
      <is>
        <r>
          <t>MgCO</t>
        </r>
        <r>
          <rPr>
            <b/>
            <vertAlign val="subscript"/>
            <sz val="9"/>
            <rFont val="Arial"/>
            <family val="2"/>
          </rPr>
          <t>2</t>
        </r>
        <r>
          <rPr>
            <b/>
            <sz val="9"/>
            <rFont val="Arial"/>
            <family val="2"/>
          </rPr>
          <t>e</t>
        </r>
      </is>
    </oc>
    <nc r="C87"/>
    <odxf>
      <font>
        <b/>
        <family val="2"/>
      </font>
    </odxf>
    <ndxf>
      <font>
        <b val="0"/>
        <sz val="9"/>
        <color auto="1"/>
        <name val="Arial"/>
        <family val="2"/>
        <scheme val="none"/>
      </font>
    </ndxf>
  </rcc>
  <rfmt sheetId="23" sqref="D87" start="0" length="0">
    <dxf>
      <numFmt numFmtId="0" formatCode="General"/>
    </dxf>
  </rfmt>
  <rfmt sheetId="23" sqref="E87" start="0" length="0">
    <dxf>
      <numFmt numFmtId="0" formatCode="General"/>
    </dxf>
  </rfmt>
  <rcc rId="341" sId="23" odxf="1" dxf="1">
    <oc r="F87">
      <v>7533</v>
    </oc>
    <nc r="F87"/>
    <odxf>
      <numFmt numFmtId="3" formatCode="#,##0"/>
      <fill>
        <patternFill patternType="solid">
          <bgColor rgb="FFFFC000"/>
        </patternFill>
      </fill>
    </odxf>
    <ndxf>
      <numFmt numFmtId="0" formatCode="General"/>
      <fill>
        <patternFill patternType="none">
          <bgColor indexed="65"/>
        </patternFill>
      </fill>
    </ndxf>
  </rcc>
  <rcc rId="342" sId="23" odxf="1" dxf="1">
    <oc r="G87" t="inlineStr">
      <is>
        <r>
          <t>MgCO</t>
        </r>
        <r>
          <rPr>
            <b/>
            <vertAlign val="subscript"/>
            <sz val="9"/>
            <rFont val="Arial"/>
            <family val="2"/>
          </rPr>
          <t>2</t>
        </r>
        <r>
          <rPr>
            <b/>
            <sz val="9"/>
            <rFont val="Arial"/>
            <family val="2"/>
          </rPr>
          <t>e</t>
        </r>
      </is>
    </oc>
    <nc r="G87"/>
    <odxf>
      <font>
        <b/>
        <family val="2"/>
      </font>
    </odxf>
    <ndxf>
      <font>
        <b val="0"/>
        <family val="2"/>
      </font>
    </ndxf>
  </rcc>
  <rcc rId="343" sId="23" odxf="1" dxf="1">
    <oc r="H87" t="inlineStr">
      <is>
        <t>KC08-50-3_Closed_Landfills</t>
      </is>
    </oc>
    <nc r="H87" t="inlineStr">
      <is>
        <t>MRR reporting does not go back to 2008 and before</t>
      </is>
    </nc>
    <odxf>
      <font>
        <sz val="9"/>
        <color auto="1"/>
        <name val="Arial"/>
        <family val="2"/>
        <scheme val="none"/>
      </font>
      <alignment horizontal="left"/>
      <border outline="0">
        <left/>
        <right/>
      </border>
    </odxf>
    <ndxf>
      <font>
        <sz val="7"/>
        <color auto="1"/>
        <name val="Arial"/>
        <family val="2"/>
        <scheme val="none"/>
      </font>
      <alignment horizontal="general"/>
      <border outline="0">
        <left style="thin">
          <color indexed="64"/>
        </left>
        <right style="thin">
          <color indexed="64"/>
        </right>
      </border>
    </ndxf>
  </rcc>
  <rcc rId="344" sId="23" odxf="1" dxf="1">
    <oc r="J87" t="inlineStr">
      <is>
        <t>Why doesn't the ratio include F80?</t>
      </is>
    </oc>
    <nc r="J87"/>
    <odxf>
      <font>
        <sz val="9"/>
        <color auto="1"/>
        <name val="Arial"/>
        <family val="2"/>
        <scheme val="none"/>
      </font>
    </odxf>
    <ndxf>
      <font>
        <sz val="7"/>
        <color auto="1"/>
        <name val="Arial"/>
        <family val="2"/>
        <scheme val="none"/>
      </font>
    </ndxf>
  </rcc>
  <rcc rId="345" sId="23" numFmtId="34">
    <oc r="K87">
      <v>7533</v>
    </oc>
    <nc r="K87">
      <v>0.29799999999999999</v>
    </nc>
  </rcc>
  <rcc rId="346" sId="23">
    <oc r="L87" t="inlineStr">
      <is>
        <r>
          <t>MgCO</t>
        </r>
        <r>
          <rPr>
            <b/>
            <vertAlign val="subscript"/>
            <sz val="9"/>
            <rFont val="Arial"/>
            <family val="2"/>
          </rPr>
          <t>2</t>
        </r>
        <r>
          <rPr>
            <b/>
            <sz val="9"/>
            <rFont val="Arial"/>
            <family val="2"/>
          </rPr>
          <t>e</t>
        </r>
      </is>
    </oc>
    <nc r="L87" t="inlineStr">
      <is>
        <t>Mg/yr</t>
      </is>
    </nc>
  </rcc>
  <rcc rId="347" sId="23" odxf="1" dxf="1">
    <oc r="M87" t="inlineStr">
      <is>
        <t>KC08-50-3_Closed_Landfills</t>
      </is>
    </oc>
    <nc r="M87" t="inlineStr">
      <is>
        <t>KC15_40_03MRR</t>
      </is>
    </nc>
    <ndxf>
      <border outline="0">
        <right style="thin">
          <color indexed="64"/>
        </right>
      </border>
    </ndxf>
  </rcc>
  <rcc rId="348" sId="23" odxf="1" dxf="1">
    <oc r="A88" t="inlineStr">
      <is>
        <t>Vashon</t>
      </is>
    </oc>
    <nc r="A88" t="inlineStr">
      <is>
        <t>2. Calculate N20 emissions</t>
      </is>
    </nc>
    <odxf>
      <numFmt numFmtId="30" formatCode="@"/>
    </odxf>
    <ndxf>
      <numFmt numFmtId="0" formatCode="General"/>
    </ndxf>
  </rcc>
  <rcc rId="349" sId="23" odxf="1" dxf="1">
    <oc r="B88">
      <f>($B$80+$B$68+$B$45+$B$31+$B$13+$B$22)/($F$68+$F$45+$F$31+$F$22+$F$13)*F88</f>
    </oc>
    <nc r="B88"/>
    <odxf>
      <numFmt numFmtId="3" formatCode="#,##0"/>
      <fill>
        <patternFill patternType="solid">
          <bgColor rgb="FFFFC000"/>
        </patternFill>
      </fill>
    </odxf>
    <ndxf>
      <numFmt numFmtId="0" formatCode="General"/>
      <fill>
        <patternFill patternType="none">
          <bgColor indexed="65"/>
        </patternFill>
      </fill>
    </ndxf>
  </rcc>
  <rcc rId="350" sId="23" odxf="1" dxf="1">
    <oc r="C88" t="inlineStr">
      <is>
        <r>
          <t>MgCO</t>
        </r>
        <r>
          <rPr>
            <b/>
            <vertAlign val="subscript"/>
            <sz val="9"/>
            <rFont val="Arial"/>
            <family val="2"/>
          </rPr>
          <t>2</t>
        </r>
        <r>
          <rPr>
            <b/>
            <sz val="9"/>
            <rFont val="Arial"/>
            <family val="2"/>
          </rPr>
          <t>e</t>
        </r>
      </is>
    </oc>
    <nc r="C88"/>
    <odxf>
      <font>
        <b/>
        <family val="2"/>
      </font>
    </odxf>
    <ndxf>
      <font>
        <b val="0"/>
        <sz val="9"/>
        <color auto="1"/>
        <name val="Arial"/>
        <family val="2"/>
        <scheme val="none"/>
      </font>
    </ndxf>
  </rcc>
  <rfmt sheetId="23" sqref="E88" start="0" length="0">
    <dxf>
      <border outline="0">
        <right/>
      </border>
    </dxf>
  </rfmt>
  <rcc rId="351" sId="23" odxf="1" dxf="1">
    <oc r="F88">
      <v>4720</v>
    </oc>
    <nc r="F88"/>
    <odxf>
      <numFmt numFmtId="3" formatCode="#,##0"/>
      <fill>
        <patternFill patternType="solid">
          <bgColor rgb="FFFFC000"/>
        </patternFill>
      </fill>
    </odxf>
    <ndxf>
      <numFmt numFmtId="0" formatCode="General"/>
      <fill>
        <patternFill patternType="none">
          <bgColor indexed="65"/>
        </patternFill>
      </fill>
    </ndxf>
  </rcc>
  <rcc rId="352" sId="23" odxf="1" dxf="1">
    <oc r="G88" t="inlineStr">
      <is>
        <r>
          <t>MgCO</t>
        </r>
        <r>
          <rPr>
            <b/>
            <vertAlign val="subscript"/>
            <sz val="9"/>
            <rFont val="Arial"/>
            <family val="2"/>
          </rPr>
          <t>2</t>
        </r>
        <r>
          <rPr>
            <b/>
            <sz val="9"/>
            <rFont val="Arial"/>
            <family val="2"/>
          </rPr>
          <t>e</t>
        </r>
      </is>
    </oc>
    <nc r="G88"/>
    <odxf>
      <font>
        <b/>
        <family val="2"/>
      </font>
    </odxf>
    <ndxf>
      <font>
        <b val="0"/>
        <family val="2"/>
      </font>
    </ndxf>
  </rcc>
  <rcc rId="353" sId="23" odxf="1" dxf="1">
    <oc r="H88" t="inlineStr">
      <is>
        <t>KC08-50-3_Closed_Landfills</t>
      </is>
    </oc>
    <nc r="H88"/>
    <odxf>
      <alignment horizontal="left"/>
    </odxf>
    <ndxf>
      <alignment horizontal="center"/>
    </ndxf>
  </rcc>
  <rcc rId="354" sId="23" odxf="1" dxf="1">
    <oc r="J88" t="inlineStr">
      <is>
        <t>Why doesn't the ratio include F80?</t>
      </is>
    </oc>
    <nc r="J88"/>
    <odxf>
      <font>
        <sz val="9"/>
        <color auto="1"/>
        <name val="Arial"/>
        <family val="2"/>
        <scheme val="none"/>
      </font>
    </odxf>
    <ndxf>
      <font>
        <sz val="7"/>
        <color auto="1"/>
        <name val="Arial"/>
        <family val="2"/>
        <scheme val="none"/>
      </font>
    </ndxf>
  </rcc>
  <rcc rId="355" sId="23">
    <oc r="K88">
      <v>4720</v>
    </oc>
    <nc r="K88">
      <f>K87*GWPN2O</f>
    </nc>
  </rcc>
  <rcc rId="356" sId="23">
    <oc r="L88" t="inlineStr">
      <is>
        <r>
          <t>MgCO</t>
        </r>
        <r>
          <rPr>
            <b/>
            <vertAlign val="subscript"/>
            <sz val="9"/>
            <rFont val="Arial"/>
            <family val="2"/>
          </rPr>
          <t>2</t>
        </r>
        <r>
          <rPr>
            <b/>
            <sz val="9"/>
            <rFont val="Arial"/>
            <family val="2"/>
          </rPr>
          <t>e</t>
        </r>
      </is>
    </oc>
    <nc r="L88" t="inlineStr">
      <is>
        <r>
          <t>MgCO</t>
        </r>
        <r>
          <rPr>
            <vertAlign val="subscript"/>
            <sz val="9"/>
            <rFont val="Arial"/>
            <family val="2"/>
          </rPr>
          <t>2</t>
        </r>
        <r>
          <rPr>
            <sz val="9"/>
            <rFont val="Arial"/>
            <family val="2"/>
          </rPr>
          <t>e</t>
        </r>
      </is>
    </nc>
  </rcc>
  <rcc rId="357" sId="23">
    <oc r="M88" t="inlineStr">
      <is>
        <t>KC08-50-3_Closed_Landfills</t>
      </is>
    </oc>
    <nc r="M88"/>
  </rcc>
  <rcc rId="358" sId="23" odxf="1" dxf="1">
    <nc r="A89" t="inlineStr">
      <is>
        <t>3. Sum methane and N2O emissions</t>
      </is>
    </nc>
    <odxf>
      <numFmt numFmtId="30" formatCode="@"/>
      <border outline="0">
        <right style="thin">
          <color indexed="64"/>
        </right>
      </border>
    </odxf>
    <ndxf>
      <numFmt numFmtId="0" formatCode="General"/>
      <border outline="0">
        <right/>
      </border>
    </ndxf>
  </rcc>
  <rfmt sheetId="23" sqref="B89" start="0" length="0">
    <dxf>
      <numFmt numFmtId="0" formatCode="General"/>
      <border outline="0">
        <left style="thin">
          <color indexed="64"/>
        </left>
      </border>
    </dxf>
  </rfmt>
  <rfmt sheetId="23" sqref="C89" start="0" length="0">
    <dxf/>
  </rfmt>
  <rfmt sheetId="23" sqref="E89" start="0" length="0">
    <dxf>
      <border outline="0">
        <right/>
      </border>
    </dxf>
  </rfmt>
  <rfmt sheetId="23" sqref="F89" start="0" length="0">
    <dxf>
      <numFmt numFmtId="0" formatCode="General"/>
      <border outline="0">
        <left style="thin">
          <color indexed="64"/>
        </left>
      </border>
    </dxf>
  </rfmt>
  <rfmt sheetId="23" sqref="G89" start="0" length="0">
    <dxf>
      <font>
        <b val="0"/>
        <family val="2"/>
      </font>
    </dxf>
  </rfmt>
  <rfmt sheetId="23" sqref="H89" start="0" length="0">
    <dxf>
      <alignment horizontal="center"/>
    </dxf>
  </rfmt>
  <rfmt sheetId="23" sqref="J89" start="0" length="0">
    <dxf/>
  </rfmt>
  <rcc rId="359" sId="23">
    <nc r="K89">
      <f>K88+K85</f>
    </nc>
  </rcc>
  <rcc rId="360" sId="23" odxf="1" dxf="1">
    <oc r="A90" t="inlineStr">
      <is>
        <t>Cedar Hills Landfill in King County (active)</t>
      </is>
    </oc>
    <nc r="A90"/>
    <odxf>
      <font>
        <b/>
        <family val="2"/>
      </font>
      <fill>
        <patternFill patternType="solid">
          <bgColor indexed="50"/>
        </patternFill>
      </fill>
      <alignment horizontal="left" vertical="bottom"/>
      <border outline="0">
        <right style="thin">
          <color indexed="64"/>
        </right>
      </border>
    </odxf>
    <ndxf>
      <font>
        <b val="0"/>
        <sz val="9"/>
        <color auto="1"/>
        <name val="Arial"/>
        <family val="2"/>
        <scheme val="none"/>
      </font>
      <fill>
        <patternFill patternType="none">
          <bgColor indexed="65"/>
        </patternFill>
      </fill>
      <alignment horizontal="general" vertical="top"/>
      <border outline="0">
        <right/>
      </border>
    </ndxf>
  </rcc>
  <rfmt sheetId="23" sqref="B90" start="0" length="0">
    <dxf>
      <numFmt numFmtId="0" formatCode="General"/>
      <border outline="0">
        <left style="thin">
          <color indexed="64"/>
        </left>
      </border>
    </dxf>
  </rfmt>
  <rfmt sheetId="23" sqref="C90" start="0" length="0">
    <dxf/>
  </rfmt>
  <rfmt sheetId="23" sqref="E90" start="0" length="0">
    <dxf>
      <border outline="0">
        <right/>
      </border>
    </dxf>
  </rfmt>
  <rfmt sheetId="23" sqref="F90" start="0" length="0">
    <dxf>
      <numFmt numFmtId="0" formatCode="General"/>
      <border outline="0">
        <left style="thin">
          <color indexed="64"/>
        </left>
      </border>
    </dxf>
  </rfmt>
  <rfmt sheetId="23" sqref="G90" start="0" length="0">
    <dxf>
      <numFmt numFmtId="0" formatCode="General"/>
      <alignment horizontal="general"/>
    </dxf>
  </rfmt>
  <rfmt sheetId="23" sqref="H90" start="0" length="0">
    <dxf/>
  </rfmt>
  <rfmt sheetId="23" sqref="J90" start="0" length="0">
    <dxf/>
  </rfmt>
  <rcc rId="361" sId="23" odxf="1" dxf="1">
    <oc r="A91" t="inlineStr">
      <is>
        <t>Source data</t>
      </is>
    </oc>
    <nc r="A91" t="inlineStr">
      <is>
        <t>TOTAL EMISSIONS</t>
      </is>
    </nc>
    <odxf>
      <fill>
        <patternFill>
          <bgColor theme="0" tint="-0.249977111117893"/>
        </patternFill>
      </fill>
      <alignment horizontal="left" vertical="bottom" wrapText="0"/>
    </odxf>
    <ndxf>
      <fill>
        <patternFill>
          <bgColor rgb="FFFFC000"/>
        </patternFill>
      </fill>
      <alignment horizontal="general" vertical="top" wrapText="1"/>
    </ndxf>
  </rcc>
  <rcc rId="362" sId="23" odxf="1" dxf="1">
    <nc r="B91">
      <f>SUM(B13,B22,B31,B45,B59,B64:B68,B85)</f>
    </nc>
    <odxf>
      <font>
        <b val="0"/>
        <sz val="9"/>
        <color auto="1"/>
        <name val="Arial"/>
        <family val="2"/>
        <scheme val="none"/>
      </font>
      <fill>
        <patternFill patternType="none">
          <bgColor indexed="65"/>
        </patternFill>
      </fill>
      <alignment horizontal="general" vertical="top"/>
    </odxf>
    <ndxf>
      <font>
        <b/>
        <sz val="9"/>
        <color auto="1"/>
        <name val="Arial"/>
        <family val="2"/>
        <scheme val="none"/>
      </font>
      <fill>
        <patternFill patternType="solid">
          <bgColor rgb="FFFFC000"/>
        </patternFill>
      </fill>
      <alignment horizontal="right" vertical="bottom"/>
    </ndxf>
  </rcc>
  <rcc rId="363" sId="23" odxf="1" dxf="1">
    <nc r="C91" t="inlineStr">
      <is>
        <r>
          <t>MgCO</t>
        </r>
        <r>
          <rPr>
            <b/>
            <vertAlign val="subscript"/>
            <sz val="9"/>
            <rFont val="Arial"/>
            <family val="2"/>
          </rPr>
          <t>2</t>
        </r>
        <r>
          <rPr>
            <b/>
            <sz val="9"/>
            <rFont val="Arial"/>
            <family val="2"/>
          </rPr>
          <t>e</t>
        </r>
      </is>
    </nc>
    <odxf>
      <font>
        <b val="0"/>
        <sz val="9"/>
        <color auto="1"/>
        <name val="Arial"/>
        <family val="2"/>
        <scheme val="none"/>
      </font>
      <fill>
        <patternFill patternType="none">
          <bgColor indexed="65"/>
        </patternFill>
      </fill>
    </odxf>
    <ndxf>
      <font>
        <b/>
        <sz val="9"/>
        <color auto="1"/>
        <name val="Arial"/>
        <family val="2"/>
        <scheme val="none"/>
      </font>
      <fill>
        <patternFill patternType="solid">
          <bgColor rgb="FFFFC000"/>
        </patternFill>
      </fill>
    </ndxf>
  </rcc>
  <rfmt sheetId="23" sqref="D91" start="0" length="0">
    <dxf>
      <fill>
        <patternFill patternType="solid">
          <bgColor rgb="FFFFC000"/>
        </patternFill>
      </fill>
    </dxf>
  </rfmt>
  <rfmt sheetId="23" sqref="E91" start="0" length="0">
    <dxf>
      <fill>
        <patternFill patternType="solid">
          <bgColor rgb="FFFFC000"/>
        </patternFill>
      </fill>
    </dxf>
  </rfmt>
  <rcc rId="364" sId="23" odxf="1" dxf="1">
    <nc r="F91">
      <f>SUM(F13,F22,F31,F45,F59,F64:F68,F85)</f>
    </nc>
    <odxf>
      <font>
        <b val="0"/>
        <sz val="9"/>
        <color auto="1"/>
        <name val="Arial"/>
        <family val="2"/>
        <scheme val="none"/>
      </font>
      <fill>
        <patternFill patternType="none">
          <bgColor indexed="65"/>
        </patternFill>
      </fill>
      <alignment horizontal="general" vertical="top"/>
    </odxf>
    <ndxf>
      <font>
        <b/>
        <sz val="9"/>
        <color auto="1"/>
        <name val="Arial"/>
        <family val="2"/>
        <scheme val="none"/>
      </font>
      <fill>
        <patternFill patternType="solid">
          <bgColor rgb="FFFFC000"/>
        </patternFill>
      </fill>
      <alignment horizontal="right" vertical="bottom"/>
    </ndxf>
  </rcc>
  <rcc rId="365" sId="23" odxf="1" dxf="1">
    <nc r="G91" t="inlineStr">
      <is>
        <r>
          <t>MgCO</t>
        </r>
        <r>
          <rPr>
            <b/>
            <vertAlign val="subscript"/>
            <sz val="9"/>
            <rFont val="Arial"/>
            <family val="2"/>
          </rPr>
          <t>2</t>
        </r>
        <r>
          <rPr>
            <b/>
            <sz val="9"/>
            <rFont val="Arial"/>
            <family val="2"/>
          </rPr>
          <t>e</t>
        </r>
      </is>
    </nc>
    <odxf>
      <font>
        <b val="0"/>
        <sz val="9"/>
        <color auto="1"/>
        <name val="Arial"/>
        <family val="2"/>
        <scheme val="none"/>
      </font>
      <numFmt numFmtId="30" formatCode="@"/>
      <fill>
        <patternFill patternType="none">
          <bgColor indexed="65"/>
        </patternFill>
      </fill>
      <alignment horizontal="center"/>
    </odxf>
    <ndxf>
      <font>
        <b/>
        <sz val="9"/>
        <color auto="1"/>
        <name val="Arial"/>
        <family val="2"/>
        <scheme val="none"/>
      </font>
      <numFmt numFmtId="0" formatCode="General"/>
      <fill>
        <patternFill patternType="solid">
          <bgColor rgb="FFFFC000"/>
        </patternFill>
      </fill>
      <alignment horizontal="general"/>
    </ndxf>
  </rcc>
  <rfmt sheetId="23" sqref="H91" start="0" length="0">
    <dxf>
      <fill>
        <patternFill patternType="solid">
          <bgColor rgb="FFFFC000"/>
        </patternFill>
      </fill>
    </dxf>
  </rfmt>
  <rfmt sheetId="23" sqref="I91" start="0" length="0">
    <dxf>
      <fill>
        <patternFill patternType="solid">
          <bgColor rgb="FFFFC000"/>
        </patternFill>
      </fill>
      <border outline="0">
        <right style="thin">
          <color indexed="64"/>
        </right>
      </border>
    </dxf>
  </rfmt>
  <rfmt sheetId="23" sqref="J91" start="0" length="0">
    <dxf>
      <fill>
        <patternFill patternType="solid">
          <bgColor rgb="FFFFC000"/>
        </patternFill>
      </fill>
      <border outline="0">
        <left/>
      </border>
    </dxf>
  </rfmt>
  <rcc rId="366" sId="23">
    <nc r="K91">
      <f>SUM(K13,K22,K31,K45,K59,K64:K68,K85)</f>
    </nc>
  </rcc>
  <rcc rId="367" sId="23">
    <nc r="L91" t="inlineStr">
      <is>
        <r>
          <t>MgCO</t>
        </r>
        <r>
          <rPr>
            <b/>
            <vertAlign val="subscript"/>
            <sz val="9"/>
            <rFont val="Arial"/>
            <family val="2"/>
          </rPr>
          <t>2</t>
        </r>
        <r>
          <rPr>
            <b/>
            <sz val="9"/>
            <rFont val="Arial"/>
            <family val="2"/>
          </rPr>
          <t>e</t>
        </r>
      </is>
    </nc>
  </rcc>
  <rrc rId="368" sId="23" ref="A92:XFD92" action="deleteRow">
    <rfmt sheetId="23" xfDxf="1" sqref="A92:XFD92" start="0" length="0"/>
    <rcc rId="0" sId="23" dxf="1">
      <nc r="A92" t="inlineStr">
        <is>
          <t>Emissions monitoring</t>
        </is>
      </nc>
      <ndxf>
        <numFmt numFmtId="30" formatCode="@"/>
        <border outline="0">
          <right style="thin">
            <color indexed="64"/>
          </right>
        </border>
      </ndxf>
    </rcc>
    <rfmt sheetId="23" sqref="B92" start="0" length="0">
      <dxf>
        <numFmt numFmtId="3" formatCode="#,##0"/>
      </dxf>
    </rfmt>
    <rfmt sheetId="23" sqref="C92" start="0" length="0">
      <dxf/>
    </rfmt>
    <rfmt sheetId="23" sqref="D92" start="0" length="0">
      <dxf>
        <alignment horizontal="center"/>
      </dxf>
    </rfmt>
    <rfmt sheetId="23" sqref="E92" start="0" length="0">
      <dxf>
        <font>
          <sz val="7"/>
          <color auto="1"/>
          <name val="Arial"/>
          <family val="2"/>
          <scheme val="none"/>
        </font>
        <border outline="0">
          <right style="thin">
            <color indexed="64"/>
          </right>
        </border>
      </dxf>
    </rfmt>
    <rfmt sheetId="23" sqref="F92" start="0" length="0">
      <dxf>
        <numFmt numFmtId="3" formatCode="#,##0"/>
      </dxf>
    </rfmt>
    <rfmt sheetId="23" sqref="G92" start="0" length="0">
      <dxf>
        <numFmt numFmtId="30" formatCode="@"/>
        <alignment horizontal="center"/>
      </dxf>
    </rfmt>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fmt sheetId="23" sqref="K92" start="0" length="0">
      <dxf/>
    </rfmt>
    <rfmt sheetId="23" sqref="L92" start="0" length="0">
      <dxf>
        <numFmt numFmtId="30" formatCode="@"/>
        <alignment horizontal="center"/>
      </dxf>
    </rfmt>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69" sId="23" ref="A92:XFD92" action="deleteRow">
    <undo index="0" exp="ref" v="1" dr="K92" r="K98" sId="23"/>
    <undo index="0" exp="ref" v="1" dr="F92" r="F98" sId="23"/>
    <undo index="0" exp="ref" v="1" dr="B92" r="B98" sId="23"/>
    <rfmt sheetId="23" xfDxf="1" sqref="A92:XFD92" start="0" length="0"/>
    <rcc rId="0" sId="23" dxf="1">
      <nc r="A92" t="inlineStr">
        <is>
          <t>methane flare rate</t>
        </is>
      </nc>
      <ndxf>
        <numFmt numFmtId="30" formatCode="@"/>
        <alignment horizontal="left" indent="1"/>
        <border outline="0">
          <right style="thin">
            <color indexed="64"/>
          </right>
        </border>
      </ndxf>
    </rcc>
    <rcc rId="0" sId="23" dxf="1" numFmtId="4">
      <nc r="B92">
        <v>4255.5087436022804</v>
      </nc>
      <ndxf>
        <numFmt numFmtId="3" formatCode="#,##0"/>
      </ndxf>
    </rcc>
    <rcc rId="0" sId="23" dxf="1">
      <nc r="C92" t="inlineStr">
        <is>
          <r>
            <t>ft</t>
          </r>
          <r>
            <rPr>
              <vertAlign val="superscript"/>
              <sz val="9"/>
              <rFont val="Arial"/>
              <family val="2"/>
            </rPr>
            <t>3</t>
          </r>
          <r>
            <rPr>
              <sz val="9"/>
              <rFont val="Arial"/>
              <family val="2"/>
            </rPr>
            <t>/min</t>
          </r>
        </is>
      </nc>
      <ndxf>
        <font>
          <sz val="9"/>
          <color auto="1"/>
          <name val="Arial"/>
          <family val="2"/>
          <scheme val="none"/>
        </font>
      </ndxf>
    </rcc>
    <rcc rId="0" sId="23" dxf="1">
      <nc r="D92" t="inlineStr">
        <is>
          <t>KC08-50-09_Cedar_Hills_CH4</t>
        </is>
      </nc>
      <ndxf>
        <alignment horizontal="left"/>
      </ndxf>
    </rcc>
    <rfmt sheetId="23" sqref="E92" start="0" length="0">
      <dxf>
        <font>
          <sz val="7"/>
          <color auto="1"/>
          <name val="Arial"/>
          <family val="2"/>
          <scheme val="none"/>
        </font>
        <border outline="0">
          <right style="thin">
            <color indexed="64"/>
          </right>
        </border>
      </dxf>
    </rfmt>
    <rcc rId="0" sId="23" dxf="1" numFmtId="4">
      <nc r="F92">
        <v>4346.8990885977391</v>
      </nc>
      <ndxf>
        <numFmt numFmtId="3" formatCode="#,##0"/>
      </ndxf>
    </rcc>
    <rcc rId="0" sId="23" dxf="1">
      <nc r="G92" t="inlineStr">
        <is>
          <r>
            <t>ft</t>
          </r>
          <r>
            <rPr>
              <vertAlign val="superscript"/>
              <sz val="9"/>
              <rFont val="Arial"/>
              <family val="2"/>
            </rPr>
            <t>3</t>
          </r>
          <r>
            <rPr>
              <sz val="9"/>
              <rFont val="Arial"/>
              <family val="2"/>
            </rPr>
            <t>/min</t>
          </r>
        </is>
      </nc>
      <ndxf>
        <font>
          <sz val="9"/>
          <color auto="1"/>
          <name val="Arial"/>
          <family val="2"/>
          <scheme val="none"/>
        </font>
      </ndxf>
    </rcc>
    <rcc rId="0" sId="23" dxf="1">
      <nc r="H92" t="inlineStr">
        <is>
          <t>KC08-50-09_Cedar_Hills_CH4</t>
        </is>
      </nc>
      <ndxf>
        <alignment horizontal="left"/>
      </ndxf>
    </rcc>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s="1" dxf="1" numFmtId="34">
      <nc r="K92">
        <v>4346.8990885977391</v>
      </nc>
      <ndxf>
        <numFmt numFmtId="181" formatCode="_(* #,##0_);_(* \(#,##0\);_(* &quot;-&quot;??_);_(@_)"/>
        <fill>
          <patternFill patternType="solid">
            <bgColor theme="9" tint="0.79998168889431442"/>
          </patternFill>
        </fill>
      </ndxf>
    </rcc>
    <rcc rId="0" sId="23" dxf="1">
      <nc r="L92" t="inlineStr">
        <is>
          <r>
            <t>ft</t>
          </r>
          <r>
            <rPr>
              <vertAlign val="superscript"/>
              <sz val="9"/>
              <rFont val="Arial"/>
              <family val="2"/>
            </rPr>
            <t>3</t>
          </r>
          <r>
            <rPr>
              <sz val="9"/>
              <rFont val="Arial"/>
              <family val="2"/>
            </rPr>
            <t>/min</t>
          </r>
        </is>
      </nc>
      <ndxf>
        <font>
          <sz val="9"/>
          <color auto="1"/>
          <name val="Arial"/>
          <family val="2"/>
          <scheme val="none"/>
        </font>
      </ndxf>
    </rcc>
    <rcc rId="0" sId="23" dxf="1">
      <nc r="M92" t="inlineStr">
        <is>
          <t>KC08-50-09_Cedar_Hills_CH4</t>
        </is>
      </nc>
      <ndxf>
        <fill>
          <patternFill patternType="solid">
            <bgColor theme="6" tint="0.79998168889431442"/>
          </patternFill>
        </fill>
        <alignment horizontal="left"/>
      </ndxf>
    </rcc>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0" sId="23" ref="A92:XFD92" action="deleteRow">
    <undo index="65535" exp="ref" v="1" dr="K92" r="K100" sId="23"/>
    <undo index="65535" exp="ref" v="1" dr="F92" r="F100" sId="23"/>
    <undo index="65535" exp="ref" v="1" dr="B92" r="B100" sId="23"/>
    <rfmt sheetId="23" xfDxf="1" sqref="A92:XFD92" start="0" length="0"/>
    <rcc rId="0" sId="23" dxf="1">
      <nc r="A92" t="inlineStr">
        <is>
          <t>Combustion efficiency</t>
        </is>
      </nc>
      <ndxf>
        <numFmt numFmtId="30" formatCode="@"/>
        <alignment horizontal="left"/>
        <border outline="0">
          <right style="thin">
            <color indexed="64"/>
          </right>
        </border>
      </ndxf>
    </rcc>
    <rcc rId="0" sId="23" s="1" dxf="1" numFmtId="13">
      <nc r="B92">
        <v>0.98</v>
      </nc>
      <ndxf>
        <numFmt numFmtId="13" formatCode="0%"/>
      </ndxf>
    </rcc>
    <rfmt sheetId="23" sqref="C92" start="0" length="0">
      <dxf>
        <font>
          <sz val="9"/>
          <color auto="1"/>
          <name val="Arial"/>
          <family val="2"/>
          <scheme val="none"/>
        </font>
      </dxf>
    </rfmt>
    <rcc rId="0" sId="23" dxf="1">
      <nc r="D92" t="inlineStr">
        <is>
          <t>KC08-50-10_Cedar_Hills_combustion_rate</t>
        </is>
      </nc>
      <ndxf>
        <alignment horizontal="left"/>
      </ndxf>
    </rcc>
    <rfmt sheetId="23" sqref="E92" start="0" length="0">
      <dxf>
        <font>
          <sz val="7"/>
          <color auto="1"/>
          <name val="Arial"/>
          <family val="2"/>
          <scheme val="none"/>
        </font>
        <border outline="0">
          <right style="thin">
            <color indexed="64"/>
          </right>
        </border>
      </dxf>
    </rfmt>
    <rcc rId="0" sId="23" s="1" dxf="1" numFmtId="13">
      <nc r="F92">
        <v>0.98</v>
      </nc>
      <ndxf>
        <numFmt numFmtId="13" formatCode="0%"/>
      </ndxf>
    </rcc>
    <rfmt sheetId="23" sqref="G92" start="0" length="0">
      <dxf>
        <font>
          <sz val="9"/>
          <color auto="1"/>
          <name val="Arial"/>
          <family val="2"/>
          <scheme val="none"/>
        </font>
      </dxf>
    </rfmt>
    <rcc rId="0" sId="23" dxf="1">
      <nc r="H92" t="inlineStr">
        <is>
          <t>KC08-50-10_Cedar_Hills_combustion_rate</t>
        </is>
      </nc>
      <ndxf>
        <alignment horizontal="left"/>
      </ndxf>
    </rcc>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s="1" dxf="1" numFmtId="13">
      <nc r="K92">
        <v>0.98</v>
      </nc>
      <ndxf>
        <numFmt numFmtId="13" formatCode="0%"/>
        <fill>
          <patternFill patternType="solid">
            <bgColor theme="9" tint="0.79998168889431442"/>
          </patternFill>
        </fill>
      </ndxf>
    </rcc>
    <rfmt sheetId="23" sqref="L92" start="0" length="0">
      <dxf>
        <font>
          <sz val="9"/>
          <color auto="1"/>
          <name val="Arial"/>
          <family val="2"/>
          <scheme val="none"/>
        </font>
      </dxf>
    </rfmt>
    <rcc rId="0" sId="23" dxf="1">
      <nc r="M92" t="inlineStr">
        <is>
          <t>KC08-50-10_Cedar_Hills_combustion_rate</t>
        </is>
      </nc>
      <ndxf>
        <fill>
          <patternFill patternType="solid">
            <bgColor theme="6" tint="0.79998168889431442"/>
          </patternFill>
        </fill>
        <alignment horizontal="left"/>
      </ndxf>
    </rcc>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1" sId="23" ref="A92:XFD92" action="deleteRow">
    <undo index="65535" exp="ref" v="1" dr="K92" r="K100" sId="23"/>
    <undo index="65535" exp="ref" v="1" dr="F92" r="F100" sId="23"/>
    <undo index="65535" exp="ref" v="1" dr="B92" r="B100" sId="23"/>
    <rfmt sheetId="23" xfDxf="1" sqref="A92:XFD92" start="0" length="0"/>
    <rcc rId="0" sId="23" dxf="1">
      <nc r="A92" t="inlineStr">
        <is>
          <t>Collection efficiency</t>
        </is>
      </nc>
      <ndxf>
        <numFmt numFmtId="30" formatCode="@"/>
        <alignment horizontal="left"/>
        <border outline="0">
          <right style="thin">
            <color indexed="64"/>
          </right>
        </border>
      </ndxf>
    </rcc>
    <rcc rId="0" sId="23" s="1" dxf="1" numFmtId="13">
      <nc r="B92">
        <v>0.9</v>
      </nc>
      <ndxf>
        <numFmt numFmtId="13" formatCode="0%"/>
      </ndxf>
    </rcc>
    <rfmt sheetId="23" sqref="C92" start="0" length="0">
      <dxf>
        <font>
          <sz val="9"/>
          <color auto="1"/>
          <name val="Arial"/>
          <family val="2"/>
          <scheme val="none"/>
        </font>
      </dxf>
    </rfmt>
    <rcc rId="0" sId="23" dxf="1">
      <nc r="D92" t="inlineStr">
        <is>
          <t>KC08-50-10_Cedar_Hills_capture_rate</t>
        </is>
      </nc>
      <ndxf>
        <alignment horizontal="left"/>
      </ndxf>
    </rcc>
    <rfmt sheetId="23" sqref="E92" start="0" length="0">
      <dxf>
        <font>
          <sz val="7"/>
          <color auto="1"/>
          <name val="Arial"/>
          <family val="2"/>
          <scheme val="none"/>
        </font>
        <border outline="0">
          <right style="thin">
            <color indexed="64"/>
          </right>
        </border>
      </dxf>
    </rfmt>
    <rcc rId="0" sId="23" s="1" dxf="1" numFmtId="13">
      <nc r="F92">
        <v>0.9</v>
      </nc>
      <ndxf>
        <numFmt numFmtId="13" formatCode="0%"/>
      </ndxf>
    </rcc>
    <rfmt sheetId="23" sqref="G92" start="0" length="0">
      <dxf>
        <font>
          <sz val="9"/>
          <color auto="1"/>
          <name val="Arial"/>
          <family val="2"/>
          <scheme val="none"/>
        </font>
      </dxf>
    </rfmt>
    <rcc rId="0" sId="23" dxf="1">
      <nc r="H92" t="inlineStr">
        <is>
          <t>KC08-50-10_Cedar_Hills_capture_rate</t>
        </is>
      </nc>
      <ndxf>
        <alignment horizontal="left"/>
      </ndxf>
    </rcc>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s="1" dxf="1" numFmtId="13">
      <nc r="K92">
        <v>0.9</v>
      </nc>
      <ndxf>
        <numFmt numFmtId="13" formatCode="0%"/>
        <fill>
          <patternFill patternType="solid">
            <bgColor theme="9" tint="0.79998168889431442"/>
          </patternFill>
        </fill>
      </ndxf>
    </rcc>
    <rfmt sheetId="23" sqref="L92" start="0" length="0">
      <dxf>
        <font>
          <sz val="9"/>
          <color auto="1"/>
          <name val="Arial"/>
          <family val="2"/>
          <scheme val="none"/>
        </font>
      </dxf>
    </rfmt>
    <rcc rId="0" sId="23" dxf="1">
      <nc r="M92" t="inlineStr">
        <is>
          <t>KC08-50-10_Cedar_Hills_capture_rate</t>
        </is>
      </nc>
      <ndxf>
        <fill>
          <patternFill patternType="solid">
            <bgColor theme="6" tint="0.79998168889431442"/>
          </patternFill>
        </fill>
        <alignment horizontal="left"/>
      </ndxf>
    </rcc>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2" sId="23" ref="A92:XFD92" action="deleteRow">
    <undo index="1" exp="ref" v="1" dr="K92" r="K99" sId="23"/>
    <undo index="1" exp="ref" v="1" dr="F92" r="F99" sId="23"/>
    <undo index="1" exp="ref" v="1" dr="B92" r="B99" sId="23"/>
    <rfmt sheetId="23" xfDxf="1" sqref="A92:XFD92" start="0" length="0"/>
    <rcc rId="0" sId="23" dxf="1">
      <nc r="A92" t="inlineStr">
        <is>
          <t>Soil oxidation rate</t>
        </is>
      </nc>
      <ndxf>
        <numFmt numFmtId="30" formatCode="@"/>
        <alignment horizontal="left"/>
        <border outline="0">
          <right style="thin">
            <color indexed="64"/>
          </right>
        </border>
      </ndxf>
    </rcc>
    <rcc rId="0" sId="23" s="1" dxf="1" numFmtId="13">
      <nc r="B92">
        <v>0.1</v>
      </nc>
      <ndxf>
        <numFmt numFmtId="13" formatCode="0%"/>
      </ndxf>
    </rcc>
    <rfmt sheetId="23" sqref="C92" start="0" length="0">
      <dxf>
        <font>
          <sz val="9"/>
          <color auto="1"/>
          <name val="Arial"/>
          <family val="2"/>
          <scheme val="none"/>
        </font>
      </dxf>
    </rfmt>
    <rcc rId="0" sId="23" dxf="1">
      <nc r="D92" t="inlineStr">
        <is>
          <t>KC08-50-2_LGOP</t>
        </is>
      </nc>
      <ndxf>
        <alignment horizontal="left"/>
      </ndxf>
    </rcc>
    <rfmt sheetId="23" sqref="E92" start="0" length="0">
      <dxf>
        <font>
          <sz val="7"/>
          <color auto="1"/>
          <name val="Arial"/>
          <family val="2"/>
          <scheme val="none"/>
        </font>
        <border outline="0">
          <right style="thin">
            <color indexed="64"/>
          </right>
        </border>
      </dxf>
    </rfmt>
    <rcc rId="0" sId="23" s="1" dxf="1" numFmtId="13">
      <nc r="F92">
        <v>0.1</v>
      </nc>
      <ndxf>
        <numFmt numFmtId="13" formatCode="0%"/>
      </ndxf>
    </rcc>
    <rfmt sheetId="23" sqref="G92" start="0" length="0">
      <dxf>
        <font>
          <sz val="9"/>
          <color auto="1"/>
          <name val="Arial"/>
          <family val="2"/>
          <scheme val="none"/>
        </font>
      </dxf>
    </rfmt>
    <rcc rId="0" sId="23" dxf="1">
      <nc r="H92" t="inlineStr">
        <is>
          <t>KC08-50-2_LGOP</t>
        </is>
      </nc>
      <ndxf>
        <alignment horizontal="left"/>
      </ndxf>
    </rcc>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s="1" dxf="1" numFmtId="13">
      <nc r="K92">
        <v>0.1</v>
      </nc>
      <ndxf>
        <numFmt numFmtId="13" formatCode="0%"/>
        <fill>
          <patternFill patternType="solid">
            <bgColor theme="9" tint="0.79998168889431442"/>
          </patternFill>
        </fill>
      </ndxf>
    </rcc>
    <rfmt sheetId="23" sqref="L92" start="0" length="0">
      <dxf>
        <font>
          <sz val="9"/>
          <color auto="1"/>
          <name val="Arial"/>
          <family val="2"/>
          <scheme val="none"/>
        </font>
      </dxf>
    </rfmt>
    <rcc rId="0" sId="23" dxf="1">
      <nc r="M92" t="inlineStr">
        <is>
          <t>KC08-50-2_LGOP</t>
        </is>
      </nc>
      <ndxf>
        <fill>
          <patternFill patternType="solid">
            <bgColor theme="6" tint="0.79998168889431442"/>
          </patternFill>
        </fill>
        <alignment horizontal="left"/>
      </ndxf>
    </rcc>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3" sId="23" ref="A92:XFD92" action="deleteRow">
    <rfmt sheetId="23" xfDxf="1" sqref="A92:XFD92" start="0" length="0"/>
    <rfmt sheetId="23" sqref="A92" start="0" length="0">
      <dxf>
        <numFmt numFmtId="30" formatCode="@"/>
        <alignment horizontal="left" indent="1"/>
        <border outline="0">
          <right style="thin">
            <color indexed="64"/>
          </right>
        </border>
      </dxf>
    </rfmt>
    <rfmt sheetId="23" sqref="B92" start="0" length="0">
      <dxf>
        <numFmt numFmtId="3" formatCode="#,##0"/>
      </dxf>
    </rfmt>
    <rfmt sheetId="23" sqref="D92" start="0" length="0">
      <dxf>
        <alignment horizontal="center"/>
      </dxf>
    </rfmt>
    <rfmt sheetId="23" sqref="E92" start="0" length="0">
      <dxf>
        <font>
          <sz val="7"/>
          <color auto="1"/>
          <name val="Arial"/>
          <family val="2"/>
          <scheme val="none"/>
        </font>
        <border outline="0">
          <right style="thin">
            <color indexed="64"/>
          </right>
        </border>
      </dxf>
    </rfmt>
    <rfmt sheetId="23" sqref="F92" start="0" length="0">
      <dxf>
        <numFmt numFmtId="3" formatCode="#,##0"/>
      </dxf>
    </rfmt>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fmt sheetId="23" sqref="K92" start="0" length="0">
      <dxf>
        <border outline="0">
          <left style="thin">
            <color indexed="64"/>
          </left>
        </border>
      </dxf>
    </rfmt>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4" sId="23" ref="A92:XFD92" action="deleteRow">
    <rfmt sheetId="23" xfDxf="1" sqref="A92:XFD92" start="0" length="0"/>
    <rcc rId="0" sId="23" dxf="1">
      <nc r="A92" t="inlineStr">
        <is>
          <t>Calculation steps</t>
        </is>
      </nc>
      <ndxf>
        <font>
          <b/>
          <sz val="9"/>
          <color auto="1"/>
          <name val="Arial"/>
          <family val="2"/>
          <scheme val="none"/>
        </font>
        <numFmt numFmtId="30" formatCode="@"/>
        <fill>
          <patternFill patternType="solid">
            <bgColor rgb="FF00B0F0"/>
          </patternFill>
        </fill>
        <alignment horizontal="left" vertical="bottom"/>
      </ndxf>
    </rcc>
    <rfmt sheetId="23" sqref="B92" start="0" length="0">
      <dxf>
        <border outline="0">
          <left style="thin">
            <color indexed="64"/>
          </left>
        </border>
      </dxf>
    </rfmt>
    <rfmt sheetId="23" sqref="D92" start="0" length="0">
      <dxf>
        <alignment horizontal="center"/>
      </dxf>
    </rfmt>
    <rfmt sheetId="23" sqref="E92" start="0" length="0">
      <dxf>
        <font>
          <sz val="7"/>
          <color auto="1"/>
          <name val="Arial"/>
          <family val="2"/>
          <scheme val="none"/>
        </font>
      </dxf>
    </rfmt>
    <rfmt sheetId="23" sqref="F92" start="0" length="0">
      <dxf>
        <border outline="0">
          <left style="thin">
            <color indexed="64"/>
          </left>
        </border>
      </dxf>
    </rfmt>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fmt sheetId="23" sqref="K92" start="0" length="0">
      <dxf>
        <border outline="0">
          <left style="thin">
            <color indexed="64"/>
          </left>
        </border>
      </dxf>
    </rfmt>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5" sId="23" ref="A92:XFD92" action="deleteRow">
    <undo index="0" exp="ref" v="1" dr="K92" r="K93" sId="23"/>
    <undo index="0" exp="ref" v="1" dr="F92" r="F93" sId="23"/>
    <undo index="0" exp="ref" v="1" dr="B92" r="B93" sId="23"/>
    <rfmt sheetId="23" xfDxf="1" sqref="A92:XFD92" start="0" length="0"/>
    <rcc rId="0" sId="23" dxf="1">
      <nc r="A92" t="inlineStr">
        <is>
          <t>1.  Convert to L/day</t>
        </is>
      </nc>
      <ndxf>
        <numFmt numFmtId="30" formatCode="@"/>
        <alignment horizontal="left" wrapText="1"/>
      </ndxf>
    </rcc>
    <rcc rId="0" sId="23" dxf="1">
      <nc r="B92">
        <f>#REF!*ft3TOL/minTOday</f>
      </nc>
      <ndxf>
        <numFmt numFmtId="181" formatCode="_(* #,##0_);_(* \(#,##0\);_(* &quot;-&quot;??_);_(@_)"/>
        <border outline="0">
          <left style="thin">
            <color indexed="64"/>
          </left>
        </border>
      </ndxf>
    </rcc>
    <rcc rId="0" sId="23">
      <nc r="C92" t="inlineStr">
        <is>
          <t>L/day</t>
        </is>
      </nc>
    </rcc>
    <rfmt sheetId="23" sqref="D92" start="0" length="0">
      <dxf>
        <alignment horizontal="center"/>
      </dxf>
    </rfmt>
    <rfmt sheetId="23" sqref="E92" start="0" length="0">
      <dxf>
        <font>
          <sz val="7"/>
          <color auto="1"/>
          <name val="Arial"/>
          <family val="2"/>
          <scheme val="none"/>
        </font>
      </dxf>
    </rfmt>
    <rcc rId="0" sId="23" dxf="1">
      <nc r="F92">
        <f>#REF!*ft3TOL/minTOday</f>
      </nc>
      <ndxf>
        <numFmt numFmtId="181" formatCode="_(* #,##0_);_(* \(#,##0\);_(* &quot;-&quot;??_);_(@_)"/>
        <border outline="0">
          <left style="thin">
            <color indexed="64"/>
          </left>
        </border>
      </ndxf>
    </rcc>
    <rcc rId="0" sId="23">
      <nc r="G92" t="inlineStr">
        <is>
          <t>L/day</t>
        </is>
      </nc>
    </rcc>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#REF!*ft3TOL/minTOday</f>
      </nc>
      <ndxf>
        <numFmt numFmtId="181" formatCode="_(* #,##0_);_(* \(#,##0\);_(* &quot;-&quot;??_);_(@_)"/>
        <fill>
          <patternFill patternType="solid">
            <bgColor theme="9" tint="0.79998168889431442"/>
          </patternFill>
        </fill>
        <border outline="0">
          <left style="thin">
            <color indexed="64"/>
          </left>
        </border>
      </ndxf>
    </rcc>
    <rcc rId="0" sId="23">
      <nc r="L92" t="inlineStr">
        <is>
          <t>L/day</t>
        </is>
      </nc>
    </rcc>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6" sId="23" ref="A92:XFD92" action="deleteRow">
    <undo index="0" exp="ref" v="1" dr="K92" r="K93" sId="23"/>
    <undo index="0" exp="ref" v="1" dr="F92" r="F93" sId="23"/>
    <undo index="0" exp="ref" v="1" dr="B92" r="B93" sId="23"/>
    <rfmt sheetId="23" xfDxf="1" sqref="A92:XFD92" start="0" length="0"/>
    <rcc rId="0" sId="23" dxf="1">
      <nc r="A92" t="inlineStr">
        <is>
          <t>2. Convert to g/day</t>
        </is>
      </nc>
      <ndxf>
        <numFmt numFmtId="30" formatCode="@"/>
        <alignment horizontal="left" wrapText="1"/>
      </ndxf>
    </rcc>
    <rcc rId="0" sId="23" dxf="1">
      <nc r="B92">
        <f>#REF!*densityCH4</f>
      </nc>
      <ndxf>
        <numFmt numFmtId="181" formatCode="_(* #,##0_);_(* \(#,##0\);_(* &quot;-&quot;??_);_(@_)"/>
        <border outline="0">
          <left style="thin">
            <color indexed="64"/>
          </left>
        </border>
      </ndxf>
    </rcc>
    <rcc rId="0" sId="23">
      <nc r="C92" t="inlineStr">
        <is>
          <t>g/day</t>
        </is>
      </nc>
    </rcc>
    <rfmt sheetId="23" sqref="D92" start="0" length="0">
      <dxf>
        <alignment horizontal="center"/>
      </dxf>
    </rfmt>
    <rfmt sheetId="23" sqref="E92" start="0" length="0">
      <dxf>
        <font>
          <sz val="7"/>
          <color auto="1"/>
          <name val="Arial"/>
          <family val="2"/>
          <scheme val="none"/>
        </font>
      </dxf>
    </rfmt>
    <rcc rId="0" sId="23" dxf="1">
      <nc r="F92">
        <f>#REF!*densityCH4</f>
      </nc>
      <ndxf>
        <numFmt numFmtId="181" formatCode="_(* #,##0_);_(* \(#,##0\);_(* &quot;-&quot;??_);_(@_)"/>
        <border outline="0">
          <left style="thin">
            <color indexed="64"/>
          </left>
        </border>
      </ndxf>
    </rcc>
    <rcc rId="0" sId="23">
      <nc r="G92" t="inlineStr">
        <is>
          <t>g/day</t>
        </is>
      </nc>
    </rcc>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#REF!*densityCH4</f>
      </nc>
      <ndxf>
        <numFmt numFmtId="181" formatCode="_(* #,##0_);_(* \(#,##0\);_(* &quot;-&quot;??_);_(@_)"/>
        <fill>
          <patternFill patternType="solid">
            <bgColor theme="9" tint="0.79998168889431442"/>
          </patternFill>
        </fill>
        <border outline="0">
          <left style="thin">
            <color indexed="64"/>
          </left>
        </border>
      </ndxf>
    </rcc>
    <rcc rId="0" sId="23">
      <nc r="L92" t="inlineStr">
        <is>
          <t>g/day</t>
        </is>
      </nc>
    </rcc>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7" sId="23" ref="A92:XFD92" action="deleteRow">
    <undo index="65535" exp="ref" v="1" dr="K92" r="K94" sId="23"/>
    <undo index="4" exp="ref" v="1" dr="K92" r="K94" sId="23"/>
    <undo index="65535" exp="ref" v="1" dr="F92" r="F94" sId="23"/>
    <undo index="4" exp="ref" v="1" dr="F92" r="F94" sId="23"/>
    <undo index="65535" exp="ref" v="1" dr="B92" r="B94" sId="23"/>
    <undo index="4" exp="ref" v="1" dr="B92" r="B94" sId="23"/>
    <undo index="65535" exp="ref" v="1" dr="K92" r="K93" sId="23"/>
    <undo index="65535" exp="ref" v="1" dr="F92" r="F93" sId="23"/>
    <undo index="65535" exp="ref" v="1" dr="B92" r="B93" sId="23"/>
    <rfmt sheetId="23" xfDxf="1" sqref="A92:XFD92" start="0" length="0"/>
    <rcc rId="0" sId="23">
      <nc r="A92" t="inlineStr">
        <is>
          <t>3. Convert to mg/yr</t>
        </is>
      </nc>
    </rcc>
    <rcc rId="0" sId="23" s="1" dxf="1">
      <nc r="B92">
        <f>#REF!/(dayTOyr)/1000000</f>
      </nc>
      <ndxf>
        <numFmt numFmtId="181" formatCode="_(* #,##0_);_(* \(#,##0\);_(* &quot;-&quot;??_);_(@_)"/>
        <border outline="0">
          <left style="thin">
            <color indexed="64"/>
          </left>
        </border>
      </ndxf>
    </rcc>
    <rcc rId="0" sId="23" dxf="1">
      <nc r="C92" t="inlineStr">
        <is>
          <t>Mg/yr</t>
        </is>
      </nc>
      <ndxf>
        <font>
          <sz val="9"/>
          <color auto="1"/>
          <name val="Arial"/>
          <family val="2"/>
          <scheme val="none"/>
        </font>
      </ndxf>
    </rcc>
    <rfmt sheetId="23" sqref="D92" start="0" length="0">
      <dxf>
        <alignment horizontal="center"/>
      </dxf>
    </rfmt>
    <rfmt sheetId="23" sqref="E92" start="0" length="0">
      <dxf>
        <font>
          <sz val="7"/>
          <color auto="1"/>
          <name val="Arial"/>
          <family val="2"/>
          <scheme val="none"/>
        </font>
      </dxf>
    </rfmt>
    <rcc rId="0" sId="23" s="1" dxf="1">
      <nc r="F92">
        <f>#REF!/(dayTOyr)/1000000</f>
      </nc>
      <ndxf>
        <numFmt numFmtId="181" formatCode="_(* #,##0_);_(* \(#,##0\);_(* &quot;-&quot;??_);_(@_)"/>
        <border outline="0">
          <left style="thin">
            <color indexed="64"/>
          </left>
        </border>
      </ndxf>
    </rcc>
    <rcc rId="0" sId="23" dxf="1">
      <nc r="G92" t="inlineStr">
        <is>
          <t>Mg/yr</t>
        </is>
      </nc>
      <ndxf>
        <font>
          <sz val="9"/>
          <color auto="1"/>
          <name val="Arial"/>
          <family val="2"/>
          <scheme val="none"/>
        </font>
      </ndxf>
    </rcc>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s="1" dxf="1">
      <nc r="K92">
        <f>#REF!/(dayTOyr)/1000000</f>
      </nc>
      <ndxf>
        <numFmt numFmtId="181" formatCode="_(* #,##0_);_(* \(#,##0\);_(* &quot;-&quot;??_);_(@_)"/>
        <fill>
          <patternFill patternType="solid">
            <bgColor theme="9" tint="0.79998168889431442"/>
          </patternFill>
        </fill>
        <border outline="0">
          <left style="thin">
            <color indexed="64"/>
          </left>
        </border>
      </ndxf>
    </rcc>
    <rcc rId="0" sId="23" dxf="1">
      <nc r="L92" t="inlineStr">
        <is>
          <t>Mg/yr</t>
        </is>
      </nc>
      <ndxf>
        <font>
          <sz val="9"/>
          <color auto="1"/>
          <name val="Arial"/>
          <family val="2"/>
          <scheme val="none"/>
        </font>
      </ndxf>
    </rcc>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8" sId="23" ref="A92:XFD92" action="deleteRow">
    <undo index="65535" exp="area" dr="K92:K93" r="K94" sId="23"/>
    <undo index="65535" exp="area" dr="F92:F93" r="F94" sId="23"/>
    <undo index="65535" exp="area" dr="B92:B93" r="B94" sId="23"/>
    <rfmt sheetId="23" xfDxf="1" sqref="A92:XFD92" start="0" length="0"/>
    <rcc rId="0" sId="23">
      <nc r="A92" t="inlineStr">
        <is>
          <t>4.  Calculate release of methane from flare system</t>
        </is>
      </nc>
    </rcc>
    <rcc rId="0" sId="23" dxf="1">
      <nc r="B92">
        <f>(1-#REF!)*#REF!</f>
      </nc>
      <ndxf>
        <numFmt numFmtId="181" formatCode="_(* #,##0_);_(* \(#,##0\);_(* &quot;-&quot;??_);_(@_)"/>
        <border outline="0">
          <left style="thin">
            <color indexed="64"/>
          </left>
        </border>
      </ndxf>
    </rcc>
    <rcc rId="0" sId="23" dxf="1">
      <nc r="C92" t="inlineStr">
        <is>
          <t>Mg/yr</t>
        </is>
      </nc>
      <ndxf>
        <font>
          <sz val="9"/>
          <color auto="1"/>
          <name val="Arial"/>
          <family val="2"/>
          <scheme val="none"/>
        </font>
      </ndxf>
    </rcc>
    <rfmt sheetId="23" sqref="D92" start="0" length="0">
      <dxf>
        <alignment horizontal="center"/>
      </dxf>
    </rfmt>
    <rfmt sheetId="23" sqref="E92" start="0" length="0">
      <dxf>
        <font>
          <sz val="7"/>
          <color auto="1"/>
          <name val="Arial"/>
          <family val="2"/>
          <scheme val="none"/>
        </font>
      </dxf>
    </rfmt>
    <rcc rId="0" sId="23" dxf="1">
      <nc r="F92">
        <f>(1-#REF!)*#REF!</f>
      </nc>
      <ndxf>
        <numFmt numFmtId="181" formatCode="_(* #,##0_);_(* \(#,##0\);_(* &quot;-&quot;??_);_(@_)"/>
        <border outline="0">
          <left style="thin">
            <color indexed="64"/>
          </left>
        </border>
      </ndxf>
    </rcc>
    <rcc rId="0" sId="23" dxf="1">
      <nc r="G92" t="inlineStr">
        <is>
          <t>Mg/yr</t>
        </is>
      </nc>
      <ndxf>
        <font>
          <sz val="9"/>
          <color auto="1"/>
          <name val="Arial"/>
          <family val="2"/>
          <scheme val="none"/>
        </font>
      </ndxf>
    </rcc>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(1-#REF!)*#REF!</f>
      </nc>
      <ndxf>
        <numFmt numFmtId="181" formatCode="_(* #,##0_);_(* \(#,##0\);_(* &quot;-&quot;??_);_(@_)"/>
        <fill>
          <patternFill patternType="solid">
            <bgColor theme="9" tint="0.79998168889431442"/>
          </patternFill>
        </fill>
        <border outline="0">
          <left style="thin">
            <color indexed="64"/>
          </left>
        </border>
      </ndxf>
    </rcc>
    <rcc rId="0" sId="23" dxf="1">
      <nc r="L92" t="inlineStr">
        <is>
          <t>Mg/yr</t>
        </is>
      </nc>
      <ndxf>
        <font>
          <sz val="9"/>
          <color auto="1"/>
          <name val="Arial"/>
          <family val="2"/>
          <scheme val="none"/>
        </font>
      </ndxf>
    </rcc>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79" sId="23" ref="A92:XFD92" action="deleteRow">
    <undo index="65535" exp="area" dr="K92" r="K93" sId="23"/>
    <undo index="65535" exp="area" dr="F92" r="F93" sId="23"/>
    <undo index="65535" exp="area" dr="B92" r="B93" sId="23"/>
    <rfmt sheetId="23" xfDxf="1" sqref="A92:XFD92" start="0" length="0"/>
    <rcc rId="0" sId="23">
      <nc r="A92" t="inlineStr">
        <is>
          <t>5.  Calculate fugitive methane releases</t>
        </is>
      </nc>
    </rcc>
    <rcc rId="0" sId="23" dxf="1">
      <nc r="B92">
        <f>(1-#REF!)*(#REF!/#REF!-#REF!)</f>
      </nc>
      <ndxf>
        <numFmt numFmtId="181" formatCode="_(* #,##0_);_(* \(#,##0\);_(* &quot;-&quot;??_);_(@_)"/>
        <border outline="0">
          <left style="thin">
            <color indexed="64"/>
          </left>
        </border>
      </ndxf>
    </rcc>
    <rcc rId="0" sId="23" dxf="1">
      <nc r="C92" t="inlineStr">
        <is>
          <t>Mg/yr</t>
        </is>
      </nc>
      <ndxf>
        <font>
          <sz val="9"/>
          <color auto="1"/>
          <name val="Arial"/>
          <family val="2"/>
          <scheme val="none"/>
        </font>
      </ndxf>
    </rcc>
    <rfmt sheetId="23" sqref="D92" start="0" length="0">
      <dxf>
        <alignment horizontal="center"/>
      </dxf>
    </rfmt>
    <rfmt sheetId="23" sqref="E92" start="0" length="0">
      <dxf>
        <font>
          <sz val="7"/>
          <color auto="1"/>
          <name val="Arial"/>
          <family val="2"/>
          <scheme val="none"/>
        </font>
      </dxf>
    </rfmt>
    <rcc rId="0" sId="23" dxf="1">
      <nc r="F92">
        <f>(1-#REF!)*(#REF!/#REF!-#REF!)</f>
      </nc>
      <ndxf>
        <numFmt numFmtId="181" formatCode="_(* #,##0_);_(* \(#,##0\);_(* &quot;-&quot;??_);_(@_)"/>
        <border outline="0">
          <left style="thin">
            <color indexed="64"/>
          </left>
        </border>
      </ndxf>
    </rcc>
    <rcc rId="0" sId="23" dxf="1">
      <nc r="G92" t="inlineStr">
        <is>
          <t>Mg/yr</t>
        </is>
      </nc>
      <ndxf>
        <font>
          <sz val="9"/>
          <color auto="1"/>
          <name val="Arial"/>
          <family val="2"/>
          <scheme val="none"/>
        </font>
      </ndxf>
    </rcc>
    <rfmt sheetId="23" sqref="H92" start="0" length="0">
      <dxf>
        <numFmt numFmtId="35" formatCode="_(* #,##0.00_);_(* \(#,##0.00\);_(* &quot;-&quot;??_);_(@_)"/>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(1-#REF!)*(#REF!/#REF!-#REF!)</f>
      </nc>
      <ndxf>
        <numFmt numFmtId="181" formatCode="_(* #,##0_);_(* \(#,##0\);_(* &quot;-&quot;??_);_(@_)"/>
        <fill>
          <patternFill patternType="solid">
            <bgColor theme="9" tint="0.79998168889431442"/>
          </patternFill>
        </fill>
        <border outline="0">
          <left style="thin">
            <color indexed="64"/>
          </left>
        </border>
      </ndxf>
    </rcc>
    <rcc rId="0" sId="23" dxf="1">
      <nc r="L92" t="inlineStr">
        <is>
          <t>Mg/yr</t>
        </is>
      </nc>
      <ndxf>
        <font>
          <sz val="9"/>
          <color auto="1"/>
          <name val="Arial"/>
          <family val="2"/>
          <scheme val="none"/>
        </font>
      </ndxf>
    </rcc>
    <rfmt sheetId="23" sqref="M92" start="0" length="0">
      <dxf>
        <numFmt numFmtId="35" formatCode="_(* #,##0.00_);_(* \(#,##0.00\);_(* &quot;-&quot;??_);_(@_)"/>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80" sId="23" ref="A92:XFD92" action="deleteRow">
    <undo index="0" exp="ref" v="1" dr="K92" r="K93" sId="23"/>
    <undo index="0" exp="ref" v="1" dr="F92" r="F93" sId="23"/>
    <undo index="0" exp="ref" v="1" dr="B92" r="B93" sId="23"/>
    <rfmt sheetId="23" xfDxf="1" sqref="A92:XFD92" start="0" length="0"/>
    <rcc rId="0" sId="23">
      <nc r="A92" t="inlineStr">
        <is>
          <t>6.  Calculate total methane release</t>
        </is>
      </nc>
    </rcc>
    <rcc rId="0" sId="23" dxf="1">
      <nc r="B92">
        <f>SUM(#REF!)</f>
      </nc>
      <ndxf>
        <numFmt numFmtId="181" formatCode="_(* #,##0_);_(* \(#,##0\);_(* &quot;-&quot;??_);_(@_)"/>
        <border outline="0">
          <left style="thin">
            <color indexed="64"/>
          </left>
        </border>
      </ndxf>
    </rcc>
    <rcc rId="0" sId="23" dxf="1">
      <nc r="C92" t="inlineStr">
        <is>
          <t>Mg/yr</t>
        </is>
      </nc>
      <ndxf>
        <font>
          <sz val="9"/>
          <color auto="1"/>
          <name val="Arial"/>
          <family val="2"/>
          <scheme val="none"/>
        </font>
      </ndxf>
    </rcc>
    <rfmt sheetId="23" sqref="D92" start="0" length="0">
      <dxf>
        <alignment horizontal="center"/>
      </dxf>
    </rfmt>
    <rfmt sheetId="23" sqref="E92" start="0" length="0">
      <dxf>
        <font>
          <sz val="7"/>
          <color auto="1"/>
          <name val="Arial"/>
          <family val="2"/>
          <scheme val="none"/>
        </font>
      </dxf>
    </rfmt>
    <rcc rId="0" sId="23" dxf="1">
      <nc r="F92">
        <f>SUM(#REF!)</f>
      </nc>
      <ndxf>
        <numFmt numFmtId="181" formatCode="_(* #,##0_);_(* \(#,##0\);_(* &quot;-&quot;??_);_(@_)"/>
        <border outline="0">
          <left style="thin">
            <color indexed="64"/>
          </left>
        </border>
      </ndxf>
    </rcc>
    <rcc rId="0" sId="23" dxf="1">
      <nc r="G92" t="inlineStr">
        <is>
          <t>Mg/yr</t>
        </is>
      </nc>
      <ndxf>
        <font>
          <sz val="9"/>
          <color auto="1"/>
          <name val="Arial"/>
          <family val="2"/>
          <scheme val="none"/>
        </font>
      </ndxf>
    </rcc>
    <rfmt sheetId="23" sqref="H92" start="0" length="0">
      <dxf>
        <numFmt numFmtId="35" formatCode="_(* #,##0.00_);_(* \(#,##0.00\);_(* &quot;-&quot;??_);_(@_)"/>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SUM(#REF!)</f>
      </nc>
      <ndxf>
        <numFmt numFmtId="181" formatCode="_(* #,##0_);_(* \(#,##0\);_(* &quot;-&quot;??_);_(@_)"/>
        <fill>
          <patternFill patternType="solid">
            <bgColor theme="9" tint="0.79998168889431442"/>
          </patternFill>
        </fill>
        <border outline="0">
          <left style="thin">
            <color indexed="64"/>
          </left>
        </border>
      </ndxf>
    </rcc>
    <rcc rId="0" sId="23" dxf="1">
      <nc r="L92" t="inlineStr">
        <is>
          <t>Mg/yr</t>
        </is>
      </nc>
      <ndxf>
        <font>
          <sz val="9"/>
          <color auto="1"/>
          <name val="Arial"/>
          <family val="2"/>
          <scheme val="none"/>
        </font>
      </ndxf>
    </rcc>
    <rfmt sheetId="23" sqref="M92" start="0" length="0">
      <dxf>
        <numFmt numFmtId="35" formatCode="_(* #,##0.00_);_(* \(#,##0.00\);_(* &quot;-&quot;??_);_(@_)"/>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81" sId="23" ref="A92:XFD92" action="deleteRow">
    <undo index="65535" exp="ref" v="1" dr="K92" r="K95" sId="23"/>
    <undo index="65535" exp="ref" v="1" dr="F92" r="F95" sId="23"/>
    <undo index="65535" exp="ref" v="1" dr="B92" r="B95" sId="23"/>
    <rfmt sheetId="23" xfDxf="1" sqref="A92:XFD92" start="0" length="0"/>
    <rcc rId="0" sId="23">
      <nc r="A92" t="inlineStr">
        <is>
          <t>7.  Calculate methane emissions</t>
        </is>
      </nc>
    </rcc>
    <rcc rId="0" sId="23" dxf="1">
      <nc r="B92">
        <f>#REF!*GWPCH4</f>
      </nc>
      <ndxf>
        <font>
          <b/>
          <sz val="9"/>
          <color auto="1"/>
          <name val="Arial"/>
          <family val="2"/>
          <scheme val="none"/>
        </font>
        <numFmt numFmtId="181" formatCode="_(* #,##0_);_(* \(#,##0\);_(* &quot;-&quot;??_);_(@_)"/>
        <fill>
          <patternFill patternType="solid">
            <bgColor rgb="FFFFC000"/>
          </patternFill>
        </fill>
        <border outline="0">
          <left style="thin">
            <color indexed="64"/>
          </left>
        </border>
      </ndxf>
    </rcc>
    <rcc rId="0" sId="23" dxf="1">
      <nc r="C92" t="inlineStr">
        <is>
          <r>
            <t>MgCO</t>
          </r>
          <r>
            <rPr>
              <vertAlign val="subscript"/>
              <sz val="9"/>
              <rFont val="Arial"/>
              <family val="2"/>
            </rPr>
            <t>2</t>
          </r>
          <r>
            <rPr>
              <sz val="9"/>
              <rFont val="Arial"/>
              <family val="2"/>
            </rPr>
            <t>e</t>
          </r>
        </is>
      </nc>
      <ndxf>
        <font>
          <b/>
          <sz val="9"/>
          <color auto="1"/>
          <name val="Arial"/>
          <family val="2"/>
          <scheme val="none"/>
        </font>
      </ndxf>
    </rcc>
    <rfmt sheetId="23" sqref="D92" start="0" length="0">
      <dxf>
        <alignment horizontal="center"/>
      </dxf>
    </rfmt>
    <rfmt sheetId="23" sqref="E92" start="0" length="0">
      <dxf>
        <font>
          <sz val="7"/>
          <color auto="1"/>
          <name val="Arial"/>
          <family val="2"/>
          <scheme val="none"/>
        </font>
      </dxf>
    </rfmt>
    <rcc rId="0" sId="23" dxf="1">
      <nc r="F92">
        <f>#REF!*GWPCH4</f>
      </nc>
      <ndxf>
        <font>
          <b/>
          <sz val="9"/>
          <color auto="1"/>
          <name val="Arial"/>
          <family val="2"/>
          <scheme val="none"/>
        </font>
        <numFmt numFmtId="181" formatCode="_(* #,##0_);_(* \(#,##0\);_(* &quot;-&quot;??_);_(@_)"/>
        <fill>
          <patternFill patternType="solid">
            <bgColor rgb="FFFFC000"/>
          </patternFill>
        </fill>
        <border outline="0">
          <left style="thin">
            <color indexed="64"/>
          </left>
        </border>
      </ndxf>
    </rcc>
    <rcc rId="0" sId="23" dxf="1">
      <nc r="G92" t="inlineStr">
        <is>
          <r>
            <t>MgCO</t>
          </r>
          <r>
            <rPr>
              <vertAlign val="subscript"/>
              <sz val="9"/>
              <rFont val="Arial"/>
              <family val="2"/>
            </rPr>
            <t>2</t>
          </r>
          <r>
            <rPr>
              <sz val="9"/>
              <rFont val="Arial"/>
              <family val="2"/>
            </rPr>
            <t>e</t>
          </r>
        </is>
      </nc>
      <ndxf>
        <font>
          <b/>
          <sz val="9"/>
          <color auto="1"/>
          <name val="Arial"/>
          <family val="2"/>
          <scheme val="none"/>
        </font>
      </ndxf>
    </rcc>
    <rfmt sheetId="23" sqref="H92" start="0" length="0">
      <dxf>
        <numFmt numFmtId="35" formatCode="_(* #,##0.00_);_(* \(#,##0.00\);_(* &quot;-&quot;??_);_(@_)"/>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cc rId="0" sId="23" dxf="1">
      <nc r="K92">
        <f>#REF!*GWPCH4</f>
      </nc>
      <ndxf>
        <font>
          <b/>
          <sz val="9"/>
          <color auto="1"/>
          <name val="Arial"/>
          <family val="2"/>
          <scheme val="none"/>
        </font>
        <numFmt numFmtId="181" formatCode="_(* #,##0_);_(* \(#,##0\);_(* &quot;-&quot;??_);_(@_)"/>
        <fill>
          <patternFill patternType="solid">
            <bgColor theme="9" tint="0.79998168889431442"/>
          </patternFill>
        </fill>
        <border outline="0">
          <left style="thin">
            <color indexed="64"/>
          </left>
        </border>
      </ndxf>
    </rcc>
    <rcc rId="0" sId="23" dxf="1">
      <nc r="L92" t="inlineStr">
        <is>
          <r>
            <t>MgCO</t>
          </r>
          <r>
            <rPr>
              <vertAlign val="subscript"/>
              <sz val="9"/>
              <rFont val="Arial"/>
              <family val="2"/>
            </rPr>
            <t>2</t>
          </r>
          <r>
            <rPr>
              <sz val="9"/>
              <rFont val="Arial"/>
              <family val="2"/>
            </rPr>
            <t>e</t>
          </r>
        </is>
      </nc>
      <ndxf>
        <font>
          <b/>
          <sz val="9"/>
          <color auto="1"/>
          <name val="Arial"/>
          <family val="2"/>
          <scheme val="none"/>
        </font>
      </ndxf>
    </rcc>
    <rfmt sheetId="23" sqref="M92" start="0" length="0">
      <dxf>
        <numFmt numFmtId="35" formatCode="_(* #,##0.00_);_(* \(#,##0.00\);_(* &quot;-&quot;??_);_(@_)"/>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82" sId="23" ref="A92:XFD92" action="deleteRow">
    <rfmt sheetId="23" xfDxf="1" sqref="A92:XFD92" start="0" length="0"/>
    <rfmt sheetId="23" sqref="B92" start="0" length="0">
      <dxf>
        <border outline="0">
          <left style="thin">
            <color indexed="64"/>
          </left>
        </border>
      </dxf>
    </rfmt>
    <rfmt sheetId="23" sqref="D92" start="0" length="0">
      <dxf>
        <alignment horizontal="center"/>
      </dxf>
    </rfmt>
    <rfmt sheetId="23" sqref="E92" start="0" length="0">
      <dxf>
        <font>
          <sz val="7"/>
          <color auto="1"/>
          <name val="Arial"/>
          <family val="2"/>
          <scheme val="none"/>
        </font>
      </dxf>
    </rfmt>
    <rfmt sheetId="23" sqref="F92" start="0" length="0">
      <dxf>
        <border outline="0">
          <left style="thin">
            <color indexed="64"/>
          </left>
        </border>
      </dxf>
    </rfmt>
    <rfmt sheetId="23" sqref="G92" start="0" length="0">
      <dxf>
        <font>
          <sz val="9"/>
          <color auto="1"/>
          <name val="Arial"/>
          <family val="2"/>
          <scheme val="none"/>
        </font>
      </dxf>
    </rfmt>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fmt sheetId="23" sqref="K92" start="0" length="0">
      <dxf>
        <numFmt numFmtId="181" formatCode="_(* #,##0_);_(* \(#,##0\);_(* &quot;-&quot;??_);_(@_)"/>
        <border outline="0">
          <left style="thin">
            <color indexed="64"/>
          </left>
        </border>
      </dxf>
    </rfmt>
    <rfmt sheetId="23" sqref="L92" start="0" length="0">
      <dxf>
        <font>
          <sz val="9"/>
          <color auto="1"/>
          <name val="Arial"/>
          <family val="2"/>
          <scheme val="none"/>
        </font>
      </dxf>
    </rfmt>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83" sId="23" ref="A92:XFD92" action="deleteRow">
    <rfmt sheetId="23" xfDxf="1" sqref="A92:XFD92" start="0" length="0"/>
    <rfmt sheetId="23" sqref="B92" start="0" length="0">
      <dxf>
        <border outline="0">
          <left style="thin">
            <color indexed="64"/>
          </left>
        </border>
      </dxf>
    </rfmt>
    <rfmt sheetId="23" sqref="D92" start="0" length="0">
      <dxf>
        <alignment horizontal="center"/>
      </dxf>
    </rfmt>
    <rfmt sheetId="23" sqref="E92" start="0" length="0">
      <dxf>
        <font>
          <sz val="7"/>
          <color auto="1"/>
          <name val="Arial"/>
          <family val="2"/>
          <scheme val="none"/>
        </font>
      </dxf>
    </rfmt>
    <rfmt sheetId="23" sqref="F92" start="0" length="0">
      <dxf>
        <border outline="0">
          <left style="thin">
            <color indexed="64"/>
          </left>
        </border>
      </dxf>
    </rfmt>
    <rfmt sheetId="23" sqref="H92" start="0" length="0">
      <dxf>
        <alignment horizontal="center"/>
      </dxf>
    </rfmt>
    <rfmt sheetId="23" sqref="I92" start="0" length="0">
      <dxf>
        <font>
          <sz val="7"/>
          <color auto="1"/>
          <name val="Arial"/>
          <family val="2"/>
          <scheme val="none"/>
        </font>
      </dxf>
    </rfmt>
    <rfmt sheetId="23" sqref="J92" start="0" length="0">
      <dxf>
        <font>
          <sz val="7"/>
          <color auto="1"/>
          <name val="Arial"/>
          <family val="2"/>
          <scheme val="none"/>
        </font>
        <border outline="0">
          <left style="thin">
            <color indexed="64"/>
          </left>
          <right style="thin">
            <color indexed="64"/>
          </right>
        </border>
      </dxf>
    </rfmt>
    <rfmt sheetId="23" sqref="K92" start="0" length="0">
      <dxf>
        <border outline="0">
          <left style="thin">
            <color indexed="64"/>
          </left>
        </border>
      </dxf>
    </rfmt>
    <rfmt sheetId="23" sqref="M92" start="0" length="0">
      <dxf>
        <alignment horizontal="center"/>
      </dxf>
    </rfmt>
    <rfmt sheetId="23" sqref="N92" start="0" length="0">
      <dxf>
        <font>
          <sz val="7"/>
          <color auto="1"/>
          <name val="Arial"/>
          <family val="2"/>
          <scheme val="none"/>
        </font>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rc rId="384" sId="23" ref="A92:XFD92" action="deleteRow">
    <undo index="65535" exp="ref" ref3D="1" v="1" dr="F92" r="E41" sId="7"/>
    <undo index="65535" exp="ref" ref3D="1" v="1" dr="F92" r="D41" sId="7"/>
    <undo index="65535" exp="ref" ref3D="1" v="1" dr="F92" r="C41" sId="7"/>
    <undo index="65535" exp="ref" ref3D="1" v="1" dr="B92" r="B41" sId="7"/>
    <rfmt sheetId="23" xfDxf="1" sqref="A92:XFD92" start="0" length="0"/>
    <rcc rId="0" sId="23" dxf="1">
      <nc r="A92" t="inlineStr">
        <is>
          <t>TOTAL EMISSIONS</t>
        </is>
      </nc>
      <ndxf>
        <font>
          <b/>
          <sz val="9"/>
          <color auto="1"/>
          <name val="Arial"/>
          <family val="2"/>
          <scheme val="none"/>
        </font>
        <numFmt numFmtId="30" formatCode="@"/>
        <fill>
          <patternFill patternType="solid">
            <bgColor rgb="FFFFC000"/>
          </patternFill>
        </fill>
        <alignment wrapText="1"/>
        <border outline="0">
          <right style="thin">
            <color indexed="64"/>
          </right>
        </border>
      </ndxf>
    </rcc>
    <rcc rId="0" sId="23" dxf="1">
      <nc r="B92">
        <f>B80+B68+B45+B31+B22+B13+SUM(B85:B88)+#REF!</f>
      </nc>
      <ndxf>
        <font>
          <b/>
          <sz val="9"/>
          <color auto="1"/>
          <name val="Arial"/>
          <family val="2"/>
          <scheme val="none"/>
        </font>
        <numFmt numFmtId="3" formatCode="#,##0"/>
        <fill>
          <patternFill patternType="solid">
            <bgColor rgb="FFFFC000"/>
          </patternFill>
        </fill>
        <alignment horizontal="right" vertical="bottom"/>
      </ndxf>
    </rcc>
    <rcc rId="0" sId="23" dxf="1">
      <nc r="C92" t="inlineStr">
        <is>
          <r>
            <t>MgCO</t>
          </r>
          <r>
            <rPr>
              <b/>
              <vertAlign val="subscript"/>
              <sz val="9"/>
              <rFont val="Arial"/>
              <family val="2"/>
            </rPr>
            <t>2</t>
          </r>
          <r>
            <rPr>
              <b/>
              <sz val="9"/>
              <rFont val="Arial"/>
              <family val="2"/>
            </rPr>
            <t>e</t>
          </r>
        </is>
      </nc>
      <ndxf>
        <font>
          <b/>
          <sz val="9"/>
          <color auto="1"/>
          <name val="Arial"/>
          <family val="2"/>
          <scheme val="none"/>
        </font>
        <fill>
          <patternFill patternType="solid">
            <bgColor rgb="FFFFC000"/>
          </patternFill>
        </fill>
      </ndxf>
    </rcc>
    <rfmt sheetId="23" sqref="D92" start="0" length="0">
      <dxf>
        <fill>
          <patternFill patternType="solid">
            <bgColor rgb="FFFFC000"/>
          </patternFill>
        </fill>
        <alignment horizontal="center"/>
      </dxf>
    </rfmt>
    <rfmt sheetId="23" sqref="E92" start="0" length="0">
      <dxf>
        <font>
          <sz val="7"/>
          <color auto="1"/>
          <name val="Arial"/>
          <family val="2"/>
          <scheme val="none"/>
        </font>
        <fill>
          <patternFill patternType="solid">
            <bgColor rgb="FFFFC000"/>
          </patternFill>
        </fill>
        <border outline="0">
          <right style="thin">
            <color indexed="64"/>
          </right>
        </border>
      </dxf>
    </rfmt>
    <rcc rId="0" sId="23" dxf="1">
      <nc r="F92">
        <f>F80+F68+F45+F31+F22+F13+SUM(F85:F88)+#REF!</f>
      </nc>
      <ndxf>
        <font>
          <b/>
          <sz val="9"/>
          <color auto="1"/>
          <name val="Arial"/>
          <family val="2"/>
          <scheme val="none"/>
        </font>
        <numFmt numFmtId="3" formatCode="#,##0"/>
        <fill>
          <patternFill patternType="solid">
            <bgColor rgb="FFFFC000"/>
          </patternFill>
        </fill>
        <alignment horizontal="right" vertical="bottom"/>
      </ndxf>
    </rcc>
    <rcc rId="0" sId="23" dxf="1">
      <nc r="G92" t="inlineStr">
        <is>
          <r>
            <t>MgCO</t>
          </r>
          <r>
            <rPr>
              <b/>
              <vertAlign val="subscript"/>
              <sz val="9"/>
              <rFont val="Arial"/>
              <family val="2"/>
            </rPr>
            <t>2</t>
          </r>
          <r>
            <rPr>
              <b/>
              <sz val="9"/>
              <rFont val="Arial"/>
              <family val="2"/>
            </rPr>
            <t>e</t>
          </r>
        </is>
      </nc>
      <ndxf>
        <font>
          <b/>
          <sz val="9"/>
          <color auto="1"/>
          <name val="Arial"/>
          <family val="2"/>
          <scheme val="none"/>
        </font>
        <fill>
          <patternFill patternType="solid">
            <bgColor rgb="FFFFC000"/>
          </patternFill>
        </fill>
      </ndxf>
    </rcc>
    <rfmt sheetId="23" sqref="H92" start="0" length="0">
      <dxf>
        <fill>
          <patternFill patternType="solid">
            <bgColor rgb="FFFFC000"/>
          </patternFill>
        </fill>
        <alignment horizontal="center"/>
      </dxf>
    </rfmt>
    <rfmt sheetId="23" sqref="I92" start="0" length="0">
      <dxf>
        <font>
          <sz val="7"/>
          <color auto="1"/>
          <name val="Arial"/>
          <family val="2"/>
          <scheme val="none"/>
        </font>
        <fill>
          <patternFill patternType="solid">
            <bgColor rgb="FFFFC000"/>
          </patternFill>
        </fill>
        <border outline="0">
          <right style="thin">
            <color indexed="64"/>
          </right>
        </border>
      </dxf>
    </rfmt>
    <rfmt sheetId="23" sqref="J92" start="0" length="0">
      <dxf>
        <font>
          <sz val="7"/>
          <color auto="1"/>
          <name val="Arial"/>
          <family val="2"/>
          <scheme val="none"/>
        </font>
        <fill>
          <patternFill patternType="solid">
            <bgColor rgb="FFFFC000"/>
          </patternFill>
        </fill>
        <border outline="0">
          <right style="thin">
            <color indexed="64"/>
          </right>
        </border>
      </dxf>
    </rfmt>
    <rcc rId="0" sId="23" dxf="1">
      <nc r="K92">
        <f>K80+K68+K45+K31+K22+K13+SUM(K85:K88)+#REF!</f>
      </nc>
      <ndxf>
        <font>
          <b/>
          <sz val="9"/>
          <color auto="1"/>
          <name val="Arial"/>
          <family val="2"/>
          <scheme val="none"/>
        </font>
        <numFmt numFmtId="3" formatCode="#,##0"/>
        <fill>
          <patternFill patternType="solid">
            <bgColor rgb="FFFFC000"/>
          </patternFill>
        </fill>
        <alignment horizontal="right" vertical="bottom"/>
      </ndxf>
    </rcc>
    <rcc rId="0" sId="23" dxf="1">
      <nc r="L92" t="inlineStr">
        <is>
          <r>
            <t>MgCO</t>
          </r>
          <r>
            <rPr>
              <b/>
              <vertAlign val="subscript"/>
              <sz val="9"/>
              <rFont val="Arial"/>
              <family val="2"/>
            </rPr>
            <t>2</t>
          </r>
          <r>
            <rPr>
              <b/>
              <sz val="9"/>
              <rFont val="Arial"/>
              <family val="2"/>
            </rPr>
            <t>e</t>
          </r>
        </is>
      </nc>
      <ndxf>
        <font>
          <b/>
          <sz val="9"/>
          <color auto="1"/>
          <name val="Arial"/>
          <family val="2"/>
          <scheme val="none"/>
        </font>
        <fill>
          <patternFill patternType="solid">
            <bgColor rgb="FFFFC000"/>
          </patternFill>
        </fill>
      </ndxf>
    </rcc>
    <rfmt sheetId="23" sqref="M92" start="0" length="0">
      <dxf>
        <fill>
          <patternFill patternType="solid">
            <bgColor rgb="FFFFC000"/>
          </patternFill>
        </fill>
        <alignment horizontal="center"/>
      </dxf>
    </rfmt>
    <rfmt sheetId="23" sqref="N92" start="0" length="0">
      <dxf>
        <font>
          <sz val="7"/>
          <color auto="1"/>
          <name val="Arial"/>
          <family val="2"/>
          <scheme val="none"/>
        </font>
        <fill>
          <patternFill patternType="solid">
            <bgColor rgb="FFFFC000"/>
          </patternFill>
        </fill>
        <border outline="0">
          <right style="thin">
            <color indexed="64"/>
          </right>
        </border>
      </dxf>
    </rfmt>
    <rfmt sheetId="23" sqref="O92" start="0" length="0">
      <dxf>
        <font>
          <sz val="7"/>
          <color auto="1"/>
          <name val="Arial"/>
          <family val="2"/>
          <scheme val="none"/>
        </font>
      </dxf>
    </rfmt>
    <rfmt sheetId="23" sqref="P92" start="0" length="0">
      <dxf>
        <font>
          <sz val="7"/>
          <color auto="1"/>
          <name val="Arial"/>
          <family val="2"/>
          <scheme val="none"/>
        </font>
      </dxf>
    </rfmt>
    <rfmt sheetId="23" sqref="Q92" start="0" length="0">
      <dxf>
        <font>
          <sz val="7"/>
          <color auto="1"/>
          <name val="Arial"/>
          <family val="2"/>
          <scheme val="none"/>
        </font>
      </dxf>
    </rfmt>
  </rrc>
  <rcmt sheetId="23" cell="F13" guid="{01E8A2A3-22A4-4B9C-B8D6-5CAE5882F41D}" author="Kirstin Hervin" newLength="61"/>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0" sId="9">
    <oc r="I55" t="inlineStr">
      <is>
        <t>GGL tab</t>
      </is>
    </oc>
    <nc r="I55" t="inlineStr">
      <is>
        <t>GGL tab- oldest available 2009</t>
      </is>
    </nc>
  </rcc>
  <rcc rId="3131" sId="9">
    <oc r="E55" t="inlineStr">
      <is>
        <t>GGL tab</t>
      </is>
    </oc>
    <nc r="E55" t="inlineStr">
      <is>
        <t>GGL tab- oldest available 2009</t>
      </is>
    </nc>
  </rcc>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2" sId="9" numFmtId="4">
    <oc r="J49">
      <v>0.60953359671325291</v>
    </oc>
    <nc r="J49">
      <v>0.502</v>
    </nc>
  </rcc>
  <rcc rId="3133" sId="9" numFmtId="4">
    <oc r="N49">
      <v>0.59111332788773951</v>
    </oc>
    <nc r="N49">
      <v>0.48680000000000001</v>
    </nc>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Summary_RptTbls!$A$5:$A$42</formula>
    <oldFormula>Summary_RptTbls!$A$5:$A$42</oldFormula>
  </rdn>
  <rcv guid="{15CC7F3D-99AB-49C1-AC00-E04D3FE3FBC1}"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7" cell="N16" guid="{00000000-0000-0000-0000-000000000000}" action="delete" alwaysShow="1" author="Andrea Martin"/>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9" sId="9">
    <oc r="B62">
      <f>B61*tonTOMg</f>
    </oc>
    <nc r="B62">
      <f>B49*B60</f>
    </nc>
  </rcc>
  <rcc rId="3140" sId="9">
    <oc r="F62">
      <f>F61*tonTOMg</f>
    </oc>
    <nc r="F62">
      <f>F49*F60</f>
    </nc>
  </rcc>
  <rcc rId="3141" sId="9">
    <oc r="J62">
      <f>J61*tonTOMg</f>
    </oc>
    <nc r="J62">
      <f>J49*J60</f>
    </nc>
  </rcc>
  <rcc rId="3142" sId="9" odxf="1" s="1" dxf="1">
    <oc r="N62">
      <f>N61*tonTOMg</f>
    </oc>
    <nc r="N62">
      <f>N49*N60</f>
    </nc>
    <odxf>
      <font>
        <b/>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right/>
        <top/>
        <bottom/>
      </border>
    </odxf>
    <ndxf>
      <numFmt numFmtId="3" formatCode="#,##0"/>
      <alignment horizontal="right"/>
    </ndxf>
  </rcc>
  <rcc rId="3143" sId="9" odxf="1" dxf="1">
    <oc r="C66" t="inlineStr">
      <is>
        <r>
          <t>tCO</t>
        </r>
        <r>
          <rPr>
            <vertAlign val="subscript"/>
            <sz val="9"/>
            <rFont val="Arial"/>
            <family val="2"/>
          </rPr>
          <t>2</t>
        </r>
        <r>
          <rPr>
            <sz val="9"/>
            <rFont val="Arial"/>
            <family val="2"/>
          </rPr>
          <t>e</t>
        </r>
      </is>
    </oc>
    <nc r="C66"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4" sId="9" odxf="1" dxf="1">
    <oc r="G66" t="inlineStr">
      <is>
        <r>
          <t>tCO</t>
        </r>
        <r>
          <rPr>
            <vertAlign val="subscript"/>
            <sz val="9"/>
            <rFont val="Arial"/>
            <family val="2"/>
          </rPr>
          <t>2</t>
        </r>
        <r>
          <rPr>
            <sz val="9"/>
            <rFont val="Arial"/>
            <family val="2"/>
          </rPr>
          <t>e</t>
        </r>
      </is>
    </oc>
    <nc r="G66"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5" sId="9" odxf="1" dxf="1">
    <oc r="O66" t="inlineStr">
      <is>
        <r>
          <t>tCO</t>
        </r>
        <r>
          <rPr>
            <vertAlign val="subscript"/>
            <sz val="9"/>
            <rFont val="Arial"/>
            <family val="2"/>
          </rPr>
          <t>2</t>
        </r>
        <r>
          <rPr>
            <sz val="9"/>
            <rFont val="Arial"/>
            <family val="2"/>
          </rPr>
          <t>e</t>
        </r>
      </is>
    </oc>
    <nc r="O66"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6" sId="9" odxf="1" dxf="1">
    <oc r="K66" t="inlineStr">
      <is>
        <r>
          <t>tCO</t>
        </r>
        <r>
          <rPr>
            <vertAlign val="subscript"/>
            <sz val="9"/>
            <rFont val="Arial"/>
            <family val="2"/>
          </rPr>
          <t>2</t>
        </r>
        <r>
          <rPr>
            <sz val="9"/>
            <rFont val="Arial"/>
            <family val="2"/>
          </rPr>
          <t>e</t>
        </r>
      </is>
    </oc>
    <nc r="K66"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7" sId="9" odxf="1" dxf="1">
    <oc r="C72" t="inlineStr">
      <is>
        <r>
          <t>tCO</t>
        </r>
        <r>
          <rPr>
            <vertAlign val="subscript"/>
            <sz val="9"/>
            <rFont val="Arial"/>
            <family val="2"/>
          </rPr>
          <t>2</t>
        </r>
        <r>
          <rPr>
            <sz val="9"/>
            <rFont val="Arial"/>
            <family val="2"/>
          </rPr>
          <t>e</t>
        </r>
      </is>
    </oc>
    <nc r="C72"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8" sId="9" odxf="1" dxf="1">
    <oc r="C77" t="inlineStr">
      <is>
        <r>
          <t>tCO</t>
        </r>
        <r>
          <rPr>
            <vertAlign val="subscript"/>
            <sz val="9"/>
            <rFont val="Arial"/>
            <family val="2"/>
          </rPr>
          <t>2</t>
        </r>
        <r>
          <rPr>
            <sz val="9"/>
            <rFont val="Arial"/>
            <family val="2"/>
          </rPr>
          <t>e</t>
        </r>
      </is>
    </oc>
    <nc r="C77"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49" sId="9" odxf="1" dxf="1">
    <oc r="G72" t="inlineStr">
      <is>
        <r>
          <t>tCO</t>
        </r>
        <r>
          <rPr>
            <vertAlign val="subscript"/>
            <sz val="9"/>
            <rFont val="Arial"/>
            <family val="2"/>
          </rPr>
          <t>2</t>
        </r>
        <r>
          <rPr>
            <sz val="9"/>
            <rFont val="Arial"/>
            <family val="2"/>
          </rPr>
          <t>e</t>
        </r>
      </is>
    </oc>
    <nc r="G72"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50" sId="9" odxf="1" dxf="1">
    <oc r="G77" t="inlineStr">
      <is>
        <r>
          <t>tCO</t>
        </r>
        <r>
          <rPr>
            <vertAlign val="subscript"/>
            <sz val="9"/>
            <rFont val="Arial"/>
            <family val="2"/>
          </rPr>
          <t>2</t>
        </r>
        <r>
          <rPr>
            <sz val="9"/>
            <rFont val="Arial"/>
            <family val="2"/>
          </rPr>
          <t>e</t>
        </r>
      </is>
    </oc>
    <nc r="G77"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51" sId="9" odxf="1" dxf="1">
    <oc r="K72" t="inlineStr">
      <is>
        <r>
          <t>tCO</t>
        </r>
        <r>
          <rPr>
            <vertAlign val="subscript"/>
            <sz val="9"/>
            <rFont val="Arial"/>
            <family val="2"/>
          </rPr>
          <t>2</t>
        </r>
        <r>
          <rPr>
            <sz val="9"/>
            <rFont val="Arial"/>
            <family val="2"/>
          </rPr>
          <t>e</t>
        </r>
      </is>
    </oc>
    <nc r="K72"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52" sId="9" odxf="1" dxf="1">
    <oc r="K77" t="inlineStr">
      <is>
        <r>
          <t>tCO</t>
        </r>
        <r>
          <rPr>
            <vertAlign val="subscript"/>
            <sz val="9"/>
            <rFont val="Arial"/>
            <family val="2"/>
          </rPr>
          <t>2</t>
        </r>
        <r>
          <rPr>
            <sz val="9"/>
            <rFont val="Arial"/>
            <family val="2"/>
          </rPr>
          <t>e</t>
        </r>
      </is>
    </oc>
    <nc r="K77"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53" sId="9" odxf="1" dxf="1">
    <oc r="O72" t="inlineStr">
      <is>
        <r>
          <t>tCO</t>
        </r>
        <r>
          <rPr>
            <vertAlign val="subscript"/>
            <sz val="9"/>
            <rFont val="Arial"/>
            <family val="2"/>
          </rPr>
          <t>2</t>
        </r>
        <r>
          <rPr>
            <sz val="9"/>
            <rFont val="Arial"/>
            <family val="2"/>
          </rPr>
          <t>e</t>
        </r>
      </is>
    </oc>
    <nc r="O72"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3154" sId="9" odxf="1" dxf="1">
    <oc r="O77" t="inlineStr">
      <is>
        <r>
          <t>tCO</t>
        </r>
        <r>
          <rPr>
            <vertAlign val="subscript"/>
            <sz val="9"/>
            <rFont val="Arial"/>
            <family val="2"/>
          </rPr>
          <t>2</t>
        </r>
        <r>
          <rPr>
            <sz val="9"/>
            <rFont val="Arial"/>
            <family val="2"/>
          </rPr>
          <t>e</t>
        </r>
      </is>
    </oc>
    <nc r="O77" t="inlineStr">
      <is>
        <r>
          <t>MgCO</t>
        </r>
        <r>
          <rPr>
            <b/>
            <vertAlign val="subscript"/>
            <sz val="9"/>
            <color theme="3" tint="0.39997558519241921"/>
            <rFont val="Arial"/>
            <family val="2"/>
          </rPr>
          <t>2</t>
        </r>
        <r>
          <rPr>
            <b/>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rc rId="3155" sId="9" ref="A61:XFD61" action="deleteRow">
    <rfmt sheetId="9" xfDxf="1" sqref="A61:XFD61" start="0" length="0"/>
    <rcc rId="0" sId="9" dxf="1">
      <nc r="A61" t="inlineStr">
        <is>
          <t>2. Calculate Total Emissions</t>
        </is>
      </nc>
      <ndxf>
        <border outline="0">
          <right style="thin">
            <color indexed="64"/>
          </right>
        </border>
      </ndxf>
    </rcc>
    <rcc rId="0" sId="9" dxf="1">
      <nc r="B61">
        <f>B$49*B60</f>
      </nc>
      <ndxf>
        <numFmt numFmtId="3" formatCode="#,##0"/>
        <alignment horizontal="right"/>
      </ndxf>
    </rcc>
    <rcc rId="0" sId="9" dxf="1">
      <nc r="C61" t="inlineStr">
        <is>
          <r>
            <t>tCO</t>
          </r>
          <r>
            <rPr>
              <vertAlign val="subscript"/>
              <sz val="9"/>
              <rFont val="Arial"/>
              <family val="2"/>
            </rPr>
            <t>2</t>
          </r>
          <r>
            <rPr>
              <sz val="9"/>
              <rFont val="Arial"/>
              <family val="2"/>
            </rPr>
            <t>e</t>
          </r>
        </is>
      </nc>
      <ndxf/>
    </rcc>
    <rfmt sheetId="9" sqref="D61" start="0" length="0">
      <dxf>
        <numFmt numFmtId="30" formatCode="@"/>
      </dxf>
    </rfmt>
    <rfmt sheetId="9" sqref="E61" start="0" length="0">
      <dxf>
        <numFmt numFmtId="30" formatCode="@"/>
        <border outline="0">
          <right style="thin">
            <color indexed="64"/>
          </right>
        </border>
      </dxf>
    </rfmt>
    <rcc rId="0" sId="9" dxf="1">
      <nc r="F61">
        <f>F$49*F60</f>
      </nc>
      <ndxf>
        <numFmt numFmtId="3" formatCode="#,##0"/>
        <alignment horizontal="right"/>
      </ndxf>
    </rcc>
    <rcc rId="0" sId="9" dxf="1">
      <nc r="G61" t="inlineStr">
        <is>
          <r>
            <t>tCO</t>
          </r>
          <r>
            <rPr>
              <vertAlign val="subscript"/>
              <sz val="9"/>
              <rFont val="Arial"/>
              <family val="2"/>
            </rPr>
            <t>2</t>
          </r>
          <r>
            <rPr>
              <sz val="9"/>
              <rFont val="Arial"/>
              <family val="2"/>
            </rPr>
            <t>e</t>
          </r>
        </is>
      </nc>
      <ndxf/>
    </rcc>
    <rfmt sheetId="9" sqref="H61" start="0" length="0">
      <dxf>
        <numFmt numFmtId="165" formatCode="#,##0.0"/>
      </dxf>
    </rfmt>
    <rfmt sheetId="9" sqref="I61" start="0" length="0">
      <dxf>
        <numFmt numFmtId="165" formatCode="#,##0.0"/>
        <border outline="0">
          <right style="thin">
            <color indexed="64"/>
          </right>
        </border>
      </dxf>
    </rfmt>
    <rcc rId="0" sId="9" dxf="1">
      <nc r="J61">
        <f>J$49*J60</f>
      </nc>
      <ndxf>
        <numFmt numFmtId="3" formatCode="#,##0"/>
        <alignment horizontal="right"/>
      </ndxf>
    </rcc>
    <rcc rId="0" sId="9" dxf="1">
      <nc r="K61" t="inlineStr">
        <is>
          <r>
            <t>tCO</t>
          </r>
          <r>
            <rPr>
              <vertAlign val="subscript"/>
              <sz val="9"/>
              <rFont val="Arial"/>
              <family val="2"/>
            </rPr>
            <t>2</t>
          </r>
          <r>
            <rPr>
              <sz val="9"/>
              <rFont val="Arial"/>
              <family val="2"/>
            </rPr>
            <t>e</t>
          </r>
        </is>
      </nc>
      <ndxf/>
    </rcc>
    <rfmt sheetId="9" sqref="L61" start="0" length="0">
      <dxf>
        <numFmt numFmtId="165" formatCode="#,##0.0"/>
      </dxf>
    </rfmt>
    <rfmt sheetId="9" sqref="M61" start="0" length="0">
      <dxf>
        <numFmt numFmtId="165" formatCode="#,##0.0"/>
        <border outline="0">
          <right style="thin">
            <color indexed="64"/>
          </right>
        </border>
      </dxf>
    </rfmt>
    <rcc rId="0" sId="9" s="1" dxf="1">
      <nc r="N61">
        <f>N60*N49</f>
      </nc>
      <ndxf>
        <numFmt numFmtId="181" formatCode="_(* #,##0_);_(* \(#,##0\);_(* &quot;-&quot;??_);_(@_)"/>
        <alignment horizontal="left"/>
      </ndxf>
    </rcc>
    <rcc rId="0" sId="9" dxf="1">
      <nc r="O61" t="inlineStr">
        <is>
          <r>
            <t>tCO</t>
          </r>
          <r>
            <rPr>
              <vertAlign val="subscript"/>
              <sz val="9"/>
              <rFont val="Arial"/>
              <family val="2"/>
            </rPr>
            <t>2</t>
          </r>
          <r>
            <rPr>
              <sz val="9"/>
              <rFont val="Arial"/>
              <family val="2"/>
            </rPr>
            <t>e</t>
          </r>
        </is>
      </nc>
      <ndxf/>
    </rcc>
    <rfmt sheetId="9" sqref="Q61" start="0" length="0">
      <dxf>
        <border outline="0">
          <right style="thin">
            <color indexed="64"/>
          </right>
        </border>
      </dxf>
    </rfmt>
  </rrc>
  <rcc rId="3156" sId="9">
    <oc r="B66">
      <f>B65*tonTOMg+(B82*B64/B60)</f>
    </oc>
    <nc r="B66">
      <f>B65+(B82*B64/B60)</f>
    </nc>
  </rcc>
  <rcc rId="3157" sId="9">
    <oc r="B72">
      <f>B71*tonTOMg+(B82*B70/B60)</f>
    </oc>
    <nc r="B72">
      <f>B71+(B82*B70/B60)</f>
    </nc>
  </rcc>
  <rcc rId="3158" sId="9">
    <oc r="B77">
      <f>B76*tonTOMg+(B82*B81/B60)</f>
    </oc>
    <nc r="B77">
      <f>B76+(B82*B81/B60)</f>
    </nc>
  </rcc>
  <rcc rId="3159" sId="9">
    <oc r="F66">
      <f>F65*tonTOMg+(F82*F64/F60)</f>
    </oc>
    <nc r="F66">
      <f>F65+(F82*F64/F60)</f>
    </nc>
  </rcc>
  <rcc rId="3160" sId="9">
    <oc r="J66">
      <f>J65*tonTOMg+(J82*J64/J60)</f>
    </oc>
    <nc r="J66">
      <f>J65+(J82*J64/J60)</f>
    </nc>
  </rcc>
  <rcc rId="3161" sId="9">
    <oc r="N66">
      <f>N65*tonTOMg+(N82*N64/N60)</f>
    </oc>
    <nc r="N66">
      <f>N65+(N82*N64/N60)</f>
    </nc>
  </rcc>
  <rcc rId="3162" sId="9">
    <oc r="F72">
      <f>F71*tonTOMg+(F82*F70/F60)</f>
    </oc>
    <nc r="F72">
      <f>F71+(F82*F70/F60)</f>
    </nc>
  </rcc>
  <rcc rId="3163" sId="9">
    <oc r="J72">
      <f>J71*tonTOMg+(J82*J70/J60)</f>
    </oc>
    <nc r="J72">
      <f>J71+(J82*J70/J60)</f>
    </nc>
  </rcc>
  <rcc rId="3164" sId="9">
    <oc r="N72">
      <f>N71*tonTOMg+(N82*N70/N60)</f>
    </oc>
    <nc r="N72">
      <f>N71+(N82*N70/N60)</f>
    </nc>
  </rcc>
  <rcc rId="3165" sId="9">
    <oc r="F77">
      <f>F76*tonTOMg+(F82*F81/F60)</f>
    </oc>
    <nc r="F77">
      <f>F76+(F82*F81/F60)</f>
    </nc>
  </rcc>
  <rcc rId="3166" sId="9">
    <oc r="J77">
      <f>J76*tonTOMg+(J82*J81/J60)</f>
    </oc>
    <nc r="J77">
      <f>J76+(J82*J81/J60)</f>
    </nc>
  </rcc>
  <rcc rId="3167" sId="9">
    <oc r="N77">
      <f>N76*tonTOMg+(N82*N81/N60)</f>
    </oc>
    <nc r="N77">
      <f>N76+(N82*N81/N60)</f>
    </nc>
  </rcc>
  <rcc rId="3168" sId="9">
    <oc r="B82">
      <f>B81*B49*tonTOMg</f>
    </oc>
    <nc r="B82">
      <f>B81*B49</f>
    </nc>
  </rcc>
  <rcc rId="3169" sId="9">
    <oc r="F82">
      <f>F81*F49*tonTOMg</f>
    </oc>
    <nc r="F82">
      <f>F81*F49</f>
    </nc>
  </rcc>
  <rcc rId="3170" sId="9">
    <oc r="J82">
      <f>J81*J49*tonTOMg</f>
    </oc>
    <nc r="J82">
      <f>J81*J49</f>
    </nc>
  </rcc>
  <rcc rId="3171" sId="9">
    <oc r="N82">
      <f>N81*N49*tonTOMg</f>
    </oc>
    <nc r="N82">
      <f>N81*N49</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Summary_RptTbls!$A$5:$A$42</formula>
    <oldFormula>Summary_RptTbls!$A$5:$A$42</oldFormula>
  </rdn>
  <rcv guid="{9BEC6399-AE85-4D88-8FBA-3674E2F30307}"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3" sqref="M80">
    <dxf>
      <fill>
        <patternFill patternType="solid">
          <bgColor rgb="FFFFFF00"/>
        </patternFill>
      </fill>
    </dxf>
  </rfmt>
  <rcc rId="3177" sId="7" odxf="1" dxf="1">
    <nc r="S9">
      <f>R9-P9</f>
    </nc>
    <odxf>
      <numFmt numFmtId="0" formatCode="General"/>
    </odxf>
    <ndxf>
      <numFmt numFmtId="181" formatCode="_(* #,##0_);_(* \(#,##0\);_(* &quot;-&quot;??_);_(@_)"/>
    </ndxf>
  </rcc>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8" sId="9" numFmtId="4">
    <oc r="N49">
      <v>0.48680000000000001</v>
    </oc>
    <nc r="N49">
      <v>0.48684029572190662</v>
    </nc>
  </rcc>
  <rcc rId="3179" sId="9" numFmtId="4">
    <oc r="J49">
      <v>0.502</v>
    </oc>
    <nc r="J49">
      <v>0.50200754621122423</v>
    </nc>
  </rcc>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0" sId="9" numFmtId="4">
    <oc r="F49">
      <v>0.43068167700239185</v>
    </oc>
    <nc r="F49">
      <v>0.43058804921326344</v>
    </nc>
  </rcc>
  <rcc rId="3181" sId="9" numFmtId="4">
    <oc r="B49">
      <v>0.42249620288837264</v>
    </oc>
    <nc r="B49">
      <v>0.42240487735807475</v>
    </nc>
  </rcc>
  <rcc rId="3182" sId="9">
    <oc r="A77" t="inlineStr">
      <is>
        <r>
          <t>3. Convert to MgCO</t>
        </r>
        <r>
          <rPr>
            <vertAlign val="subscript"/>
            <sz val="10"/>
            <rFont val="Arial"/>
            <family val="2"/>
          </rPr>
          <t>2</t>
        </r>
        <r>
          <rPr>
            <sz val="10"/>
            <rFont val="Arial"/>
            <family val="2"/>
          </rPr>
          <t>e</t>
        </r>
      </is>
    </oc>
    <nc r="A77" t="inlineStr">
      <is>
        <t>3. Add proportion waste</t>
      </is>
    </nc>
  </rcc>
  <rcc rId="3183" sId="9">
    <oc r="A72" t="inlineStr">
      <is>
        <r>
          <t>3. Convert to MgCO</t>
        </r>
        <r>
          <rPr>
            <vertAlign val="subscript"/>
            <sz val="10"/>
            <rFont val="Arial"/>
            <family val="2"/>
          </rPr>
          <t>2</t>
        </r>
        <r>
          <rPr>
            <sz val="10"/>
            <rFont val="Arial"/>
            <family val="2"/>
          </rPr>
          <t>e</t>
        </r>
      </is>
    </oc>
    <nc r="A72" t="inlineStr">
      <is>
        <t>3. Add proportion waste</t>
      </is>
    </nc>
  </rcc>
  <rcc rId="3184" sId="9">
    <oc r="A66" t="inlineStr">
      <is>
        <r>
          <t>3. Convert to MgCO</t>
        </r>
        <r>
          <rPr>
            <vertAlign val="subscript"/>
            <sz val="10"/>
            <rFont val="Arial"/>
            <family val="2"/>
          </rPr>
          <t>2</t>
        </r>
        <r>
          <rPr>
            <sz val="10"/>
            <rFont val="Arial"/>
            <family val="2"/>
          </rPr>
          <t>e</t>
        </r>
      </is>
    </oc>
    <nc r="A66" t="inlineStr">
      <is>
        <t>3. Add proportion waste</t>
      </is>
    </nc>
  </rcc>
  <rcc rId="3185" sId="9">
    <oc r="O49" t="inlineStr">
      <is>
        <r>
          <t>tCO</t>
        </r>
        <r>
          <rPr>
            <vertAlign val="subscript"/>
            <sz val="9"/>
            <rFont val="Arial"/>
            <family val="2"/>
          </rPr>
          <t>2</t>
        </r>
        <r>
          <rPr>
            <sz val="9"/>
            <rFont val="Arial"/>
            <family val="2"/>
          </rPr>
          <t>e/MWh</t>
        </r>
      </is>
    </oc>
    <nc r="O49" t="inlineStr">
      <is>
        <r>
          <t>MgCO</t>
        </r>
        <r>
          <rPr>
            <vertAlign val="subscript"/>
            <sz val="9"/>
            <rFont val="Arial"/>
            <family val="2"/>
          </rPr>
          <t>2</t>
        </r>
        <r>
          <rPr>
            <sz val="9"/>
            <rFont val="Arial"/>
            <family val="2"/>
          </rPr>
          <t>e/MWh</t>
        </r>
      </is>
    </nc>
  </rcc>
  <rfmt sheetId="9" sqref="K49" start="0" length="2147483647">
    <dxf>
      <font>
        <b/>
        <family val="2"/>
      </font>
    </dxf>
  </rfmt>
  <rfmt sheetId="9" sqref="K49" start="0" length="2147483647">
    <dxf>
      <font>
        <b val="0"/>
        <family val="2"/>
      </font>
    </dxf>
  </rfmt>
  <rcc rId="3186" sId="9">
    <oc r="K49" t="inlineStr">
      <is>
        <r>
          <t>tCO</t>
        </r>
        <r>
          <rPr>
            <vertAlign val="subscript"/>
            <sz val="9"/>
            <rFont val="Arial"/>
            <family val="2"/>
          </rPr>
          <t>2</t>
        </r>
        <r>
          <rPr>
            <sz val="9"/>
            <rFont val="Arial"/>
            <family val="2"/>
          </rPr>
          <t>e/MWh</t>
        </r>
      </is>
    </oc>
    <nc r="K49" t="inlineStr">
      <is>
        <r>
          <t>MgCO</t>
        </r>
        <r>
          <rPr>
            <vertAlign val="subscript"/>
            <sz val="9"/>
            <rFont val="Arial"/>
            <family val="2"/>
          </rPr>
          <t>2</t>
        </r>
        <r>
          <rPr>
            <sz val="9"/>
            <rFont val="Arial"/>
            <family val="2"/>
          </rPr>
          <t>e/MWh</t>
        </r>
      </is>
    </nc>
  </rcc>
  <rcc rId="3187" sId="9">
    <oc r="C49" t="inlineStr">
      <is>
        <r>
          <t>tCO</t>
        </r>
        <r>
          <rPr>
            <vertAlign val="subscript"/>
            <sz val="9"/>
            <rFont val="Arial"/>
            <family val="2"/>
          </rPr>
          <t>2</t>
        </r>
        <r>
          <rPr>
            <sz val="9"/>
            <rFont val="Arial"/>
            <family val="2"/>
          </rPr>
          <t>e/MWh</t>
        </r>
      </is>
    </oc>
    <nc r="C49" t="inlineStr">
      <is>
        <r>
          <t>MgCO</t>
        </r>
        <r>
          <rPr>
            <vertAlign val="subscript"/>
            <sz val="9"/>
            <rFont val="Arial"/>
            <family val="2"/>
          </rPr>
          <t>2</t>
        </r>
        <r>
          <rPr>
            <sz val="9"/>
            <rFont val="Arial"/>
            <family val="2"/>
          </rPr>
          <t>e/MWh</t>
        </r>
      </is>
    </nc>
  </rcc>
  <rcc rId="3188" sId="9">
    <oc r="G49" t="inlineStr">
      <is>
        <r>
          <t>tCO</t>
        </r>
        <r>
          <rPr>
            <vertAlign val="subscript"/>
            <sz val="9"/>
            <rFont val="Arial"/>
            <family val="2"/>
          </rPr>
          <t>2</t>
        </r>
        <r>
          <rPr>
            <sz val="9"/>
            <rFont val="Arial"/>
            <family val="2"/>
          </rPr>
          <t>e/MWh</t>
        </r>
      </is>
    </oc>
    <nc r="G49" t="inlineStr">
      <is>
        <r>
          <t>MgCO</t>
        </r>
        <r>
          <rPr>
            <vertAlign val="subscript"/>
            <sz val="9"/>
            <rFont val="Arial"/>
            <family val="2"/>
          </rPr>
          <t>2</t>
        </r>
        <r>
          <rPr>
            <sz val="9"/>
            <rFont val="Arial"/>
            <family val="2"/>
          </rPr>
          <t>e/MWh</t>
        </r>
      </is>
    </nc>
  </rcc>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7" cell="R34" guid="{00000000-0000-0000-0000-000000000000}" action="delete" alwaysShow="1" author="Andrea Martin"/>
  <rcmt sheetId="7" cell="R38" guid="{00000000-0000-0000-0000-000000000000}" action="delete" alwaysShow="1" author="Andrea Martin"/>
  <rcmt sheetId="7" cell="R42" guid="{00000000-0000-0000-0000-000000000000}" action="delete" alwaysShow="1" author="Andrea Martin"/>
  <rcmt sheetId="7" cell="M45" guid="{00000000-0000-0000-0000-000000000000}" action="delete" alwaysShow="1" author="Andrea Martin"/>
  <rcc rId="3189" sId="7">
    <oc r="S9">
      <f>R9-P9</f>
    </oc>
    <nc r="S9"/>
  </rcc>
  <rcc rId="3190" sId="7" odxf="1" dxf="1">
    <nc r="S12">
      <f>(R12-P12)/P12</f>
    </nc>
    <ndxf>
      <numFmt numFmtId="181" formatCode="_(* #,##0_);_(* \(#,##0\);_(* &quot;-&quot;??_);_(@_)"/>
    </ndxf>
  </rcc>
  <rcc rId="3191" sId="7" odxf="1" dxf="1">
    <nc r="S7">
      <f>(R7-P7)/P7</f>
    </nc>
    <odxf>
      <numFmt numFmtId="0" formatCode="General"/>
    </odxf>
    <ndxf>
      <numFmt numFmtId="35" formatCode="_(* #,##0.00_);_(* \(#,##0.00\);_(* &quot;-&quot;??_);_(@_)"/>
    </ndxf>
  </rcc>
  <rfmt sheetId="7" sqref="S12">
    <dxf>
      <numFmt numFmtId="13" formatCode="0%"/>
    </dxf>
  </rfmt>
  <rfmt sheetId="7" sqref="S7">
    <dxf>
      <numFmt numFmtId="13" formatCode="0%"/>
    </dxf>
  </rfmt>
  <rcc rId="3192" sId="7" odxf="1" dxf="1">
    <nc r="S19">
      <f>(R19-P19)/P19</f>
    </nc>
    <odxf>
      <numFmt numFmtId="0" formatCode="General"/>
    </odxf>
    <ndxf>
      <numFmt numFmtId="13" formatCode="0%"/>
    </ndxf>
  </rcc>
  <rcc rId="3193" sId="7" odxf="1" dxf="1">
    <nc r="S20">
      <f>(R20-P20)/P20</f>
    </nc>
    <odxf>
      <numFmt numFmtId="0" formatCode="General"/>
    </odxf>
    <ndxf>
      <numFmt numFmtId="13" formatCode="0%"/>
    </ndxf>
  </rcc>
  <rcc rId="3194" sId="7" odxf="1" dxf="1">
    <nc r="S34">
      <f>(R34-P34)/P34</f>
    </nc>
    <odxf>
      <numFmt numFmtId="0" formatCode="General"/>
    </odxf>
    <ndxf>
      <numFmt numFmtId="13" formatCode="0%"/>
    </ndxf>
  </rcc>
  <rcc rId="3195" sId="7" odxf="1" dxf="1">
    <nc r="S35">
      <f>(R35-P35)/P35</f>
    </nc>
    <odxf>
      <numFmt numFmtId="0" formatCode="General"/>
    </odxf>
    <ndxf>
      <numFmt numFmtId="13" formatCode="0%"/>
    </ndxf>
  </rcc>
  <rcc rId="3196" sId="7" odxf="1" dxf="1">
    <nc r="S45">
      <f>(R45-P45)/P45</f>
    </nc>
    <odxf>
      <numFmt numFmtId="0" formatCode="General"/>
    </odxf>
    <ndxf>
      <numFmt numFmtId="13" formatCode="0%"/>
    </ndxf>
  </rcc>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7" sId="9">
    <oc r="A121" t="inlineStr">
      <is>
        <t>Emissions factors (tCO2e/MWh)</t>
      </is>
    </oc>
    <nc r="A121" t="inlineStr">
      <is>
        <t>Emissions factors (MgCO2e/MWh)</t>
      </is>
    </nc>
  </rcc>
  <rcc rId="3198" sId="9">
    <oc r="B123">
      <f>B8</f>
    </oc>
    <nc r="B123">
      <f>B8*tonTOMg</f>
    </nc>
  </rcc>
  <rcc rId="3199" sId="9">
    <oc r="C123">
      <f>F8</f>
    </oc>
    <nc r="C123">
      <f>F8*tonTOMg</f>
    </nc>
  </rcc>
  <rcc rId="3200" sId="9">
    <oc r="D123">
      <f>J8</f>
    </oc>
    <nc r="D123">
      <f>J8*tonTOMg</f>
    </nc>
  </rcc>
  <rcc rId="3201" sId="9">
    <oc r="E123">
      <f>N8</f>
    </oc>
    <nc r="E123">
      <f>N8*tonTOMg</f>
    </nc>
  </rcc>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2" sId="9" numFmtId="4">
    <nc r="B7">
      <v>4.2515171148179466E-2</v>
    </nc>
  </rcc>
  <rfmt sheetId="9" sqref="B7">
    <dxf>
      <numFmt numFmtId="165" formatCode="#,##0.0"/>
    </dxf>
  </rfmt>
  <rfmt sheetId="9" sqref="B7">
    <dxf>
      <numFmt numFmtId="3" formatCode="#,##0"/>
    </dxf>
  </rfmt>
  <rfmt sheetId="9" sqref="B7">
    <dxf>
      <numFmt numFmtId="165" formatCode="#,##0.0"/>
    </dxf>
  </rfmt>
  <rfmt sheetId="9" sqref="B7">
    <dxf>
      <numFmt numFmtId="4" formatCode="#,##0.00"/>
    </dxf>
  </rfmt>
  <rfmt sheetId="9" sqref="B7">
    <dxf>
      <numFmt numFmtId="164" formatCode="#,##0.000"/>
    </dxf>
  </rfmt>
  <rfmt sheetId="9" sqref="B7">
    <dxf>
      <alignment horizontal="right"/>
    </dxf>
  </rfmt>
  <rcc rId="3203" sId="9">
    <nc r="C7" t="inlineStr">
      <is>
        <t>MgCO2</t>
      </is>
    </nc>
  </rcc>
  <rcc rId="3204" sId="9" odxf="1" dxf="1" quotePrefix="1">
    <nc r="E7" t="inlineStr">
      <is>
        <t>TCR factors do not date back this far. This factor created with methods analagous to TCR protocol.</t>
      </is>
    </nc>
    <odxf>
      <numFmt numFmtId="0" formatCode="General"/>
    </odxf>
    <ndxf>
      <numFmt numFmtId="30" formatCode="@"/>
    </ndxf>
  </rcc>
  <rcc rId="3205" sId="9" odxf="1" dxf="1">
    <nc r="D7" t="inlineStr">
      <is>
        <t>KC15_65_02</t>
      </is>
    </nc>
    <odxf>
      <numFmt numFmtId="0" formatCode="General"/>
    </odxf>
    <ndxf>
      <numFmt numFmtId="30" formatCode="@"/>
    </ndxf>
  </rcc>
  <rcc rId="3206" sId="9">
    <oc r="D8" t="inlineStr">
      <is>
        <t>KC15_65_02</t>
      </is>
    </oc>
    <nc r="D8"/>
  </rcc>
  <rcc rId="3207" sId="9">
    <oc r="E8" t="inlineStr">
      <is>
        <t>TCR factors do not date back this far. This factor created with methods analagous to TCR protocol.</t>
      </is>
    </oc>
    <nc r="E8"/>
  </rcc>
  <rcc rId="3208" sId="9">
    <oc r="B8">
      <v>3.6804564188076316E-2</v>
    </oc>
    <nc r="B8">
      <f>B7*MgTOton</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Summary_RptTbls!$A$5:$A$42</formula>
    <oldFormula>Summary_RptTbls!$A$5:$A$42</oldFormula>
  </rdn>
  <rcv guid="{9BEC6399-AE85-4D88-8FBA-3674E2F30307}"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 sId="23">
    <oc r="M13" t="inlineStr">
      <is>
        <t>KC50-</t>
      </is>
    </oc>
    <nc r="M13" t="inlineStr">
      <is>
        <t>KC15-50-08</t>
      </is>
    </nc>
  </rcc>
  <rcc rId="386" sId="23">
    <nc r="M22" t="inlineStr">
      <is>
        <t>KC15-50-08</t>
      </is>
    </nc>
  </rcc>
  <rcc rId="387" sId="23">
    <nc r="M31" t="inlineStr">
      <is>
        <t>KC15-50-08</t>
      </is>
    </nc>
  </rcc>
  <rcc rId="388" sId="23">
    <nc r="M45" t="inlineStr">
      <is>
        <t>KC15-50-08</t>
      </is>
    </nc>
  </rcc>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14" sId="9" odxf="1" dxf="1">
    <oc r="C7" t="inlineStr">
      <is>
        <t>MgCO2</t>
      </is>
    </oc>
    <nc r="C7" t="inlineStr">
      <is>
        <r>
          <t>MgCO</t>
        </r>
        <r>
          <rPr>
            <vertAlign val="subscript"/>
            <sz val="9"/>
            <rFont val="Arial"/>
            <family val="2"/>
          </rPr>
          <t>2</t>
        </r>
        <r>
          <rPr>
            <sz val="9"/>
            <rFont val="Arial"/>
            <family val="2"/>
          </rPr>
          <t>e/MWh</t>
        </r>
      </is>
    </nc>
    <ndxf/>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Summary_RptTbls!$A$5:$A$42</formula>
    <oldFormula>Summary_RptTbls!$A$5:$A$42</oldFormula>
  </rdn>
  <rcv guid="{9BEC6399-AE85-4D88-8FBA-3674E2F30307}" action="add"/>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20" sId="17" ref="A25:XFD25" action="insertRow"/>
  <rrc rId="3221" sId="17" ref="A25:XFD25" action="insertRow"/>
  <rfmt sheetId="17" sqref="A25" start="0" length="0">
    <dxf>
      <alignment vertical="bottom" wrapText="0" indent="0"/>
    </dxf>
  </rfmt>
  <rfmt sheetId="17" sqref="A26" start="0" length="0">
    <dxf>
      <alignment vertical="bottom" wrapText="0" indent="0"/>
    </dxf>
  </rfmt>
  <rcc rId="3222" sId="17">
    <nc r="A26" t="inlineStr">
      <is>
        <t>Calculate proportion KC SF6 emissions</t>
      </is>
    </nc>
  </rcc>
  <rcc rId="3223" sId="17">
    <nc r="A25" t="inlineStr">
      <is>
        <t>Proportion of energy consumed  by KC</t>
      </is>
    </nc>
  </rcc>
  <rcc rId="3224" sId="17" odxf="1" dxf="1">
    <nc r="B25">
      <f>1/8</f>
    </nc>
    <odxf>
      <numFmt numFmtId="3" formatCode="#,##0"/>
    </odxf>
    <ndxf>
      <numFmt numFmtId="4" formatCode="#,##0.00"/>
    </ndxf>
  </rcc>
  <rfmt sheetId="17" sqref="D25" start="0" length="0">
    <dxf/>
  </rfmt>
  <rcc rId="3225" sId="17" odxf="1" dxf="1" quotePrefix="1">
    <nc r="E25" t="inlineStr">
      <is>
        <t>8 counties served</t>
      </is>
    </nc>
    <odxf>
      <numFmt numFmtId="30" formatCode="@"/>
    </odxf>
    <ndxf>
      <numFmt numFmtId="0" formatCode="General"/>
    </ndxf>
  </rcc>
  <rcc rId="3226" sId="17" odxf="1" dxf="1">
    <nc r="F25">
      <f>1/8</f>
    </nc>
    <odxf>
      <numFmt numFmtId="0" formatCode="General"/>
      <fill>
        <patternFill patternType="solid">
          <bgColor theme="9" tint="0.79998168889431442"/>
        </patternFill>
      </fill>
    </odxf>
    <ndxf>
      <numFmt numFmtId="4" formatCode="#,##0.00"/>
      <fill>
        <patternFill patternType="none">
          <bgColor indexed="65"/>
        </patternFill>
      </fill>
    </ndxf>
  </rcc>
  <rfmt sheetId="17" sqref="G25" start="0" length="0">
    <dxf>
      <numFmt numFmtId="30" formatCode="@"/>
    </dxf>
  </rfmt>
  <rfmt sheetId="17" sqref="H25" start="0" length="0">
    <dxf/>
  </rfmt>
  <rcc rId="3227" sId="17" odxf="1" dxf="1" quotePrefix="1">
    <nc r="I25" t="inlineStr">
      <is>
        <t>8 counties served</t>
      </is>
    </nc>
    <odxf>
      <font>
        <sz val="7"/>
        <family val="2"/>
      </font>
    </odxf>
    <ndxf>
      <font>
        <sz val="9"/>
        <color auto="1"/>
        <name val="Arial"/>
        <family val="2"/>
        <scheme val="none"/>
      </font>
    </ndxf>
  </rcc>
  <rcc rId="3228" sId="17" odxf="1" dxf="1">
    <nc r="J25">
      <f>1/8</f>
    </nc>
    <odxf>
      <numFmt numFmtId="0" formatCode="General"/>
      <fill>
        <patternFill patternType="solid">
          <bgColor theme="9" tint="0.79998168889431442"/>
        </patternFill>
      </fill>
    </odxf>
    <ndxf>
      <numFmt numFmtId="4" formatCode="#,##0.00"/>
      <fill>
        <patternFill patternType="none">
          <bgColor indexed="65"/>
        </patternFill>
      </fill>
    </ndxf>
  </rcc>
  <rfmt sheetId="17" sqref="K25" start="0" length="0">
    <dxf>
      <numFmt numFmtId="30" formatCode="@"/>
    </dxf>
  </rfmt>
  <rfmt sheetId="17" sqref="L25" start="0" length="0">
    <dxf/>
  </rfmt>
  <rcc rId="3229" sId="17" odxf="1" dxf="1" quotePrefix="1">
    <nc r="M25" t="inlineStr">
      <is>
        <t>8 counties served</t>
      </is>
    </nc>
    <odxf>
      <font>
        <sz val="7"/>
        <family val="2"/>
      </font>
    </odxf>
    <ndxf>
      <font>
        <sz val="9"/>
        <color auto="1"/>
        <name val="Arial"/>
        <family val="2"/>
        <scheme val="none"/>
      </font>
    </ndxf>
  </rcc>
  <rfmt sheetId="17" sqref="F26" start="0" length="0">
    <dxf>
      <numFmt numFmtId="3" formatCode="#,##0"/>
      <fill>
        <patternFill patternType="none">
          <bgColor indexed="65"/>
        </patternFill>
      </fill>
    </dxf>
  </rfmt>
  <rfmt sheetId="17" sqref="J26" start="0" length="0">
    <dxf>
      <numFmt numFmtId="3" formatCode="#,##0"/>
      <fill>
        <patternFill patternType="none">
          <bgColor indexed="65"/>
        </patternFill>
      </fill>
    </dxf>
  </rfmt>
  <rcc rId="3230" sId="17" odxf="1" dxf="1">
    <nc r="C26" t="inlineStr">
      <is>
        <r>
          <t>MgCO</t>
        </r>
        <r>
          <rPr>
            <vertAlign val="subscript"/>
            <sz val="9"/>
            <rFont val="Arial"/>
            <family val="2"/>
          </rPr>
          <t>2</t>
        </r>
        <r>
          <rPr>
            <sz val="9"/>
            <rFont val="Arial"/>
            <family val="2"/>
          </rPr>
          <t>e</t>
        </r>
      </is>
    </nc>
    <odxf>
      <numFmt numFmtId="30" formatCode="@"/>
    </odxf>
    <ndxf>
      <numFmt numFmtId="0" formatCode="General"/>
    </ndxf>
  </rcc>
  <rcc rId="3231" sId="17">
    <nc r="G26" t="inlineStr">
      <is>
        <r>
          <t>MgCO</t>
        </r>
        <r>
          <rPr>
            <vertAlign val="subscript"/>
            <sz val="9"/>
            <rFont val="Arial"/>
            <family val="2"/>
          </rPr>
          <t>2</t>
        </r>
        <r>
          <rPr>
            <sz val="9"/>
            <rFont val="Arial"/>
            <family val="2"/>
          </rPr>
          <t>e</t>
        </r>
      </is>
    </nc>
  </rcc>
  <rcc rId="3232" sId="17">
    <nc r="K26" t="inlineStr">
      <is>
        <r>
          <t>MgCO</t>
        </r>
        <r>
          <rPr>
            <vertAlign val="subscript"/>
            <sz val="9"/>
            <rFont val="Arial"/>
            <family val="2"/>
          </rPr>
          <t>2</t>
        </r>
        <r>
          <rPr>
            <sz val="9"/>
            <rFont val="Arial"/>
            <family val="2"/>
          </rPr>
          <t>e</t>
        </r>
      </is>
    </nc>
  </rcc>
  <rcc rId="3233" sId="17">
    <nc r="B26">
      <f>B24*B25*tonTOMg</f>
    </nc>
  </rcc>
  <rcc rId="3234" sId="17">
    <nc r="F26">
      <f>F24*F25*GWPSF6</f>
    </nc>
  </rcc>
  <rcc rId="3235" sId="17">
    <nc r="J26">
      <f>J24*J25*GWPSF6</f>
    </nc>
  </rcc>
  <rrc rId="3236" sId="17" ref="A27:XFD27" action="deleteRow">
    <rfmt sheetId="17" xfDxf="1" sqref="A27:XFD27" start="0" length="0"/>
    <rcc rId="0" sId="17" dxf="1">
      <nc r="A27" t="inlineStr">
        <is>
          <t>Calculation steps</t>
        </is>
      </nc>
      <ndxf>
        <font>
          <b/>
          <sz val="9"/>
          <color auto="1"/>
          <name val="Arial"/>
          <family val="2"/>
          <scheme val="none"/>
        </font>
        <numFmt numFmtId="30" formatCode="@"/>
        <fill>
          <patternFill patternType="solid">
            <bgColor rgb="FF00B0F0"/>
          </patternFill>
        </fill>
        <alignment horizontal="left" vertical="bottom"/>
        <border outline="0">
          <right style="thin">
            <color indexed="64"/>
          </right>
        </border>
      </ndxf>
    </rcc>
    <rfmt sheetId="17" sqref="B27" start="0" length="0">
      <dxf>
        <numFmt numFmtId="3" formatCode="#,##0"/>
        <alignment horizontal="right"/>
      </dxf>
    </rfmt>
    <rfmt sheetId="17" sqref="C27" start="0" length="0">
      <dxf>
        <numFmt numFmtId="30" formatCode="@"/>
        <alignment horizontal="left"/>
      </dxf>
    </rfmt>
    <rfmt sheetId="17" sqref="D27" start="0" length="0">
      <dxf>
        <numFmt numFmtId="30" formatCode="@"/>
        <alignment horizontal="left"/>
      </dxf>
    </rfmt>
    <rfmt sheetId="17" sqref="E27" start="0" length="0">
      <dxf>
        <numFmt numFmtId="30" formatCode="@"/>
        <alignment horizontal="left"/>
        <border outline="0">
          <right style="thin">
            <color indexed="64"/>
          </right>
        </border>
      </dxf>
    </rfmt>
    <rfmt sheetId="17" s="1" sqref="F27" start="0" length="0">
      <dxf>
        <numFmt numFmtId="3" formatCode="#,##0"/>
        <alignment horizontal="right"/>
      </dxf>
    </rfmt>
    <rfmt sheetId="17" sqref="G27" start="0" length="0">
      <dxf>
        <numFmt numFmtId="30" formatCode="@"/>
        <alignment horizontal="left"/>
      </dxf>
    </rfmt>
    <rfmt sheetId="17" sqref="H27" start="0" length="0">
      <dxf>
        <alignment horizontal="left"/>
      </dxf>
    </rfmt>
    <rfmt sheetId="17" sqref="I27" start="0" length="0">
      <dxf>
        <font>
          <sz val="7"/>
          <color auto="1"/>
          <name val="Arial"/>
          <family val="2"/>
          <scheme val="none"/>
        </font>
        <numFmt numFmtId="30" formatCode="@"/>
        <alignment horizontal="left"/>
        <border outline="0">
          <right style="thin">
            <color indexed="64"/>
          </right>
        </border>
      </dxf>
    </rfmt>
    <rfmt sheetId="17" s="1" sqref="J27" start="0" length="0">
      <dxf>
        <font>
          <b/>
          <sz val="9"/>
          <color auto="1"/>
          <name val="Arial"/>
          <family val="2"/>
          <scheme val="none"/>
        </font>
        <numFmt numFmtId="3" formatCode="#,##0"/>
        <alignment horizontal="right" vertical="bottom"/>
      </dxf>
    </rfmt>
    <rfmt sheetId="17" sqref="K27" start="0" length="0">
      <dxf>
        <font>
          <b/>
          <sz val="9"/>
          <color auto="1"/>
          <name val="Arial"/>
          <family val="2"/>
          <scheme val="none"/>
        </font>
        <alignment horizontal="left" vertical="bottom"/>
      </dxf>
    </rfmt>
    <rfmt sheetId="17" sqref="L27" start="0" length="0">
      <dxf>
        <alignment horizontal="left"/>
      </dxf>
    </rfmt>
    <rfmt sheetId="17" sqref="M27" start="0" length="0">
      <dxf>
        <font>
          <sz val="7"/>
          <color auto="1"/>
          <name val="Arial"/>
          <family val="2"/>
          <scheme val="none"/>
        </font>
        <numFmt numFmtId="30" formatCode="@"/>
        <alignment horizontal="left"/>
        <border outline="0">
          <right style="thin">
            <color indexed="64"/>
          </right>
        </border>
      </dxf>
    </rfmt>
  </rrc>
  <rrc rId="3237" sId="17" ref="A27:XFD27" action="deleteRow">
    <undo index="65535" exp="ref" dr="J27" r="J29" sId="17"/>
    <undo index="65535" exp="ref" dr="F27" r="F29" sId="17"/>
    <undo index="65535" exp="ref" dr="B27" r="B29" sId="17"/>
    <rfmt sheetId="17" xfDxf="1" sqref="A27:XFD27" start="0" length="0"/>
    <rcc rId="0" sId="17" dxf="1">
      <nc r="A27" t="inlineStr">
        <is>
          <t>2. Calculate emissions SF6</t>
        </is>
      </nc>
      <ndxf>
        <font>
          <b/>
          <sz val="9"/>
          <color auto="1"/>
          <name val="Arial"/>
          <family val="2"/>
          <scheme val="none"/>
        </font>
        <border outline="0">
          <right style="thin">
            <color indexed="64"/>
          </right>
        </border>
      </ndxf>
    </rcc>
    <rcc rId="0" sId="17" dxf="1">
      <nc r="B27">
        <f>B24*tonTOMg</f>
      </nc>
      <ndxf>
        <font>
          <b/>
          <sz val="9"/>
          <color auto="1"/>
          <name val="Arial"/>
          <family val="2"/>
          <scheme val="none"/>
        </font>
        <numFmt numFmtId="3" formatCode="#,##0"/>
        <fill>
          <patternFill patternType="solid">
            <bgColor theme="9" tint="0.79998168889431442"/>
          </patternFill>
        </fill>
        <alignment horizontal="right"/>
      </ndxf>
    </rcc>
    <rcc rId="0" sId="17" dxf="1">
      <nc r="C27" t="inlineStr">
        <is>
          <r>
            <t>MgCO</t>
          </r>
          <r>
            <rPr>
              <b/>
              <vertAlign val="subscript"/>
              <sz val="9"/>
              <rFont val="Arial"/>
              <family val="2"/>
            </rPr>
            <t>2</t>
          </r>
          <r>
            <rPr>
              <b/>
              <sz val="9"/>
              <rFont val="Arial"/>
              <family val="2"/>
            </rPr>
            <t>e</t>
          </r>
        </is>
      </nc>
      <ndxf>
        <font>
          <b/>
          <sz val="9"/>
          <color auto="1"/>
          <name val="Arial"/>
          <family val="2"/>
          <scheme val="none"/>
        </font>
        <alignment horizontal="left"/>
      </ndxf>
    </rcc>
    <rfmt sheetId="17" sqref="D27" start="0" length="0">
      <dxf>
        <numFmt numFmtId="30" formatCode="@"/>
        <alignment horizontal="left"/>
      </dxf>
    </rfmt>
    <rfmt sheetId="17" sqref="E27" start="0" length="0">
      <dxf>
        <numFmt numFmtId="30" formatCode="@"/>
        <alignment horizontal="left"/>
        <border outline="0">
          <right style="thin">
            <color indexed="64"/>
          </right>
        </border>
      </dxf>
    </rfmt>
    <rcc rId="0" sId="17" dxf="1">
      <nc r="F27">
        <f>F24*GWPSF6</f>
      </nc>
      <ndxf>
        <font>
          <b/>
          <sz val="9"/>
          <color auto="1"/>
          <name val="Arial"/>
          <family val="2"/>
          <scheme val="none"/>
        </font>
        <numFmt numFmtId="3" formatCode="#,##0"/>
        <fill>
          <patternFill patternType="solid">
            <bgColor theme="9" tint="0.79998168889431442"/>
          </patternFill>
        </fill>
        <alignment horizontal="right"/>
      </ndxf>
    </rcc>
    <rcc rId="0" sId="17" dxf="1">
      <nc r="G27" t="inlineStr">
        <is>
          <r>
            <t>MgCO</t>
          </r>
          <r>
            <rPr>
              <b/>
              <vertAlign val="subscript"/>
              <sz val="9"/>
              <rFont val="Arial"/>
              <family val="2"/>
            </rPr>
            <t>2</t>
          </r>
          <r>
            <rPr>
              <b/>
              <sz val="9"/>
              <rFont val="Arial"/>
              <family val="2"/>
            </rPr>
            <t>e</t>
          </r>
        </is>
      </nc>
      <ndxf>
        <font>
          <b/>
          <sz val="9"/>
          <color auto="1"/>
          <name val="Arial"/>
          <family val="2"/>
          <scheme val="none"/>
        </font>
        <alignment horizontal="left"/>
      </ndxf>
    </rcc>
    <rfmt sheetId="17" sqref="H27" start="0" length="0">
      <dxf>
        <numFmt numFmtId="30" formatCode="@"/>
        <alignment horizontal="left"/>
      </dxf>
    </rfmt>
    <rfmt sheetId="17" sqref="I27" start="0" length="0">
      <dxf>
        <font>
          <sz val="7"/>
          <color auto="1"/>
          <name val="Arial"/>
          <family val="2"/>
          <scheme val="none"/>
        </font>
        <numFmt numFmtId="30" formatCode="@"/>
        <alignment horizontal="left"/>
        <border outline="0">
          <right style="thin">
            <color indexed="64"/>
          </right>
        </border>
      </dxf>
    </rfmt>
    <rcc rId="0" sId="17" dxf="1">
      <nc r="J27">
        <f>J24*GWPSF6</f>
      </nc>
      <ndxf>
        <font>
          <b/>
          <sz val="9"/>
          <color auto="1"/>
          <name val="Arial"/>
          <family val="2"/>
          <scheme val="none"/>
        </font>
        <numFmt numFmtId="3" formatCode="#,##0"/>
        <fill>
          <patternFill patternType="solid">
            <bgColor theme="9" tint="0.79998168889431442"/>
          </patternFill>
        </fill>
        <alignment horizontal="right"/>
      </ndxf>
    </rcc>
    <rcc rId="0" sId="17" dxf="1">
      <nc r="K27" t="inlineStr">
        <is>
          <r>
            <t>MgCO</t>
          </r>
          <r>
            <rPr>
              <b/>
              <vertAlign val="subscript"/>
              <sz val="9"/>
              <rFont val="Arial"/>
              <family val="2"/>
            </rPr>
            <t>2</t>
          </r>
          <r>
            <rPr>
              <b/>
              <sz val="9"/>
              <rFont val="Arial"/>
              <family val="2"/>
            </rPr>
            <t>e</t>
          </r>
        </is>
      </nc>
      <ndxf>
        <font>
          <b/>
          <sz val="9"/>
          <color auto="1"/>
          <name val="Arial"/>
          <family val="2"/>
          <scheme val="none"/>
        </font>
        <alignment horizontal="left"/>
      </ndxf>
    </rcc>
    <rfmt sheetId="17" sqref="L27" start="0" length="0">
      <dxf>
        <numFmt numFmtId="30" formatCode="@"/>
        <alignment horizontal="left"/>
      </dxf>
    </rfmt>
    <rfmt sheetId="17" sqref="M27" start="0" length="0">
      <dxf>
        <font>
          <sz val="7"/>
          <color auto="1"/>
          <name val="Arial"/>
          <family val="2"/>
          <scheme val="none"/>
        </font>
        <numFmt numFmtId="30" formatCode="@"/>
        <alignment horizontal="left"/>
        <border outline="0">
          <right style="thin">
            <color indexed="64"/>
          </right>
        </border>
      </dxf>
    </rfmt>
  </rrc>
  <rcc rId="3238" sId="17">
    <oc r="B28">
      <f>SUM(B21,#REF!)+B8</f>
    </oc>
    <nc r="B28">
      <f>SUM(B26,B19)+B8</f>
    </nc>
  </rcc>
  <rrc rId="3239" sId="17" ref="A20:XFD20" action="deleteRow">
    <undo index="65535" exp="ref" v="1" dr="J20" r="J21" sId="17"/>
    <undo index="65535" exp="ref" v="1" dr="F20" r="F21" sId="17"/>
    <undo index="65535" exp="ref" v="1" dr="B20" r="B21" sId="17"/>
    <rfmt sheetId="17" xfDxf="1" sqref="A20:XFD20" start="0" length="0"/>
    <rcc rId="0" sId="17" dxf="1">
      <nc r="A20" t="inlineStr">
        <is>
          <t>3. Proportion of energy consumed  by KC</t>
        </is>
      </nc>
      <ndxf>
        <numFmt numFmtId="30" formatCode="@"/>
        <alignment horizontal="left" vertical="bottom"/>
        <border outline="0">
          <right style="thin">
            <color indexed="64"/>
          </right>
        </border>
      </ndxf>
    </rcc>
    <rcc rId="0" sId="17" dxf="1">
      <nc r="B20">
        <f>1/8</f>
      </nc>
      <ndxf>
        <numFmt numFmtId="4" formatCode="#,##0.00"/>
        <alignment horizontal="right"/>
      </ndxf>
    </rcc>
    <rfmt sheetId="17" sqref="C20" start="0" length="0">
      <dxf>
        <numFmt numFmtId="30" formatCode="@"/>
        <alignment horizontal="left"/>
      </dxf>
    </rfmt>
    <rfmt sheetId="17" sqref="D20" start="0" length="0">
      <dxf>
        <alignment horizontal="left"/>
      </dxf>
    </rfmt>
    <rcc rId="0" sId="17" dxf="1" quotePrefix="1">
      <nc r="E20" t="inlineStr">
        <is>
          <t>8 counties served</t>
        </is>
      </nc>
      <ndxf>
        <alignment horizontal="left"/>
        <border outline="0">
          <right style="thin">
            <color indexed="64"/>
          </right>
        </border>
      </ndxf>
    </rcc>
    <rcc rId="0" sId="17" dxf="1">
      <nc r="F20">
        <f>1/8</f>
      </nc>
      <ndxf>
        <numFmt numFmtId="4" formatCode="#,##0.00"/>
        <alignment horizontal="right"/>
      </ndxf>
    </rcc>
    <rfmt sheetId="17" sqref="G20" start="0" length="0">
      <dxf>
        <alignment horizontal="left"/>
      </dxf>
    </rfmt>
    <rfmt sheetId="17" sqref="H20" start="0" length="0">
      <dxf>
        <numFmt numFmtId="30" formatCode="@"/>
        <alignment horizontal="left"/>
      </dxf>
    </rfmt>
    <rcc rId="0" sId="17" dxf="1" quotePrefix="1">
      <nc r="I20" t="inlineStr">
        <is>
          <t>8 counties served</t>
        </is>
      </nc>
      <ndxf>
        <alignment horizontal="left"/>
        <border outline="0">
          <right style="thin">
            <color indexed="64"/>
          </right>
        </border>
      </ndxf>
    </rcc>
    <rcc rId="0" sId="17" dxf="1">
      <nc r="J20">
        <f>1/8</f>
      </nc>
      <ndxf>
        <numFmt numFmtId="4" formatCode="#,##0.00"/>
        <alignment horizontal="right"/>
      </ndxf>
    </rcc>
    <rfmt sheetId="17" sqref="K20" start="0" length="0">
      <dxf>
        <alignment horizontal="left"/>
      </dxf>
    </rfmt>
    <rfmt sheetId="17" sqref="L20" start="0" length="0">
      <dxf>
        <numFmt numFmtId="30" formatCode="@"/>
        <alignment horizontal="left"/>
      </dxf>
    </rfmt>
    <rcc rId="0" sId="17" dxf="1" quotePrefix="1">
      <nc r="M20" t="inlineStr">
        <is>
          <t>8 counties served</t>
        </is>
      </nc>
      <ndxf>
        <alignment horizontal="left"/>
        <border outline="0">
          <right style="thin">
            <color indexed="64"/>
          </right>
        </border>
      </ndxf>
    </rcc>
  </rrc>
  <rrc rId="3240" sId="17" ref="A20:XFD20" action="deleteRow">
    <undo index="0" exp="ref" dr="J20" r="J27" sId="17"/>
    <rfmt sheetId="17" xfDxf="1" sqref="A20:XFD20" start="0" length="0"/>
    <rcc rId="0" sId="17" dxf="1">
      <nc r="A20" t="inlineStr">
        <is>
          <t>4. Calculate proportion KC SF6 emissions</t>
        </is>
      </nc>
      <ndxf>
        <numFmt numFmtId="30" formatCode="@"/>
        <alignment horizontal="left" vertical="bottom"/>
        <border outline="0">
          <right style="thin">
            <color indexed="64"/>
          </right>
        </border>
      </ndxf>
    </rcc>
    <rcc rId="0" sId="17" dxf="1">
      <nc r="B20">
        <f>B19*#REF!</f>
      </nc>
      <ndxf>
        <font>
          <b/>
          <sz val="9"/>
          <color auto="1"/>
          <name val="Arial"/>
          <family val="2"/>
          <scheme val="none"/>
        </font>
        <numFmt numFmtId="3" formatCode="#,##0"/>
        <alignment horizontal="right"/>
      </ndxf>
    </rcc>
    <rcc rId="0" sId="17" dxf="1">
      <nc r="C20" t="inlineStr">
        <is>
          <r>
            <t>MgCO</t>
          </r>
          <r>
            <rPr>
              <vertAlign val="subscript"/>
              <sz val="9"/>
              <rFont val="Arial"/>
              <family val="2"/>
            </rPr>
            <t>2</t>
          </r>
          <r>
            <rPr>
              <sz val="9"/>
              <rFont val="Arial"/>
              <family val="2"/>
            </rPr>
            <t>e</t>
          </r>
        </is>
      </nc>
      <ndxf>
        <alignment horizontal="left"/>
      </ndxf>
    </rcc>
    <rfmt sheetId="17" sqref="D20" start="0" length="0">
      <dxf>
        <numFmt numFmtId="30" formatCode="@"/>
        <alignment horizontal="left"/>
      </dxf>
    </rfmt>
    <rfmt sheetId="17" sqref="E20" start="0" length="0">
      <dxf>
        <numFmt numFmtId="30" formatCode="@"/>
        <alignment horizontal="left"/>
        <border outline="0">
          <right style="thin">
            <color indexed="64"/>
          </right>
        </border>
      </dxf>
    </rfmt>
    <rcc rId="0" sId="17" dxf="1">
      <nc r="F20">
        <f>F19*#REF!</f>
      </nc>
      <ndxf>
        <font>
          <b/>
          <sz val="9"/>
          <color auto="1"/>
          <name val="Arial"/>
          <family val="2"/>
          <scheme val="none"/>
        </font>
        <numFmt numFmtId="3" formatCode="#,##0"/>
        <alignment horizontal="right"/>
      </ndxf>
    </rcc>
    <rcc rId="0" sId="17" dxf="1">
      <nc r="G20" t="inlineStr">
        <is>
          <r>
            <t>MgCO</t>
          </r>
          <r>
            <rPr>
              <vertAlign val="subscript"/>
              <sz val="9"/>
              <rFont val="Arial"/>
              <family val="2"/>
            </rPr>
            <t>2</t>
          </r>
          <r>
            <rPr>
              <sz val="9"/>
              <rFont val="Arial"/>
              <family val="2"/>
            </rPr>
            <t>e</t>
          </r>
        </is>
      </nc>
      <ndxf>
        <alignment horizontal="left"/>
      </ndxf>
    </rcc>
    <rfmt sheetId="17" sqref="H20" start="0" length="0">
      <dxf>
        <numFmt numFmtId="30" formatCode="@"/>
        <alignment horizontal="left"/>
      </dxf>
    </rfmt>
    <rfmt sheetId="17" sqref="I20" start="0" length="0">
      <dxf>
        <font>
          <sz val="7"/>
          <color auto="1"/>
          <name val="Arial"/>
          <family val="2"/>
          <scheme val="none"/>
        </font>
        <numFmt numFmtId="30" formatCode="@"/>
        <alignment horizontal="left"/>
        <border outline="0">
          <right style="thin">
            <color indexed="64"/>
          </right>
        </border>
      </dxf>
    </rfmt>
    <rcc rId="0" sId="17" dxf="1">
      <nc r="J20">
        <f>J19*#REF!</f>
      </nc>
      <ndxf>
        <font>
          <b/>
          <sz val="9"/>
          <color auto="1"/>
          <name val="Arial"/>
          <family val="2"/>
          <scheme val="none"/>
        </font>
        <numFmt numFmtId="3" formatCode="#,##0"/>
        <alignment horizontal="right"/>
      </ndxf>
    </rcc>
    <rcc rId="0" sId="17" dxf="1">
      <nc r="K20" t="inlineStr">
        <is>
          <r>
            <t>MgCO</t>
          </r>
          <r>
            <rPr>
              <vertAlign val="subscript"/>
              <sz val="9"/>
              <rFont val="Arial"/>
              <family val="2"/>
            </rPr>
            <t>2</t>
          </r>
          <r>
            <rPr>
              <sz val="9"/>
              <rFont val="Arial"/>
              <family val="2"/>
            </rPr>
            <t>e</t>
          </r>
        </is>
      </nc>
      <ndxf>
        <alignment horizontal="left"/>
      </ndxf>
    </rcc>
    <rfmt sheetId="17" sqref="L20" start="0" length="0">
      <dxf>
        <numFmt numFmtId="30" formatCode="@"/>
        <alignment horizontal="left"/>
      </dxf>
    </rfmt>
    <rfmt sheetId="17" sqref="M20" start="0" length="0">
      <dxf>
        <font>
          <sz val="7"/>
          <color auto="1"/>
          <name val="Arial"/>
          <family val="2"/>
          <scheme val="none"/>
        </font>
        <numFmt numFmtId="30" formatCode="@"/>
        <alignment horizontal="left"/>
        <border outline="0">
          <right style="thin">
            <color indexed="64"/>
          </right>
        </border>
      </dxf>
    </rfmt>
  </rrc>
  <rcc rId="3241" sId="17">
    <oc r="F26">
      <f>SUM(F19,#REF!)+F8</f>
    </oc>
    <nc r="F26">
      <f>SUM(F24,F19)+F8</f>
    </nc>
  </rcc>
  <rcc rId="3242" sId="17">
    <oc r="J26">
      <f>SUM(#REF!,#REF!)+J8</f>
    </oc>
    <nc r="J26">
      <f>SUM(J24,J19)+J8</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Summary_RptTbls!$A$5:$A$42</formula>
    <oldFormula>Summary_RptTbls!$A$5:$A$42</oldFormula>
  </rdn>
  <rcv guid="{9BEC6399-AE85-4D88-8FBA-3674E2F3030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N6" guid="{C6EA2CC2-EDBC-4610-8B73-B19BBDFF175D}" alwaysShow="1" author="Andrea Martin" oldLength="97" newLength="161"/>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0">
    <nc r="Q9" t="inlineStr">
      <is>
        <t>cell IR4</t>
      </is>
    </nc>
  </rcc>
  <rcc rId="390" sId="10">
    <oc r="E15" t="inlineStr">
      <is>
        <t>added in methane and nitrous oxide</t>
      </is>
    </oc>
    <nc r="E15" t="inlineStr">
      <is>
        <t>added methane and nitrous oxide</t>
      </is>
    </nc>
  </rcc>
  <rcc rId="391" sId="10">
    <oc r="E29" t="inlineStr">
      <is>
        <t>added in methane and n2o</t>
      </is>
    </oc>
    <nc r="E29" t="inlineStr">
      <is>
        <t>added in methane and nitrous oxide</t>
      </is>
    </nc>
  </rcc>
  <rcc rId="392" sId="10">
    <oc r="I15" t="inlineStr">
      <is>
        <t>added in methane and n2o</t>
      </is>
    </oc>
    <nc r="I15" t="inlineStr">
      <is>
        <t>added in methane and nitrous oxide</t>
      </is>
    </nc>
  </rcc>
  <rcc rId="393" sId="10">
    <oc r="I29" t="inlineStr">
      <is>
        <t>added in methane and n2o</t>
      </is>
    </oc>
    <nc r="I29" t="inlineStr">
      <is>
        <t>added in methane and nitrous oxide</t>
      </is>
    </nc>
  </rcc>
  <rcc rId="394" sId="10">
    <oc r="M15" t="inlineStr">
      <is>
        <t>added in methane and n2o</t>
      </is>
    </oc>
    <nc r="M15" t="inlineStr">
      <is>
        <t>added in methane and nitrous oxide</t>
      </is>
    </nc>
  </rcc>
  <rcc rId="395" sId="10">
    <oc r="M29" t="inlineStr">
      <is>
        <t>added in methane and n2o</t>
      </is>
    </oc>
    <nc r="M29" t="inlineStr">
      <is>
        <t>added in methane and nitrous oxide</t>
      </is>
    </nc>
  </rcc>
  <rcc rId="396" sId="10">
    <oc r="Q29" t="inlineStr">
      <is>
        <t>added in methane and n2o</t>
      </is>
    </oc>
    <nc r="Q29" t="inlineStr">
      <is>
        <t>added in methane and nitrous oxide</t>
      </is>
    </nc>
  </rcc>
  <rcc rId="397" sId="10">
    <oc r="Q15" t="inlineStr">
      <is>
        <t>added in methane and n2o</t>
      </is>
    </oc>
    <nc r="Q15" t="inlineStr">
      <is>
        <t>added in methane and nitrous oxide</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0" cell="B29" guid="{00000000-0000-0000-0000-000000000000}" action="delete" alwaysShow="1" author="Andrea Martin"/>
  <rcc rId="398" sId="8" xfDxf="1" dxf="1">
    <nc r="A5" t="inlineStr">
      <is>
        <t>Res-Heat &amp; Hot Water</t>
      </is>
    </nc>
  </rcc>
  <rcc rId="399" sId="8">
    <nc r="B5" t="inlineStr">
      <is>
        <t>Andrea M</t>
      </is>
    </nc>
  </rcc>
  <rcc rId="400" sId="8" odxf="1" dxf="1" numFmtId="19">
    <nc r="C5">
      <v>42872</v>
    </nc>
    <odxf>
      <numFmt numFmtId="0" formatCode="General"/>
    </odxf>
    <ndxf>
      <numFmt numFmtId="19" formatCode="m/d/yyyy"/>
    </ndxf>
  </rcc>
  <rcc rId="401" sId="8">
    <nc r="E5" t="inlineStr">
      <is>
        <t>QC complete</t>
      </is>
    </nc>
  </rcc>
  <rcmt sheetId="10" cell="N8" guid="{2813A4B0-EC18-4BC4-8763-1949135333A6}" alwaysShow="1" author="Andrea Martin" newLength="96"/>
  <rcmt sheetId="10" cell="Q9" guid="{0C540C70-19F8-47AB-80FF-D7B178EBEE4E}" alwaysShow="1" author="Andrea Martin" newLength="46"/>
  <rcmt sheetId="10" cell="E15" guid="{26D59EF6-2094-4D68-A86C-6A4F5882320C}" alwaysShow="1" author="Andrea Martin" newLength="103"/>
  <rcmt sheetId="10" cell="I21" guid="{6DD78278-0EF9-43C1-8227-1EF2FB56443B}" alwaysShow="1" author="Andrea Martin" newLength="55"/>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 sId="11">
    <oc r="B17">
      <f>SUM(B10:B14)*1000</f>
    </oc>
    <nc r="B17">
      <f>SUM(B10:B14)*1000</f>
    </nc>
  </rcc>
  <rcc rId="408" sId="11">
    <oc r="F17">
      <f>SUM(F10:F14)*1000</f>
    </oc>
    <nc r="F17">
      <f>SUM(F10:F14)*1000</f>
    </nc>
  </rcc>
  <rcmt sheetId="11" cell="B10" guid="{A1CE0395-0A26-4D46-97BA-E4467A52AA5F}" alwaysShow="1" author="Andrea Martin" newLength="79"/>
  <rcmt sheetId="11" cell="C10" guid="{BB390C29-C911-4A91-97B1-A9B2949D80C1}" alwaysShow="1" author="Andrea Martin" newLength="51"/>
  <rcmt sheetId="11" cell="M11" guid="{D200AA1C-D546-4AC5-9248-A39FF6DB5F34}" alwaysShow="1" author="Andrea Martin" newLength="51"/>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1" sqref="B38">
    <dxf>
      <fill>
        <patternFill patternType="solid">
          <bgColor rgb="FFFFFF00"/>
        </patternFill>
      </fill>
    </dxf>
  </rfmt>
  <rfmt sheetId="11" sqref="F38">
    <dxf>
      <fill>
        <patternFill patternType="solid">
          <bgColor rgb="FFFFFF00"/>
        </patternFill>
      </fill>
    </dxf>
  </rfmt>
  <rfmt sheetId="11" sqref="J38">
    <dxf>
      <fill>
        <patternFill patternType="solid">
          <bgColor rgb="FFFFFF00"/>
        </patternFill>
      </fill>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4" sId="18">
    <oc r="F22">
      <f>SUM(F12:F13)/SUM(F14:F15)</f>
    </oc>
    <nc r="F22">
      <f>SUM(F12:F13)/SUM(F14:F15)</f>
    </nc>
  </rcc>
  <rcc rId="415" sId="7">
    <oc r="B41">
      <f>'Waste- Landfills'!#REF!</f>
    </oc>
    <nc r="B41">
      <f>'Waste- Landfills'!B91</f>
    </nc>
  </rcc>
  <rcc rId="416" sId="7">
    <oc r="C41">
      <f>'Waste- Landfills'!#REF!</f>
    </oc>
    <nc r="C41">
      <f>'Waste- Landfills'!F91</f>
    </nc>
  </rcc>
  <rcc rId="417" sId="7">
    <oc r="E41">
      <f>'Waste- Landfills'!#REF!</f>
    </oc>
    <nc r="E41">
      <f>'Waste- Landfills'!K91</f>
    </nc>
  </rcc>
  <rcc rId="418" sId="7">
    <oc r="D41">
      <f>'Waste- Landfills'!#REF!</f>
    </oc>
    <nc r="D41"/>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1" cell="M11" guid="{00000000-0000-0000-0000-000000000000}" action="delete" alwaysShow="1" author="Andrea Martin"/>
  <rfmt sheetId="11" sqref="O38">
    <dxf>
      <fill>
        <patternFill patternType="solid">
          <bgColor rgb="FFFFFF00"/>
        </patternFill>
      </fill>
    </dxf>
  </rfmt>
  <rcmt sheetId="11" cell="O44" guid="{057CA221-35E2-4B51-851E-23CDFD870A0B}" alwaysShow="1" author="Andrea Martin" newLength="107"/>
  <rcmt sheetId="11" cell="Q44" guid="{3D5B0346-9929-4734-B526-CEB7D343E63E}" alwaysShow="1" author="Andrea Martin" newLength="117"/>
  <rcmt sheetId="11" cell="O49" guid="{741EFB24-8544-424D-8247-59A77A26E5D8}" alwaysShow="1" author="Andrea Martin" newLength="86"/>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2" sqref="F11" start="0" length="0">
    <dxf>
      <numFmt numFmtId="3" formatCode="#,##0"/>
      <alignment horizontal="right" readingOrder="0"/>
    </dxf>
  </rfmt>
  <rfmt sheetId="12" sqref="F15" start="0" length="0">
    <dxf>
      <numFmt numFmtId="3" formatCode="#,##0"/>
      <alignment horizontal="right" readingOrder="0"/>
    </dxf>
  </rfmt>
  <rfmt sheetId="12" sqref="F19" start="0" length="0">
    <dxf>
      <numFmt numFmtId="3" formatCode="#,##0"/>
      <alignment horizontal="right" readingOrder="0"/>
    </dxf>
  </rfmt>
  <rfmt sheetId="12" sqref="F11">
    <dxf>
      <fill>
        <patternFill patternType="solid">
          <bgColor rgb="FFFFFF00"/>
        </patternFill>
      </fill>
    </dxf>
  </rfmt>
  <rfmt sheetId="12" sqref="F15">
    <dxf>
      <fill>
        <patternFill patternType="solid">
          <bgColor rgb="FFFFFF00"/>
        </patternFill>
      </fill>
    </dxf>
  </rfmt>
  <rfmt sheetId="12" sqref="F19">
    <dxf>
      <fill>
        <patternFill patternType="solid">
          <bgColor rgb="FFFFFF00"/>
        </patternFill>
      </fill>
    </dxf>
  </rfmt>
  <rcmt sheetId="12" cell="A4" guid="{18362DD6-A132-4683-AF9F-1484D59941B7}" alwaysShow="1" author="Andrea Martin" newLength="35"/>
  <rcmt sheetId="12" cell="F7" guid="{EFFAD8AA-400B-4D09-8CE5-0E66A50E4805}" alwaysShow="1" author="Andrea Martin" newLength="124"/>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3" sqref="A7:XFD7" start="0" length="2147483647">
    <dxf>
      <font>
        <b val="0"/>
      </font>
    </dxf>
  </rfmt>
  <rfmt sheetId="13" sqref="A7:XFD7" start="0" length="2147483647">
    <dxf>
      <font>
        <b/>
      </font>
    </dxf>
  </rfmt>
  <rfmt sheetId="13" sqref="A11:XFD11" start="0" length="2147483647">
    <dxf>
      <font>
        <b val="0"/>
      </font>
    </dxf>
  </rfmt>
  <rfmt sheetId="13" sqref="A11:XFD11" start="0" length="2147483647">
    <dxf>
      <font>
        <b/>
      </font>
    </dxf>
  </rfmt>
  <rfmt sheetId="13" sqref="A15:XFD15" start="0" length="2147483647">
    <dxf>
      <font>
        <b val="0"/>
      </font>
    </dxf>
  </rfmt>
  <rfmt sheetId="13" sqref="A15:XFD15" start="0" length="2147483647">
    <dxf>
      <font>
        <b/>
      </font>
    </dxf>
  </rfmt>
  <rfmt sheetId="13" sqref="A19:XFD19" start="0" length="2147483647">
    <dxf>
      <font>
        <b val="0"/>
      </font>
    </dxf>
  </rfmt>
  <rfmt sheetId="13" sqref="A19:XFD19" start="0" length="2147483647">
    <dxf>
      <font>
        <b/>
      </font>
    </dxf>
  </rfmt>
  <rrc rId="429" sId="8" eol="1" ref="A6:XFD6" action="insertRow"/>
  <rcc rId="430" sId="8">
    <nc r="A6" t="inlineStr">
      <is>
        <t>Commercial- Heat &amp; Hot Water</t>
      </is>
    </nc>
  </rcc>
  <rcc rId="431" sId="8">
    <nc r="B6" t="inlineStr">
      <is>
        <t>Andrea M</t>
      </is>
    </nc>
  </rcc>
  <rcc rId="432" sId="8" odxf="1" dxf="1" numFmtId="19">
    <nc r="C6">
      <v>42872</v>
    </nc>
    <odxf>
      <numFmt numFmtId="0" formatCode="General"/>
    </odxf>
    <ndxf>
      <numFmt numFmtId="19" formatCode="m/d/yyyy"/>
    </ndxf>
  </rcc>
  <rrc rId="433" sId="8" eol="1" ref="A7:XFD7" action="insertRow"/>
  <rcc rId="434" sId="8">
    <nc r="A7" t="inlineStr">
      <is>
        <t>Commercial- Equip</t>
      </is>
    </nc>
  </rcc>
  <rcc rId="435" sId="8">
    <nc r="B7" t="inlineStr">
      <is>
        <t>Andrea M</t>
      </is>
    </nc>
  </rcc>
  <rcc rId="436" sId="8" odxf="1" dxf="1" numFmtId="19">
    <nc r="C7">
      <v>42872</v>
    </nc>
    <odxf>
      <numFmt numFmtId="0" formatCode="General"/>
    </odxf>
    <ndxf>
      <numFmt numFmtId="19" formatCode="m/d/yyyy"/>
    </ndxf>
  </rcc>
  <rfmt sheetId="8" sqref="A3:XFD3" start="0" length="2147483647">
    <dxf>
      <font>
        <b/>
      </font>
    </dxf>
  </rfmt>
  <rfmt sheetId="8" sqref="A1" start="0" length="2147483647">
    <dxf>
      <font>
        <b/>
      </font>
    </dxf>
  </rfmt>
  <rrc rId="437" sId="8" eol="1" ref="A8:XFD8" action="insertRow"/>
  <rcc rId="438" sId="8">
    <nc r="A8" t="inlineStr">
      <is>
        <t>Res- Garden &amp; Rec</t>
      </is>
    </nc>
  </rcc>
  <rcc rId="439" sId="8">
    <nc r="B8" t="inlineStr">
      <is>
        <t>Andrea M</t>
      </is>
    </nc>
  </rcc>
  <rcc rId="440" sId="8" odxf="1" dxf="1" numFmtId="19">
    <nc r="C8">
      <v>42872</v>
    </nc>
    <odxf>
      <numFmt numFmtId="0" formatCode="General"/>
    </odxf>
    <ndxf>
      <numFmt numFmtId="19" formatCode="m/d/yyyy"/>
    </ndxf>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8" sqref="F50">
    <dxf>
      <fill>
        <patternFill patternType="solid">
          <bgColor rgb="FFFFFF00"/>
        </patternFill>
      </fill>
    </dxf>
  </rfmt>
  <rfmt sheetId="18" sqref="F81" start="0" length="0">
    <dxf>
      <numFmt numFmtId="181" formatCode="_(* #,##0_);_(* \(#,##0\);_(* &quot;-&quot;??_);_(@_)"/>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6" sId="18">
    <nc r="F96">
      <f>290/365</f>
    </nc>
  </rcc>
  <rcc rId="447" sId="18">
    <nc r="F97">
      <f>F89*F96</f>
    </nc>
  </rcc>
  <rfmt sheetId="18" sqref="F97">
    <dxf>
      <numFmt numFmtId="2" formatCode="0.00"/>
    </dxf>
  </rfmt>
  <rfmt sheetId="18" sqref="F97">
    <dxf>
      <numFmt numFmtId="169" formatCode="0.0"/>
    </dxf>
  </rfmt>
  <rfmt sheetId="18" sqref="F97">
    <dxf>
      <numFmt numFmtId="1" formatCode="0"/>
    </dxf>
  </rfmt>
  <rfmt sheetId="18" sqref="F97">
    <dxf>
      <numFmt numFmtId="35" formatCode="_(* #,##0.00_);_(* \(#,##0.00\);_(* &quot;-&quot;??_);_(@_)"/>
    </dxf>
  </rfmt>
  <rfmt sheetId="18" sqref="F97">
    <dxf>
      <numFmt numFmtId="182" formatCode="_(* #,##0.0_);_(* \(#,##0.0\);_(* &quot;-&quot;??_);_(@_)"/>
    </dxf>
  </rfmt>
  <rfmt sheetId="18" sqref="F97">
    <dxf>
      <numFmt numFmtId="181" formatCode="_(* #,##0_);_(* \(#,##0\);_(* &quot;-&quot;??_);_(@_)"/>
    </dxf>
  </rfmt>
  <rcc rId="448" sId="18">
    <nc r="F99">
      <f>F96*F25</f>
    </nc>
  </rcc>
  <rfmt sheetId="18" sqref="F94" start="0" length="0">
    <dxf>
      <numFmt numFmtId="181" formatCode="_(* #,##0_);_(* \(#,##0\);_(* &quot;-&quot;??_);_(@_)"/>
    </dxf>
  </rfmt>
  <rfmt sheetId="18" sqref="F94">
    <dxf>
      <numFmt numFmtId="183" formatCode="_(* #,##0.000_);_(* \(#,##0.000\);_(* &quot;-&quot;??_);_(@_)"/>
    </dxf>
  </rfmt>
  <rcc rId="449" sId="10">
    <oc r="I21" t="inlineStr">
      <is>
        <t>Updated (used 2007 value before).</t>
      </is>
    </oc>
    <nc r="I21" t="inlineStr">
      <is>
        <t>Updated (used 2007 value in previous 2008 report).</t>
      </is>
    </nc>
  </rcc>
  <rcmt sheetId="10" cell="I21" guid="{00000000-0000-0000-0000-000000000000}" action="delete" alwaysShow="1" author="Andrea Martin"/>
  <rcc rId="450" sId="10">
    <oc r="Q15" t="inlineStr">
      <is>
        <t>added in methane and nitrous oxide</t>
      </is>
    </oc>
    <nc r="Q15" t="inlineStr">
      <is>
        <t>added methane and nitrous oxide, which previously was not included</t>
      </is>
    </nc>
  </rcc>
  <rcmt sheetId="10" cell="Q9" guid="{00000000-0000-0000-0000-000000000000}" action="delete" alwaysShow="1" author="Andrea Martin"/>
  <rcmt sheetId="10" cell="Q15" guid="{00000000-0000-0000-0000-000000000000}" action="delete" alwaysShow="1" author="Andrea Martin"/>
  <rcc rId="451" sId="10">
    <oc r="Q29" t="inlineStr">
      <is>
        <t>added in methane and nitrous oxide</t>
      </is>
    </oc>
    <nc r="Q29" t="inlineStr">
      <is>
        <t>added methane and nitrous oxide, which previously was not included</t>
      </is>
    </nc>
  </rcc>
  <rcmt sheetId="10" cell="Q29" guid="{00000000-0000-0000-0000-000000000000}" action="delete" alwaysShow="1" author="Andrea Martin"/>
  <rcc rId="452" sId="10">
    <oc r="M29" t="inlineStr">
      <is>
        <t>added in methane and nitrous oxide</t>
      </is>
    </oc>
    <nc r="M29" t="inlineStr">
      <is>
        <t>added methane and nitrous oxide, which previously was not included</t>
      </is>
    </nc>
  </rcc>
  <rcmt sheetId="10" cell="M29" guid="{00000000-0000-0000-0000-000000000000}" action="delete" alwaysShow="1" author="Andrea Martin"/>
  <rcc rId="453" sId="10">
    <oc r="M15" t="inlineStr">
      <is>
        <t>added in methane and nitrous oxide</t>
      </is>
    </oc>
    <nc r="M15" t="inlineStr">
      <is>
        <t>added methane and nitrous oxide, which previously was not included</t>
      </is>
    </nc>
  </rcc>
  <rcmt sheetId="10" cell="M15" guid="{00000000-0000-0000-0000-000000000000}" action="delete" alwaysShow="1" author="Andrea Martin"/>
  <rcc rId="454" sId="10">
    <oc r="I15" t="inlineStr">
      <is>
        <t>added in methane and nitrous oxide</t>
      </is>
    </oc>
    <nc r="I15" t="inlineStr">
      <is>
        <t>added methane and nitrous oxide, which previously was not included</t>
      </is>
    </nc>
  </rcc>
  <rcmt sheetId="10" cell="I15" guid="{00000000-0000-0000-0000-000000000000}" action="delete" alwaysShow="1" author="Andrea Martin"/>
  <rcc rId="455" sId="10">
    <oc r="I29" t="inlineStr">
      <is>
        <t>added in methane and nitrous oxide</t>
      </is>
    </oc>
    <nc r="I29" t="inlineStr">
      <is>
        <t>added methane and nitrous oxide, which previously was not included</t>
      </is>
    </nc>
  </rcc>
  <rcmt sheetId="10" cell="I29" guid="{00000000-0000-0000-0000-000000000000}" action="delete" alwaysShow="1" author="Andrea Martin"/>
  <rcc rId="456" sId="10">
    <oc r="E29" t="inlineStr">
      <is>
        <t>added in methane and nitrous oxide</t>
      </is>
    </oc>
    <nc r="E29" t="inlineStr">
      <is>
        <t>added methane and nitrous oxide, which previously was not included</t>
      </is>
    </nc>
  </rcc>
  <rcmt sheetId="10" cell="E29" guid="{00000000-0000-0000-0000-000000000000}" action="delete" alwaysShow="1" author="Andrea Martin"/>
  <rcc rId="457" sId="10">
    <oc r="E15" t="inlineStr">
      <is>
        <t>added methane and nitrous oxide</t>
      </is>
    </oc>
    <nc r="E15" t="inlineStr">
      <is>
        <t>added methane and nitrous oxide, which previously was not included</t>
      </is>
    </nc>
  </rcc>
  <rcmt sheetId="10" cell="E15" guid="{00000000-0000-0000-0000-000000000000}" action="delete" alwaysShow="1" author="Andrea Martin"/>
  <rcc rId="458" sId="11" numFmtId="4">
    <oc r="O14">
      <f>82345+38.75+46.19</f>
    </oc>
    <nc r="O14">
      <v>14776</v>
    </nc>
  </rcc>
  <rcc rId="459" sId="11" odxf="1" dxf="1">
    <oc r="P14" t="inlineStr">
      <is>
        <r>
          <t>MgCO</t>
        </r>
        <r>
          <rPr>
            <vertAlign val="subscript"/>
            <sz val="9"/>
            <rFont val="Arial"/>
            <family val="2"/>
          </rPr>
          <t>2</t>
        </r>
        <r>
          <rPr>
            <sz val="9"/>
            <rFont val="Arial"/>
            <family val="2"/>
          </rPr>
          <t>e</t>
        </r>
      </is>
    </oc>
    <nc r="P14" t="inlineStr">
      <is>
        <t>1000 Therms</t>
      </is>
    </nc>
    <odxf>
      <font>
        <sz val="9"/>
        <color auto="1"/>
        <name val="Arial"/>
        <family val="2"/>
        <scheme val="none"/>
      </font>
      <numFmt numFmtId="0" formatCode="General"/>
      <alignment wrapText="0"/>
    </odxf>
    <ndxf>
      <font>
        <sz val="9"/>
        <color auto="1"/>
        <name val="Arial"/>
        <family val="2"/>
        <scheme val="none"/>
      </font>
      <numFmt numFmtId="3" formatCode="#,##0"/>
      <alignment wrapText="1"/>
    </ndxf>
  </rcc>
  <rcc rId="460" sId="11">
    <oc r="O17">
      <f>SUM(O10:O13)*1000</f>
    </oc>
    <nc r="O17">
      <f>SUM(O10:O14)*1000</f>
    </nc>
  </rcc>
  <rcmt sheetId="11" cell="O20" guid="{00000000-0000-0000-0000-000000000000}" action="delete" alwaysShow="1" author="Andrea Martin"/>
  <rcc rId="461" sId="11">
    <oc r="Q14" t="inlineStr">
      <is>
        <t>KC15_40_03</t>
      </is>
    </oc>
    <nc r="Q14" t="inlineStr">
      <is>
        <t>KC15_40_02</t>
      </is>
    </nc>
  </rcc>
  <rcmt sheetId="11" cell="R14" guid="{00000000-0000-0000-0000-000000000000}" action="delete" alwaysShow="1" author="Andrea Martin"/>
  <rcc rId="462" sId="11">
    <oc r="R14" t="inlineStr">
      <is>
        <t>EPA report only provides emissions</t>
      </is>
    </oc>
    <nc r="R14"/>
  </rcc>
  <rcmt sheetId="11" cell="O25" guid="{00000000-0000-0000-0000-000000000000}" action="delete" alwaysShow="1" author="Andrea Martin"/>
  <rcc rId="463" sId="11" odxf="1" dxf="1">
    <nc r="Q25" t="inlineStr">
      <is>
        <t>KC15_40_02</t>
      </is>
    </nc>
    <odxf>
      <font>
        <b/>
        <family val="2"/>
      </font>
    </odxf>
    <ndxf>
      <font>
        <b val="0"/>
        <sz val="9"/>
        <color auto="1"/>
        <name val="Arial"/>
        <family val="2"/>
        <scheme val="none"/>
      </font>
    </ndxf>
  </rcc>
  <rcc rId="464" sId="11" odxf="1" dxf="1">
    <nc r="Q26" t="inlineStr">
      <is>
        <t>KC15_40_02</t>
      </is>
    </nc>
    <odxf>
      <font>
        <b/>
        <family val="2"/>
      </font>
    </odxf>
    <ndxf>
      <font>
        <b val="0"/>
        <sz val="9"/>
        <color auto="1"/>
        <name val="Arial"/>
        <family val="2"/>
        <scheme val="none"/>
      </font>
    </ndxf>
  </rcc>
  <rcc rId="465" sId="11" odxf="1" dxf="1">
    <nc r="Q27" t="inlineStr">
      <is>
        <t>KC15_40_02</t>
      </is>
    </nc>
    <odxf>
      <font>
        <b/>
        <family val="2"/>
      </font>
    </odxf>
    <ndxf>
      <font>
        <b val="0"/>
        <sz val="9"/>
        <color auto="1"/>
        <name val="Arial"/>
        <family val="2"/>
        <scheme val="none"/>
      </font>
    </ndxf>
  </rcc>
  <rcc rId="466" sId="11">
    <nc r="R25" t="inlineStr">
      <is>
        <t>data below threshold, unreported</t>
      </is>
    </nc>
  </rcc>
  <rcc rId="467" sId="11">
    <nc r="R26" t="inlineStr">
      <is>
        <t>data below threshold, unreported</t>
      </is>
    </nc>
  </rcc>
  <rcc rId="468" sId="11" odxf="1" dxf="1">
    <nc r="R27" t="inlineStr">
      <is>
        <t>data below threshold, unreported</t>
      </is>
    </nc>
    <odxf>
      <numFmt numFmtId="30" formatCode="@"/>
    </odxf>
    <ndxf>
      <numFmt numFmtId="0" formatCode="General"/>
    </ndxf>
  </rcc>
  <rm rId="469" sheetId="11" source="M11" destination="R11" sourceSheetId="11">
    <rfmt sheetId="11" sqref="R11" start="0" length="0">
      <dxf>
        <numFmt numFmtId="30" formatCode="@"/>
        <border outline="0">
          <right style="thin">
            <color indexed="64"/>
          </right>
        </border>
      </dxf>
    </rfmt>
  </rm>
  <rcc rId="470" sId="11" numFmtId="4">
    <oc r="O25">
      <v>0</v>
    </oc>
    <nc r="O25"/>
  </rcc>
  <rcc rId="471" sId="11" numFmtId="4">
    <oc r="O26">
      <v>0</v>
    </oc>
    <nc r="O26"/>
  </rcc>
  <rcc rId="472" sId="11" numFmtId="4">
    <oc r="O27">
      <v>0</v>
    </oc>
    <nc r="O27"/>
  </rcc>
  <rcc rId="473" sId="11">
    <oc r="R11" t="inlineStr">
      <is>
        <t xml:space="preserve">Zero removed - no data available as source did not trigger reporting threshold for this year.  </t>
      </is>
    </oc>
    <nc r="R11" t="inlineStr">
      <is>
        <t xml:space="preserve">no data available as source did not trigger reporting threshold for this year.  </t>
      </is>
    </nc>
  </rcc>
  <rcmt sheetId="11" cell="R11" guid="{00000000-0000-0000-0000-000000000000}" action="delete" alwaysShow="1" author="Andrea Martin"/>
  <rcc rId="474" sId="11">
    <oc r="J38">
      <f>J37-J18-'Commercial- Equip'!#REF!</f>
    </oc>
    <nc r="J38">
      <f>J37-J18-'Commercial- Equip'!#REF!</f>
    </nc>
  </rcc>
  <rrc rId="475" sId="11" ref="A36:XFD36" action="deleteRow">
    <rfmt sheetId="11" xfDxf="1" sqref="A36:XFD36" start="0" length="0"/>
    <rcc rId="0" sId="11" dxf="1">
      <nc r="A36" t="inlineStr">
        <is>
          <t>calculation steps</t>
        </is>
      </nc>
      <ndxf>
        <font>
          <b/>
          <sz val="9"/>
          <color auto="1"/>
          <name val="Arial"/>
          <family val="2"/>
          <scheme val="none"/>
        </font>
        <numFmt numFmtId="30" formatCode="@"/>
        <fill>
          <patternFill patternType="solid">
            <bgColor rgb="FF00B0F0"/>
          </patternFill>
        </fill>
        <alignment horizontal="left" vertical="bottom"/>
        <border outline="0">
          <right style="thin">
            <color indexed="64"/>
          </right>
        </border>
      </ndxf>
    </rcc>
    <rfmt sheetId="11" s="1" sqref="B36" start="0" length="0">
      <dxf>
        <font>
          <b/>
          <sz val="9"/>
          <color auto="1"/>
          <name val="Arial"/>
          <family val="2"/>
          <scheme val="none"/>
        </font>
        <numFmt numFmtId="3" formatCode="#,##0"/>
        <alignment horizontal="right"/>
        <border outline="0">
          <left style="thin">
            <color indexed="64"/>
          </left>
        </border>
      </dxf>
    </rfmt>
    <rfmt sheetId="11" sqref="C36" start="0" length="0">
      <dxf>
        <font>
          <b/>
          <sz val="9"/>
          <color auto="1"/>
          <name val="Arial"/>
          <family val="2"/>
          <scheme val="none"/>
        </font>
        <numFmt numFmtId="30" formatCode="@"/>
      </dxf>
    </rfmt>
    <rfmt sheetId="11" sqref="D36" start="0" length="0">
      <dxf>
        <font>
          <b/>
          <sz val="9"/>
          <color auto="1"/>
          <name val="Arial"/>
          <family val="2"/>
          <scheme val="none"/>
        </font>
        <numFmt numFmtId="30" formatCode="@"/>
      </dxf>
    </rfmt>
    <rfmt sheetId="11" sqref="E36" start="0" length="0">
      <dxf>
        <font>
          <b/>
          <sz val="9"/>
          <color auto="1"/>
          <name val="Arial"/>
          <family val="2"/>
          <scheme val="none"/>
        </font>
        <numFmt numFmtId="30" formatCode="@"/>
        <alignment wrapText="1"/>
        <border outline="0">
          <right style="thin">
            <color indexed="64"/>
          </right>
        </border>
      </dxf>
    </rfmt>
    <rfmt sheetId="11" s="1" sqref="F36" start="0" length="0">
      <dxf>
        <font>
          <b/>
          <sz val="9"/>
          <color auto="1"/>
          <name val="Arial"/>
          <family val="2"/>
          <scheme val="none"/>
        </font>
        <numFmt numFmtId="181" formatCode="_(* #,##0_);_(* \(#,##0\);_(* &quot;-&quot;??_);_(@_)"/>
        <alignment horizontal="right"/>
        <border outline="0">
          <left style="thin">
            <color indexed="64"/>
          </left>
        </border>
      </dxf>
    </rfmt>
    <rfmt sheetId="11" sqref="G36" start="0" length="0">
      <dxf>
        <font>
          <b/>
          <sz val="9"/>
          <color auto="1"/>
          <name val="Arial"/>
          <family val="2"/>
          <scheme val="none"/>
        </font>
        <numFmt numFmtId="30" formatCode="@"/>
      </dxf>
    </rfmt>
    <rfmt sheetId="11" sqref="H36" start="0" length="0">
      <dxf>
        <font>
          <b/>
          <sz val="9"/>
          <color auto="1"/>
          <name val="Arial"/>
          <family val="2"/>
          <scheme val="none"/>
        </font>
        <numFmt numFmtId="30" formatCode="@"/>
      </dxf>
    </rfmt>
    <rfmt sheetId="11" sqref="I36" start="0" length="0">
      <dxf>
        <font>
          <b/>
          <sz val="9"/>
          <color auto="1"/>
          <name val="Arial"/>
          <family val="2"/>
          <scheme val="none"/>
        </font>
        <numFmt numFmtId="30" formatCode="@"/>
        <alignment wrapText="1"/>
        <border outline="0">
          <right style="thin">
            <color indexed="64"/>
          </right>
        </border>
      </dxf>
    </rfmt>
    <rfmt sheetId="11" s="1" sqref="J36" start="0" length="0">
      <dxf>
        <font>
          <b/>
          <sz val="9"/>
          <color auto="1"/>
          <name val="Arial"/>
          <family val="2"/>
          <scheme val="none"/>
        </font>
        <numFmt numFmtId="181" formatCode="_(* #,##0_);_(* \(#,##0\);_(* &quot;-&quot;??_);_(@_)"/>
        <alignment horizontal="right"/>
        <border outline="0">
          <left style="thin">
            <color indexed="64"/>
          </left>
        </border>
      </dxf>
    </rfmt>
    <rfmt sheetId="11" sqref="K36" start="0" length="0">
      <dxf>
        <font>
          <b/>
          <sz val="9"/>
          <color auto="1"/>
          <name val="Arial"/>
          <family val="2"/>
          <scheme val="none"/>
        </font>
        <numFmt numFmtId="30" formatCode="@"/>
      </dxf>
    </rfmt>
    <rfmt sheetId="11" sqref="L36" start="0" length="0">
      <dxf>
        <font>
          <b/>
          <sz val="9"/>
          <color auto="1"/>
          <name val="Arial"/>
          <family val="2"/>
          <scheme val="none"/>
        </font>
        <numFmt numFmtId="30" formatCode="@"/>
      </dxf>
    </rfmt>
    <rfmt sheetId="11" sqref="M36" start="0" length="0">
      <dxf>
        <font>
          <b/>
          <sz val="9"/>
          <color auto="1"/>
          <name val="Arial"/>
          <family val="2"/>
          <scheme val="none"/>
        </font>
        <numFmt numFmtId="30" formatCode="@"/>
        <border outline="0">
          <right style="thin">
            <color indexed="64"/>
          </right>
        </border>
      </dxf>
    </rfmt>
    <rfmt sheetId="11" sqref="N36" start="0" length="0">
      <dxf>
        <font>
          <b/>
          <sz val="9"/>
          <color auto="1"/>
          <name val="Arial"/>
          <family val="2"/>
          <scheme val="none"/>
        </font>
        <numFmt numFmtId="30" formatCode="@"/>
        <alignment horizontal="left"/>
        <border outline="0">
          <left style="thin">
            <color indexed="64"/>
          </left>
          <right style="thin">
            <color indexed="64"/>
          </right>
        </border>
      </dxf>
    </rfmt>
    <rfmt sheetId="11" s="1" sqref="O36" start="0" length="0">
      <dxf>
        <font>
          <b/>
          <sz val="9"/>
          <color auto="1"/>
          <name val="Arial"/>
          <family val="2"/>
          <scheme val="none"/>
        </font>
        <numFmt numFmtId="181" formatCode="_(* #,##0_);_(* \(#,##0\);_(* &quot;-&quot;??_);_(@_)"/>
        <alignment horizontal="right"/>
      </dxf>
    </rfmt>
    <rfmt sheetId="11" sqref="P36" start="0" length="0">
      <dxf>
        <font>
          <b/>
          <sz val="9"/>
          <color auto="1"/>
          <name val="Arial"/>
          <family val="2"/>
          <scheme val="none"/>
        </font>
        <numFmt numFmtId="30" formatCode="@"/>
      </dxf>
    </rfmt>
    <rfmt sheetId="11" sqref="Q36" start="0" length="0">
      <dxf>
        <font>
          <b/>
          <sz val="9"/>
          <color auto="1"/>
          <name val="Arial"/>
          <family val="2"/>
          <scheme val="none"/>
        </font>
        <numFmt numFmtId="30" formatCode="@"/>
      </dxf>
    </rfmt>
    <rfmt sheetId="11" sqref="R36" start="0" length="0">
      <dxf>
        <font>
          <b/>
          <sz val="9"/>
          <color auto="1"/>
          <name val="Arial"/>
          <family val="2"/>
          <scheme val="none"/>
        </font>
        <numFmt numFmtId="30" formatCode="@"/>
        <border outline="0">
          <right style="thin">
            <color indexed="64"/>
          </right>
        </border>
      </dxf>
    </rfmt>
    <rfmt sheetId="11" sqref="S36" start="0" length="0">
      <dxf>
        <alignment horizontal="left"/>
      </dxf>
    </rfmt>
  </rrc>
  <rrc rId="476" sId="11" ref="A36:XFD36" action="deleteRow">
    <undo index="0" exp="ref" v="1" dr="O36" r="O37" sId="11"/>
    <undo index="0" exp="ref" v="1" dr="J36" r="J37" sId="11"/>
    <undo index="0" exp="ref" v="1" dr="F36" r="F37" sId="11"/>
    <undo index="0" exp="ref" v="1" dr="B36" r="B37" sId="11"/>
    <rfmt sheetId="11" xfDxf="1" sqref="A36:XFD36" start="0" length="0"/>
    <rcc rId="0" sId="11" dxf="1">
      <nc r="A36" t="inlineStr">
        <is>
          <t>1. Convert to TJ</t>
        </is>
      </nc>
      <ndxf>
        <font>
          <sz val="9"/>
          <color auto="1"/>
          <name val="Arial"/>
          <family val="2"/>
          <scheme val="none"/>
        </font>
        <numFmt numFmtId="30" formatCode="@"/>
        <alignment horizontal="left" vertical="bottom"/>
        <border outline="0">
          <right style="thin">
            <color indexed="64"/>
          </right>
        </border>
      </ndxf>
    </rcc>
    <rcc rId="0" sId="11" s="1" dxf="1">
      <nc r="B36">
        <f>B35*thermTOTJ</f>
      </nc>
      <ndxf>
        <numFmt numFmtId="3" formatCode="#,##0"/>
        <alignment horizontal="right"/>
        <border outline="0">
          <left style="thin">
            <color indexed="64"/>
          </left>
        </border>
      </ndxf>
    </rcc>
    <rcc rId="0" sId="11" dxf="1">
      <nc r="C36" t="inlineStr">
        <is>
          <t>TJ</t>
        </is>
      </nc>
      <ndxf>
        <numFmt numFmtId="30" formatCode="@"/>
      </ndxf>
    </rcc>
    <rfmt sheetId="11" sqref="D36" start="0" length="0">
      <dxf>
        <font>
          <b/>
          <sz val="9"/>
          <color auto="1"/>
          <name val="Arial"/>
          <family val="2"/>
          <scheme val="none"/>
        </font>
        <numFmt numFmtId="30" formatCode="@"/>
      </dxf>
    </rfmt>
    <rfmt sheetId="11" sqref="E36" start="0" length="0">
      <dxf>
        <font>
          <b/>
          <sz val="9"/>
          <color auto="1"/>
          <name val="Arial"/>
          <family val="2"/>
          <scheme val="none"/>
        </font>
        <numFmt numFmtId="30" formatCode="@"/>
        <alignment wrapText="1"/>
        <border outline="0">
          <right style="thin">
            <color indexed="64"/>
          </right>
        </border>
      </dxf>
    </rfmt>
    <rcc rId="0" sId="11" s="1" dxf="1">
      <nc r="F36">
        <f>F35*thermTOTJ</f>
      </nc>
      <ndxf>
        <font>
          <sz val="9"/>
          <color auto="1"/>
          <name val="Arial"/>
          <family val="2"/>
          <scheme val="none"/>
        </font>
        <numFmt numFmtId="181" formatCode="_(* #,##0_);_(* \(#,##0\);_(* &quot;-&quot;??_);_(@_)"/>
        <alignment horizontal="right"/>
        <border outline="0">
          <left style="thin">
            <color indexed="64"/>
          </left>
        </border>
      </ndxf>
    </rcc>
    <rcc rId="0" sId="11" dxf="1">
      <nc r="G36" t="inlineStr">
        <is>
          <t>TJ</t>
        </is>
      </nc>
      <ndxf>
        <font>
          <sz val="9"/>
          <color auto="1"/>
          <name val="Arial"/>
          <family val="2"/>
          <scheme val="none"/>
        </font>
        <numFmt numFmtId="30" formatCode="@"/>
      </ndxf>
    </rcc>
    <rfmt sheetId="11" sqref="H36" start="0" length="0">
      <dxf>
        <font>
          <b/>
          <sz val="9"/>
          <color auto="1"/>
          <name val="Arial"/>
          <family val="2"/>
          <scheme val="none"/>
        </font>
        <numFmt numFmtId="30" formatCode="@"/>
      </dxf>
    </rfmt>
    <rfmt sheetId="11" sqref="I36" start="0" length="0">
      <dxf>
        <font>
          <b/>
          <sz val="9"/>
          <color auto="1"/>
          <name val="Arial"/>
          <family val="2"/>
          <scheme val="none"/>
        </font>
        <numFmt numFmtId="30" formatCode="@"/>
        <alignment wrapText="1"/>
        <border outline="0">
          <right style="thin">
            <color indexed="64"/>
          </right>
        </border>
      </dxf>
    </rfmt>
    <rcc rId="0" sId="11" s="1" dxf="1">
      <nc r="J36">
        <f>J35*thermTOTJ</f>
      </nc>
      <ndxf>
        <font>
          <sz val="9"/>
          <color auto="1"/>
          <name val="Arial"/>
          <family val="2"/>
          <scheme val="none"/>
        </font>
        <numFmt numFmtId="181" formatCode="_(* #,##0_);_(* \(#,##0\);_(* &quot;-&quot;??_);_(@_)"/>
        <alignment horizontal="right"/>
        <border outline="0">
          <left style="thin">
            <color indexed="64"/>
          </left>
        </border>
      </ndxf>
    </rcc>
    <rcc rId="0" sId="11" dxf="1">
      <nc r="K36" t="inlineStr">
        <is>
          <t>TJ</t>
        </is>
      </nc>
      <ndxf>
        <font>
          <sz val="9"/>
          <color auto="1"/>
          <name val="Arial"/>
          <family val="2"/>
          <scheme val="none"/>
        </font>
        <numFmt numFmtId="30" formatCode="@"/>
      </ndxf>
    </rcc>
    <rfmt sheetId="11" sqref="L36" start="0" length="0">
      <dxf>
        <font>
          <b/>
          <sz val="9"/>
          <color auto="1"/>
          <name val="Arial"/>
          <family val="2"/>
          <scheme val="none"/>
        </font>
        <numFmt numFmtId="30" formatCode="@"/>
      </dxf>
    </rfmt>
    <rfmt sheetId="11" sqref="M36" start="0" length="0">
      <dxf>
        <font>
          <b/>
          <sz val="9"/>
          <color auto="1"/>
          <name val="Arial"/>
          <family val="2"/>
          <scheme val="none"/>
        </font>
        <numFmt numFmtId="30" formatCode="@"/>
        <border outline="0">
          <right style="thin">
            <color indexed="64"/>
          </right>
        </border>
      </dxf>
    </rfmt>
    <rfmt sheetId="11" sqref="N36" start="0" length="0">
      <dxf>
        <font>
          <b/>
          <sz val="9"/>
          <color auto="1"/>
          <name val="Arial"/>
          <family val="2"/>
          <scheme val="none"/>
        </font>
        <numFmt numFmtId="30" formatCode="@"/>
        <alignment horizontal="left"/>
        <border outline="0">
          <left style="thin">
            <color indexed="64"/>
          </left>
          <right style="thin">
            <color indexed="64"/>
          </right>
        </border>
      </dxf>
    </rfmt>
    <rcc rId="0" sId="11" s="1" dxf="1">
      <nc r="O36">
        <f>O35*thermTOTJ</f>
      </nc>
      <ndxf>
        <font>
          <sz val="9"/>
          <color auto="1"/>
          <name val="Arial"/>
          <family val="2"/>
          <scheme val="none"/>
        </font>
        <numFmt numFmtId="5" formatCode="#,##0_);\(#,##0\)"/>
        <alignment horizontal="right"/>
      </ndxf>
    </rcc>
    <rcc rId="0" sId="11" dxf="1">
      <nc r="P36" t="inlineStr">
        <is>
          <t>TJ</t>
        </is>
      </nc>
      <ndxf>
        <font>
          <sz val="9"/>
          <color auto="1"/>
          <name val="Arial"/>
          <family val="2"/>
          <scheme val="none"/>
        </font>
        <numFmt numFmtId="30" formatCode="@"/>
      </ndxf>
    </rcc>
    <rfmt sheetId="11" sqref="Q36" start="0" length="0">
      <dxf>
        <font>
          <b/>
          <sz val="9"/>
          <color auto="1"/>
          <name val="Arial"/>
          <family val="2"/>
          <scheme val="none"/>
        </font>
        <numFmt numFmtId="30" formatCode="@"/>
      </dxf>
    </rfmt>
    <rfmt sheetId="11" sqref="R36" start="0" length="0">
      <dxf>
        <font>
          <b/>
          <sz val="9"/>
          <color auto="1"/>
          <name val="Arial"/>
          <family val="2"/>
          <scheme val="none"/>
        </font>
        <numFmt numFmtId="30" formatCode="@"/>
        <border outline="0">
          <right style="thin">
            <color indexed="64"/>
          </right>
        </border>
      </dxf>
    </rfmt>
    <rfmt sheetId="11" sqref="S36" start="0" length="0">
      <dxf>
        <alignment horizontal="left"/>
      </dxf>
    </rfmt>
  </rrc>
  <rrc rId="477" sId="11" ref="A36:XFD36" action="deleteRow">
    <rfmt sheetId="11" xfDxf="1" sqref="A36:XFD36" start="0" length="0"/>
    <rcc rId="0" sId="11" dxf="1">
      <nc r="A36" t="inlineStr">
        <is>
          <t>2. Calculate non-point, non-fleet: Subtract point source, fleet from total consumption</t>
        </is>
      </nc>
      <ndxf>
        <numFmt numFmtId="30" formatCode="@"/>
        <alignment horizontal="left" wrapText="1"/>
        <border outline="0">
          <right style="thin">
            <color indexed="64"/>
          </right>
        </border>
      </ndxf>
    </rcc>
    <rcc rId="0" sId="11" s="1" dxf="1">
      <nc r="B36">
        <f>#REF!-B18-'Commercial- Equip'!#REF!</f>
      </nc>
      <ndxf>
        <numFmt numFmtId="3" formatCode="#,##0"/>
        <fill>
          <patternFill patternType="solid">
            <bgColor rgb="FFFFFF00"/>
          </patternFill>
        </fill>
        <alignment horizontal="right"/>
        <border outline="0">
          <left style="thin">
            <color indexed="64"/>
          </left>
        </border>
      </ndxf>
    </rcc>
    <rcc rId="0" sId="11" dxf="1">
      <nc r="C36" t="inlineStr">
        <is>
          <t>TJ</t>
        </is>
      </nc>
      <ndxf>
        <numFmt numFmtId="30" formatCode="@"/>
      </ndxf>
    </rcc>
    <rfmt sheetId="11" sqref="D36" start="0" length="0">
      <dxf>
        <font>
          <b/>
          <sz val="9"/>
          <color auto="1"/>
          <name val="Arial"/>
          <family val="2"/>
          <scheme val="none"/>
        </font>
        <numFmt numFmtId="30" formatCode="@"/>
      </dxf>
    </rfmt>
    <rfmt sheetId="11" sqref="E36" start="0" length="0">
      <dxf>
        <font>
          <b/>
          <sz val="9"/>
          <color auto="1"/>
          <name val="Arial"/>
          <family val="2"/>
          <scheme val="none"/>
        </font>
        <numFmt numFmtId="30" formatCode="@"/>
        <alignment wrapText="1"/>
        <border outline="0">
          <right style="thin">
            <color indexed="64"/>
          </right>
        </border>
      </dxf>
    </rfmt>
    <rcc rId="0" sId="11" s="1" dxf="1">
      <nc r="F36">
        <f>#REF!-F18-'Commercial- Equip'!#REF!</f>
      </nc>
      <ndxf>
        <font>
          <sz val="9"/>
          <color auto="1"/>
          <name val="Arial"/>
          <family val="2"/>
          <scheme val="none"/>
        </font>
        <numFmt numFmtId="181" formatCode="_(* #,##0_);_(* \(#,##0\);_(* &quot;-&quot;??_);_(@_)"/>
        <fill>
          <patternFill patternType="solid">
            <bgColor rgb="FFFFFF00"/>
          </patternFill>
        </fill>
        <alignment horizontal="right"/>
        <border outline="0">
          <left style="thin">
            <color indexed="64"/>
          </left>
        </border>
      </ndxf>
    </rcc>
    <rcc rId="0" sId="11" dxf="1">
      <nc r="G36" t="inlineStr">
        <is>
          <t>TJ</t>
        </is>
      </nc>
      <ndxf>
        <font>
          <sz val="9"/>
          <color auto="1"/>
          <name val="Arial"/>
          <family val="2"/>
          <scheme val="none"/>
        </font>
        <numFmt numFmtId="30" formatCode="@"/>
      </ndxf>
    </rcc>
    <rfmt sheetId="11" sqref="H36" start="0" length="0">
      <dxf>
        <font>
          <b/>
          <sz val="9"/>
          <color auto="1"/>
          <name val="Arial"/>
          <family val="2"/>
          <scheme val="none"/>
        </font>
        <numFmt numFmtId="30" formatCode="@"/>
      </dxf>
    </rfmt>
    <rfmt sheetId="11" sqref="I36" start="0" length="0">
      <dxf>
        <font>
          <b/>
          <sz val="9"/>
          <color auto="1"/>
          <name val="Arial"/>
          <family val="2"/>
          <scheme val="none"/>
        </font>
        <numFmt numFmtId="30" formatCode="@"/>
        <alignment wrapText="1"/>
        <border outline="0">
          <right style="thin">
            <color indexed="64"/>
          </right>
        </border>
      </dxf>
    </rfmt>
    <rcc rId="0" sId="11" s="1" dxf="1">
      <nc r="J36">
        <f>#REF!-J18-'Commercial- Equip'!#REF!</f>
      </nc>
      <ndxf>
        <font>
          <sz val="9"/>
          <color auto="1"/>
          <name val="Arial"/>
          <family val="2"/>
          <scheme val="none"/>
        </font>
        <numFmt numFmtId="181" formatCode="_(* #,##0_);_(* \(#,##0\);_(* &quot;-&quot;??_);_(@_)"/>
        <fill>
          <patternFill patternType="solid">
            <bgColor rgb="FFFFFF00"/>
          </patternFill>
        </fill>
        <alignment horizontal="right"/>
        <border outline="0">
          <left style="thin">
            <color indexed="64"/>
          </left>
        </border>
      </ndxf>
    </rcc>
    <rcc rId="0" sId="11" dxf="1">
      <nc r="K36" t="inlineStr">
        <is>
          <t>TJ</t>
        </is>
      </nc>
      <ndxf>
        <font>
          <sz val="9"/>
          <color auto="1"/>
          <name val="Arial"/>
          <family val="2"/>
          <scheme val="none"/>
        </font>
        <numFmt numFmtId="30" formatCode="@"/>
      </ndxf>
    </rcc>
    <rfmt sheetId="11" sqref="L36" start="0" length="0">
      <dxf>
        <font>
          <b/>
          <sz val="9"/>
          <color auto="1"/>
          <name val="Arial"/>
          <family val="2"/>
          <scheme val="none"/>
        </font>
        <numFmt numFmtId="30" formatCode="@"/>
      </dxf>
    </rfmt>
    <rcc rId="0" sId="11" dxf="1">
      <nc r="M36" t="inlineStr">
        <is>
          <t>Don't subtract equipment in tracking</t>
        </is>
      </nc>
      <ndxf>
        <numFmt numFmtId="30" formatCode="@"/>
        <border outline="0">
          <right style="thin">
            <color indexed="64"/>
          </right>
        </border>
      </ndxf>
    </rcc>
    <rfmt sheetId="11" sqref="N36" start="0" length="0">
      <dxf>
        <font>
          <b/>
          <sz val="9"/>
          <color auto="1"/>
          <name val="Arial"/>
          <family val="2"/>
          <scheme val="none"/>
        </font>
        <numFmt numFmtId="30" formatCode="@"/>
        <alignment horizontal="left"/>
        <border outline="0">
          <left style="thin">
            <color indexed="64"/>
          </left>
          <right style="thin">
            <color indexed="64"/>
          </right>
        </border>
      </dxf>
    </rfmt>
    <rcc rId="0" sId="11" s="1" dxf="1">
      <nc r="O36">
        <f>#REF!-O18-'Commercial- Equip'!#REF!</f>
      </nc>
      <ndxf>
        <font>
          <sz val="9"/>
          <color auto="1"/>
          <name val="Arial"/>
          <family val="2"/>
          <scheme val="none"/>
        </font>
        <numFmt numFmtId="181" formatCode="_(* #,##0_);_(* \(#,##0\);_(* &quot;-&quot;??_);_(@_)"/>
        <fill>
          <patternFill patternType="solid">
            <bgColor rgb="FFFFFF00"/>
          </patternFill>
        </fill>
        <alignment horizontal="right"/>
        <border outline="0">
          <left style="thin">
            <color indexed="64"/>
          </left>
        </border>
      </ndxf>
    </rcc>
    <rcc rId="0" sId="11" dxf="1">
      <nc r="P36" t="inlineStr">
        <is>
          <t>TJ</t>
        </is>
      </nc>
      <ndxf>
        <font>
          <sz val="9"/>
          <color auto="1"/>
          <name val="Arial"/>
          <family val="2"/>
          <scheme val="none"/>
        </font>
        <numFmt numFmtId="30" formatCode="@"/>
      </ndxf>
    </rcc>
    <rcc rId="0" sId="11" dxf="1">
      <nc r="Q36" t="inlineStr">
        <is>
          <t>Don't subtract equipment in tracking</t>
        </is>
      </nc>
      <ndxf>
        <numFmt numFmtId="30" formatCode="@"/>
        <border outline="0">
          <right style="thin">
            <color indexed="64"/>
          </right>
        </border>
      </ndxf>
    </rcc>
    <rfmt sheetId="11" sqref="R36" start="0" length="0">
      <dxf>
        <numFmt numFmtId="30" formatCode="@"/>
        <border outline="0">
          <right style="thin">
            <color indexed="64"/>
          </right>
        </border>
      </dxf>
    </rfmt>
    <rfmt sheetId="11" sqref="S36" start="0" length="0">
      <dxf>
        <alignment horizontal="left"/>
      </dxf>
    </rfmt>
  </rrc>
  <rcc rId="478" sId="11">
    <oc r="A45" t="inlineStr">
      <is>
        <t>Proprate for KC employees</t>
      </is>
    </oc>
    <nc r="A45" t="inlineStr">
      <is>
        <t>scale by % KC employees</t>
      </is>
    </nc>
  </rcc>
  <rcmt sheetId="11" cell="A45" guid="{00000000-0000-0000-0000-000000000000}" action="delete" alwaysShow="1" author="Andrea Martin"/>
  <rrc rId="479" sId="11" ref="A46:XFD46" action="deleteRow">
    <undo index="0" exp="ref" v="1" dr="J46" r="J47" sId="11"/>
    <undo index="0" exp="ref" v="1" dr="F46" r="F47" sId="11"/>
    <undo index="0" exp="ref" v="1" dr="B46" r="B47" sId="11"/>
    <rfmt sheetId="11" xfDxf="1" sqref="A46:XFD46" start="0" length="0"/>
    <rcc rId="0" sId="11" dxf="1">
      <nc r="A46" t="inlineStr">
        <is>
          <t>1. Convert to L</t>
        </is>
      </nc>
      <ndxf>
        <font>
          <sz val="9"/>
          <color auto="1"/>
          <name val="Arial"/>
          <family val="2"/>
          <scheme val="none"/>
        </font>
        <alignment horizontal="left"/>
        <border outline="0">
          <right style="thin">
            <color indexed="64"/>
          </right>
        </border>
      </ndxf>
    </rcc>
    <rcc rId="0" sId="11" dxf="1">
      <nc r="B46">
        <f>B41*1000*galTOL</f>
      </nc>
      <ndxf>
        <numFmt numFmtId="3" formatCode="#,##0"/>
        <alignment horizontal="right"/>
        <border outline="0">
          <left style="thin">
            <color indexed="64"/>
          </left>
        </border>
      </ndxf>
    </rcc>
    <rcc rId="0" sId="11" dxf="1">
      <nc r="C46" t="inlineStr">
        <is>
          <t>L</t>
        </is>
      </nc>
      <ndxf>
        <font>
          <sz val="9"/>
          <color auto="1"/>
          <name val="Arial"/>
          <family val="2"/>
          <scheme val="none"/>
        </font>
      </ndxf>
    </rcc>
    <rfmt sheetId="11" sqref="D46" start="0" length="0">
      <dxf>
        <font>
          <sz val="7"/>
          <color auto="1"/>
          <name val="Arial"/>
          <family val="2"/>
          <scheme val="none"/>
        </font>
        <numFmt numFmtId="30" formatCode="@"/>
        <alignment wrapText="1"/>
      </dxf>
    </rfmt>
    <rfmt sheetId="11" sqref="E46" start="0" length="0">
      <dxf>
        <numFmt numFmtId="30" formatCode="@"/>
        <alignment wrapText="1"/>
        <border outline="0">
          <right style="thin">
            <color indexed="64"/>
          </right>
        </border>
      </dxf>
    </rfmt>
    <rcc rId="0" sId="11" dxf="1">
      <nc r="F46">
        <f>F41*1000*galTOL</f>
      </nc>
      <ndxf>
        <numFmt numFmtId="3" formatCode="#,##0"/>
        <alignment horizontal="right"/>
        <border outline="0">
          <left style="thin">
            <color indexed="64"/>
          </left>
        </border>
      </ndxf>
    </rcc>
    <rcc rId="0" sId="11" dxf="1">
      <nc r="G46" t="inlineStr">
        <is>
          <t>L</t>
        </is>
      </nc>
      <ndxf>
        <font>
          <sz val="9"/>
          <color auto="1"/>
          <name val="Arial"/>
          <family val="2"/>
          <scheme val="none"/>
        </font>
      </ndxf>
    </rcc>
    <rfmt sheetId="11" sqref="H46" start="0" length="0">
      <dxf>
        <font>
          <sz val="9"/>
          <color auto="1"/>
          <name val="Arial"/>
          <family val="2"/>
          <scheme val="none"/>
        </font>
        <numFmt numFmtId="30" formatCode="@"/>
      </dxf>
    </rfmt>
    <rfmt sheetId="11" sqref="I46" start="0" length="0">
      <dxf>
        <numFmt numFmtId="30" formatCode="@"/>
        <alignment wrapText="1"/>
        <border outline="0">
          <right style="thin">
            <color indexed="64"/>
          </right>
        </border>
      </dxf>
    </rfmt>
    <rcc rId="0" sId="11" dxf="1">
      <nc r="J46">
        <f>J41*1000*galTOL</f>
      </nc>
      <ndxf>
        <numFmt numFmtId="3" formatCode="#,##0"/>
        <alignment horizontal="right"/>
        <border outline="0">
          <left style="thin">
            <color indexed="64"/>
          </left>
        </border>
      </ndxf>
    </rcc>
    <rcc rId="0" sId="11" dxf="1">
      <nc r="K46" t="inlineStr">
        <is>
          <t>L</t>
        </is>
      </nc>
      <ndxf>
        <font>
          <sz val="9"/>
          <color auto="1"/>
          <name val="Arial"/>
          <family val="2"/>
          <scheme val="none"/>
        </font>
      </ndxf>
    </rcc>
    <rfmt sheetId="11" sqref="L46" start="0" length="0">
      <dxf>
        <font>
          <sz val="9"/>
          <color auto="1"/>
          <name val="Arial"/>
          <family val="2"/>
          <scheme val="none"/>
        </font>
        <numFmt numFmtId="30" formatCode="@"/>
      </dxf>
    </rfmt>
    <rfmt sheetId="11" sqref="M46" start="0" length="0">
      <dxf>
        <numFmt numFmtId="30" formatCode="@"/>
        <border outline="0">
          <right style="thin">
            <color indexed="64"/>
          </right>
        </border>
      </dxf>
    </rfmt>
    <rfmt sheetId="11" sqref="N46" start="0" length="0">
      <dxf>
        <alignment horizontal="left"/>
        <border outline="0">
          <left style="thin">
            <color indexed="64"/>
          </left>
          <right style="thin">
            <color indexed="64"/>
          </right>
        </border>
      </dxf>
    </rfmt>
    <rfmt sheetId="11" sqref="O46" start="0" length="0">
      <dxf>
        <numFmt numFmtId="3" formatCode="#,##0"/>
        <alignment horizontal="right"/>
      </dxf>
    </rfmt>
    <rfmt sheetId="11" sqref="P46" start="0" length="0">
      <dxf>
        <font>
          <sz val="9"/>
          <color auto="1"/>
          <name val="Arial"/>
          <family val="2"/>
          <scheme val="none"/>
        </font>
      </dxf>
    </rfmt>
    <rfmt sheetId="11" sqref="Q46" start="0" length="0">
      <dxf>
        <numFmt numFmtId="30" formatCode="@"/>
      </dxf>
    </rfmt>
    <rfmt sheetId="11" sqref="R46" start="0" length="0">
      <dxf>
        <numFmt numFmtId="30" formatCode="@"/>
        <border outline="0">
          <right style="thin">
            <color indexed="64"/>
          </right>
        </border>
      </dxf>
    </rfmt>
    <rfmt sheetId="11" sqref="S46" start="0" length="0">
      <dxf>
        <alignment horizontal="left"/>
      </dxf>
    </rfmt>
  </rrc>
  <rrc rId="480" sId="11" ref="A46:XFD46" action="deleteRow">
    <undo index="0" exp="ref" v="1" dr="J46" r="J47" sId="11"/>
    <undo index="0" exp="ref" v="1" dr="F46" r="F47" sId="11"/>
    <undo index="0" exp="ref" v="1" dr="B46" r="B47" sId="11"/>
    <rfmt sheetId="11" xfDxf="1" sqref="A46:XFD46" start="0" length="0"/>
    <rcc rId="0" sId="11" dxf="1">
      <nc r="A46" t="inlineStr">
        <is>
          <t>2. Prorate for KC employees</t>
        </is>
      </nc>
      <ndxf>
        <numFmt numFmtId="30" formatCode="@"/>
        <alignment horizontal="left" wrapText="1"/>
        <border outline="0">
          <right style="thin">
            <color indexed="64"/>
          </right>
        </border>
      </ndxf>
    </rcc>
    <rcc rId="0" sId="11" dxf="1">
      <nc r="B46">
        <f>#REF!*B42</f>
      </nc>
      <ndxf>
        <numFmt numFmtId="3" formatCode="#,##0"/>
        <alignment horizontal="right"/>
        <border outline="0">
          <left style="thin">
            <color indexed="64"/>
          </left>
        </border>
      </ndxf>
    </rcc>
    <rcc rId="0" sId="11" dxf="1">
      <nc r="C46" t="inlineStr">
        <is>
          <t>L</t>
        </is>
      </nc>
      <ndxf>
        <font>
          <sz val="9"/>
          <color auto="1"/>
          <name val="Arial"/>
          <family val="2"/>
          <scheme val="none"/>
        </font>
      </ndxf>
    </rcc>
    <rfmt sheetId="11" sqref="D46" start="0" length="0">
      <dxf>
        <font>
          <sz val="7"/>
          <color auto="1"/>
          <name val="Arial"/>
          <family val="2"/>
          <scheme val="none"/>
        </font>
        <numFmt numFmtId="30" formatCode="@"/>
        <alignment wrapText="1"/>
      </dxf>
    </rfmt>
    <rfmt sheetId="11" sqref="E46" start="0" length="0">
      <dxf>
        <numFmt numFmtId="30" formatCode="@"/>
        <alignment wrapText="1"/>
        <border outline="0">
          <right style="thin">
            <color indexed="64"/>
          </right>
        </border>
      </dxf>
    </rfmt>
    <rcc rId="0" sId="11" dxf="1">
      <nc r="F46">
        <f>#REF!*F42</f>
      </nc>
      <ndxf>
        <numFmt numFmtId="3" formatCode="#,##0"/>
        <alignment horizontal="right"/>
        <border outline="0">
          <left style="thin">
            <color indexed="64"/>
          </left>
        </border>
      </ndxf>
    </rcc>
    <rcc rId="0" sId="11" dxf="1">
      <nc r="G46" t="inlineStr">
        <is>
          <t>L</t>
        </is>
      </nc>
      <ndxf>
        <font>
          <sz val="9"/>
          <color auto="1"/>
          <name val="Arial"/>
          <family val="2"/>
          <scheme val="none"/>
        </font>
      </ndxf>
    </rcc>
    <rfmt sheetId="11" sqref="H46" start="0" length="0">
      <dxf>
        <font>
          <sz val="9"/>
          <color auto="1"/>
          <name val="Arial"/>
          <family val="2"/>
          <scheme val="none"/>
        </font>
        <numFmt numFmtId="30" formatCode="@"/>
      </dxf>
    </rfmt>
    <rfmt sheetId="11" sqref="I46" start="0" length="0">
      <dxf>
        <numFmt numFmtId="30" formatCode="@"/>
        <alignment wrapText="1"/>
        <border outline="0">
          <right style="thin">
            <color indexed="64"/>
          </right>
        </border>
      </dxf>
    </rfmt>
    <rcc rId="0" sId="11" dxf="1">
      <nc r="J46">
        <f>#REF!*J42</f>
      </nc>
      <ndxf>
        <numFmt numFmtId="3" formatCode="#,##0"/>
        <alignment horizontal="right"/>
        <border outline="0">
          <left style="thin">
            <color indexed="64"/>
          </left>
        </border>
      </ndxf>
    </rcc>
    <rcc rId="0" sId="11" dxf="1">
      <nc r="K46" t="inlineStr">
        <is>
          <t>L</t>
        </is>
      </nc>
      <ndxf>
        <font>
          <sz val="9"/>
          <color auto="1"/>
          <name val="Arial"/>
          <family val="2"/>
          <scheme val="none"/>
        </font>
      </ndxf>
    </rcc>
    <rfmt sheetId="11" sqref="L46" start="0" length="0">
      <dxf>
        <font>
          <sz val="9"/>
          <color auto="1"/>
          <name val="Arial"/>
          <family val="2"/>
          <scheme val="none"/>
        </font>
        <numFmt numFmtId="30" formatCode="@"/>
      </dxf>
    </rfmt>
    <rfmt sheetId="11" sqref="M46" start="0" length="0">
      <dxf>
        <numFmt numFmtId="30" formatCode="@"/>
        <border outline="0">
          <right style="thin">
            <color indexed="64"/>
          </right>
        </border>
      </dxf>
    </rfmt>
    <rfmt sheetId="11" sqref="N46" start="0" length="0">
      <dxf>
        <alignment horizontal="left"/>
        <border outline="0">
          <left style="thin">
            <color indexed="64"/>
          </left>
          <right style="thin">
            <color indexed="64"/>
          </right>
        </border>
      </dxf>
    </rfmt>
    <rfmt sheetId="11" sqref="O46" start="0" length="0">
      <dxf>
        <numFmt numFmtId="3" formatCode="#,##0"/>
        <alignment horizontal="right"/>
      </dxf>
    </rfmt>
    <rfmt sheetId="11" sqref="P46" start="0" length="0">
      <dxf>
        <font>
          <sz val="9"/>
          <color auto="1"/>
          <name val="Arial"/>
          <family val="2"/>
          <scheme val="none"/>
        </font>
      </dxf>
    </rfmt>
    <rfmt sheetId="11" sqref="Q46" start="0" length="0">
      <dxf>
        <numFmt numFmtId="30" formatCode="@"/>
      </dxf>
    </rfmt>
    <rfmt sheetId="11" sqref="R46" start="0" length="0">
      <dxf>
        <numFmt numFmtId="30" formatCode="@"/>
        <border outline="0">
          <right style="thin">
            <color indexed="64"/>
          </right>
        </border>
      </dxf>
    </rfmt>
    <rfmt sheetId="11" sqref="S46" start="0" length="0">
      <dxf>
        <alignment horizontal="left"/>
      </dxf>
    </rfmt>
  </rrc>
  <rrc rId="481" sId="11" ref="A46:XFD46" action="deleteRow">
    <rfmt sheetId="11" xfDxf="1" sqref="A46:XFD46" start="0" length="0"/>
    <rcc rId="0" sId="11" dxf="1">
      <nc r="A46" t="inlineStr">
        <is>
          <t>3. subtract distillate</t>
        </is>
      </nc>
      <ndxf>
        <font>
          <sz val="9"/>
          <color auto="1"/>
          <name val="Arial"/>
          <family val="2"/>
          <scheme val="none"/>
        </font>
        <numFmt numFmtId="30" formatCode="@"/>
        <alignment horizontal="left" wrapText="1"/>
        <border outline="0">
          <right style="thin">
            <color indexed="64"/>
          </right>
        </border>
      </ndxf>
    </rcc>
    <rcc rId="0" sId="11" dxf="1">
      <nc r="B46">
        <f>#REF!-B30</f>
      </nc>
      <ndxf>
        <font>
          <sz val="9"/>
          <color auto="1"/>
          <name val="Arial"/>
          <family val="2"/>
          <scheme val="none"/>
        </font>
        <numFmt numFmtId="3" formatCode="#,##0"/>
        <alignment horizontal="right"/>
        <border outline="0">
          <left style="thin">
            <color indexed="64"/>
          </left>
        </border>
      </ndxf>
    </rcc>
    <rcc rId="0" sId="11" dxf="1">
      <nc r="C46" t="inlineStr">
        <is>
          <t>L</t>
        </is>
      </nc>
      <ndxf>
        <font>
          <sz val="9"/>
          <color auto="1"/>
          <name val="Arial"/>
          <family val="2"/>
          <scheme val="none"/>
        </font>
      </ndxf>
    </rcc>
    <rfmt sheetId="11" sqref="D46" start="0" length="0">
      <dxf>
        <font>
          <sz val="7"/>
          <color auto="1"/>
          <name val="Arial"/>
          <family val="2"/>
          <scheme val="none"/>
        </font>
        <numFmt numFmtId="30" formatCode="@"/>
        <alignment wrapText="1"/>
      </dxf>
    </rfmt>
    <rfmt sheetId="11" sqref="E46" start="0" length="0">
      <dxf>
        <numFmt numFmtId="30" formatCode="@"/>
        <alignment wrapText="1"/>
        <border outline="0">
          <right style="thin">
            <color indexed="64"/>
          </right>
        </border>
      </dxf>
    </rfmt>
    <rcc rId="0" sId="11" dxf="1">
      <nc r="F46">
        <f>#REF!-F30</f>
      </nc>
      <ndxf>
        <numFmt numFmtId="3" formatCode="#,##0"/>
        <alignment horizontal="right"/>
        <border outline="0">
          <left style="thin">
            <color indexed="64"/>
          </left>
        </border>
      </ndxf>
    </rcc>
    <rcc rId="0" sId="11" dxf="1">
      <nc r="G46" t="inlineStr">
        <is>
          <t>L</t>
        </is>
      </nc>
      <ndxf>
        <font>
          <sz val="9"/>
          <color auto="1"/>
          <name val="Arial"/>
          <family val="2"/>
          <scheme val="none"/>
        </font>
      </ndxf>
    </rcc>
    <rfmt sheetId="11" sqref="H46" start="0" length="0">
      <dxf>
        <font>
          <sz val="9"/>
          <color auto="1"/>
          <name val="Arial"/>
          <family val="2"/>
          <scheme val="none"/>
        </font>
        <numFmt numFmtId="30" formatCode="@"/>
      </dxf>
    </rfmt>
    <rfmt sheetId="11" sqref="I46" start="0" length="0">
      <dxf>
        <numFmt numFmtId="30" formatCode="@"/>
        <alignment wrapText="1"/>
        <border outline="0">
          <right style="thin">
            <color indexed="64"/>
          </right>
        </border>
      </dxf>
    </rfmt>
    <rcc rId="0" sId="11" dxf="1">
      <nc r="J46">
        <f>#REF!-J30</f>
      </nc>
      <ndxf>
        <numFmt numFmtId="3" formatCode="#,##0"/>
        <alignment horizontal="right"/>
        <border outline="0">
          <left style="thin">
            <color indexed="64"/>
          </left>
        </border>
      </ndxf>
    </rcc>
    <rcc rId="0" sId="11" dxf="1">
      <nc r="K46" t="inlineStr">
        <is>
          <t>L</t>
        </is>
      </nc>
      <ndxf>
        <font>
          <sz val="9"/>
          <color auto="1"/>
          <name val="Arial"/>
          <family val="2"/>
          <scheme val="none"/>
        </font>
      </ndxf>
    </rcc>
    <rfmt sheetId="11" sqref="L46" start="0" length="0">
      <dxf>
        <font>
          <sz val="9"/>
          <color auto="1"/>
          <name val="Arial"/>
          <family val="2"/>
          <scheme val="none"/>
        </font>
        <numFmt numFmtId="30" formatCode="@"/>
      </dxf>
    </rfmt>
    <rfmt sheetId="11" sqref="M46" start="0" length="0">
      <dxf>
        <numFmt numFmtId="30" formatCode="@"/>
        <border outline="0">
          <right style="thin">
            <color indexed="64"/>
          </right>
        </border>
      </dxf>
    </rfmt>
    <rfmt sheetId="11" sqref="N46" start="0" length="0">
      <dxf>
        <alignment horizontal="left"/>
        <border outline="0">
          <left style="thin">
            <color indexed="64"/>
          </left>
          <right style="thin">
            <color indexed="64"/>
          </right>
        </border>
      </dxf>
    </rfmt>
    <rfmt sheetId="11" sqref="O46" start="0" length="0">
      <dxf>
        <numFmt numFmtId="3" formatCode="#,##0"/>
        <alignment horizontal="right"/>
      </dxf>
    </rfmt>
    <rfmt sheetId="11" sqref="P46" start="0" length="0">
      <dxf>
        <font>
          <sz val="9"/>
          <color auto="1"/>
          <name val="Arial"/>
          <family val="2"/>
          <scheme val="none"/>
        </font>
      </dxf>
    </rfmt>
    <rfmt sheetId="11" sqref="Q46" start="0" length="0">
      <dxf>
        <numFmt numFmtId="30" formatCode="@"/>
      </dxf>
    </rfmt>
    <rfmt sheetId="11" sqref="R46" start="0" length="0">
      <dxf>
        <numFmt numFmtId="30" formatCode="@"/>
        <border outline="0">
          <right style="thin">
            <color indexed="64"/>
          </right>
        </border>
      </dxf>
    </rfmt>
    <rfmt sheetId="11" sqref="S46" start="0" length="0">
      <dxf>
        <alignment horizontal="left"/>
      </dxf>
    </rfmt>
  </rrc>
  <rcc rId="482" sId="11">
    <nc r="C10" t="inlineStr">
      <is>
        <t>1000 Therms</t>
      </is>
    </nc>
  </rcc>
  <rcc rId="483" sId="11">
    <nc r="E10" t="inlineStr">
      <is>
        <t>no citation available</t>
      </is>
    </nc>
  </rcc>
  <rfmt sheetId="11" sqref="E10">
    <dxf>
      <alignment wrapText="0"/>
    </dxf>
  </rfmt>
  <rcc rId="484" sId="11" odxf="1" dxf="1">
    <nc r="E11" t="inlineStr">
      <is>
        <t>no citation available</t>
      </is>
    </nc>
    <odxf>
      <alignment wrapText="1"/>
    </odxf>
    <ndxf>
      <alignment wrapText="0"/>
    </ndxf>
  </rcc>
  <rcc rId="485" sId="11" odxf="1" dxf="1">
    <nc r="E12" t="inlineStr">
      <is>
        <t>no citation available</t>
      </is>
    </nc>
    <odxf>
      <alignment wrapText="1"/>
    </odxf>
    <ndxf>
      <alignment wrapText="0"/>
    </ndxf>
  </rcc>
  <rcc rId="486" sId="11" odxf="1" dxf="1">
    <nc r="E13" t="inlineStr">
      <is>
        <t>no citation available</t>
      </is>
    </nc>
    <odxf>
      <alignment wrapText="1"/>
    </odxf>
    <ndxf>
      <alignment wrapText="0"/>
    </ndxf>
  </rcc>
  <rcc rId="487" sId="11" odxf="1" dxf="1">
    <nc r="E14" t="inlineStr">
      <is>
        <t>no citation available</t>
      </is>
    </nc>
    <odxf>
      <alignment wrapText="1"/>
    </odxf>
    <ndxf>
      <alignment wrapText="0"/>
    </ndxf>
  </rcc>
  <rcmt sheetId="11" cell="B10" guid="{00000000-0000-0000-0000-000000000000}" action="delete" alwaysShow="1" author="Andrea Martin"/>
  <rcmt sheetId="11" cell="C10" guid="{00000000-0000-0000-0000-000000000000}" action="delete" alwaysShow="1" author="Andrea Martin"/>
  <rcc rId="488" sId="11">
    <oc r="F31">
      <f>F30*efdistillate/1000000</f>
    </oc>
    <nc r="F31">
      <f>F29*efgdistillate/1000000</f>
    </nc>
  </rcc>
  <rcc rId="489" sId="11">
    <oc r="J31">
      <f>J30*efdistillate/1000000</f>
    </oc>
    <nc r="J31">
      <f>J29*efgdistillate/1000000</f>
    </nc>
  </rcc>
  <rcc rId="490" sId="11">
    <oc r="B31">
      <f>B30*efdistillate/1000000</f>
    </oc>
    <nc r="B31">
      <f>B29*efgdistillate/1000000</f>
    </nc>
  </rcc>
  <rcc rId="491" sId="11">
    <oc r="O31">
      <f>O30*efdistillate/1000000</f>
    </oc>
    <nc r="O31">
      <f>O29*efgdistillate/1000000</f>
    </nc>
  </rcc>
  <rrc rId="492" sId="11" ref="A30:XFD30" action="deleteRow">
    <rfmt sheetId="11" xfDxf="1" sqref="A30:XFD30" start="0" length="0"/>
    <rcc rId="0" sId="11" dxf="1">
      <nc r="A30" t="inlineStr">
        <is>
          <t>2. Convert to L</t>
          <phoneticPr fontId="33" type="noConversion"/>
        </is>
      </nc>
      <ndxf>
        <numFmt numFmtId="30" formatCode="@"/>
        <alignment horizontal="left" vertical="bottom"/>
        <border outline="0">
          <right style="thin">
            <color indexed="64"/>
          </right>
        </border>
      </ndxf>
    </rcc>
    <rcc rId="0" sId="11" s="1" dxf="1">
      <nc r="B30">
        <f>B29*galTOL</f>
      </nc>
      <ndxf>
        <numFmt numFmtId="3" formatCode="#,##0"/>
        <alignment horizontal="right"/>
      </ndxf>
    </rcc>
    <rcc rId="0" sId="11" dxf="1">
      <nc r="C30" t="inlineStr">
        <is>
          <t>L</t>
        </is>
      </nc>
      <ndxf>
        <font>
          <sz val="9"/>
          <color auto="1"/>
          <name val="Arial"/>
          <family val="2"/>
          <scheme val="none"/>
        </font>
      </ndxf>
    </rcc>
    <rfmt sheetId="11" s="1" sqref="D30" start="0" length="0">
      <dxf>
        <numFmt numFmtId="181" formatCode="_(* #,##0_);_(* \(#,##0\);_(* &quot;-&quot;??_);_(@_)"/>
      </dxf>
    </rfmt>
    <rfmt sheetId="11" s="1" sqref="E30" start="0" length="0">
      <dxf>
        <numFmt numFmtId="181" formatCode="_(* #,##0_);_(* \(#,##0\);_(* &quot;-&quot;??_);_(@_)"/>
        <border outline="0">
          <right style="thin">
            <color indexed="64"/>
          </right>
        </border>
      </dxf>
    </rfmt>
    <rcc rId="0" sId="11" s="1" dxf="1">
      <nc r="F30">
        <f>F29*galTOL</f>
      </nc>
      <ndxf>
        <numFmt numFmtId="181" formatCode="_(* #,##0_);_(* \(#,##0\);_(* &quot;-&quot;??_);_(@_)"/>
        <alignment horizontal="right"/>
        <border outline="0">
          <left style="thin">
            <color indexed="64"/>
          </left>
        </border>
      </ndxf>
    </rcc>
    <rcc rId="0" sId="11" dxf="1">
      <nc r="G30" t="inlineStr">
        <is>
          <t>L</t>
        </is>
      </nc>
      <ndxf>
        <font>
          <sz val="9"/>
          <color auto="1"/>
          <name val="Arial"/>
          <family val="2"/>
          <scheme val="none"/>
        </font>
      </ndxf>
    </rcc>
    <rfmt sheetId="11" sqref="H30" start="0" length="0">
      <dxf>
        <numFmt numFmtId="30" formatCode="@"/>
      </dxf>
    </rfmt>
    <rfmt sheetId="11" sqref="I30" start="0" length="0">
      <dxf>
        <numFmt numFmtId="30" formatCode="@"/>
        <alignment wrapText="1"/>
        <border outline="0">
          <right style="thin">
            <color indexed="64"/>
          </right>
        </border>
      </dxf>
    </rfmt>
    <rcc rId="0" sId="11" s="1" dxf="1">
      <nc r="J30">
        <f>J29*galTOL</f>
      </nc>
      <ndxf>
        <numFmt numFmtId="3" formatCode="#,##0"/>
        <alignment horizontal="right"/>
        <border outline="0">
          <left style="thin">
            <color indexed="64"/>
          </left>
        </border>
      </ndxf>
    </rcc>
    <rcc rId="0" sId="11" dxf="1">
      <nc r="K30" t="inlineStr">
        <is>
          <t>L</t>
        </is>
      </nc>
      <ndxf>
        <font>
          <sz val="9"/>
          <color auto="1"/>
          <name val="Arial"/>
          <family val="2"/>
          <scheme val="none"/>
        </font>
      </ndxf>
    </rcc>
    <rfmt sheetId="11" sqref="L30" start="0" length="0">
      <dxf>
        <numFmt numFmtId="30" formatCode="@"/>
      </dxf>
    </rfmt>
    <rfmt sheetId="11" sqref="M30" start="0" length="0">
      <dxf>
        <numFmt numFmtId="30" formatCode="@"/>
        <border outline="0">
          <right style="thin">
            <color indexed="64"/>
          </right>
        </border>
      </dxf>
    </rfmt>
    <rfmt sheetId="11" sqref="N30" start="0" length="0">
      <dxf>
        <font>
          <b/>
          <sz val="9"/>
          <color auto="1"/>
          <name val="Arial"/>
          <family val="2"/>
          <scheme val="none"/>
        </font>
        <alignment horizontal="left"/>
        <border outline="0">
          <left style="thin">
            <color indexed="64"/>
          </left>
          <right style="thin">
            <color indexed="64"/>
          </right>
        </border>
      </dxf>
    </rfmt>
    <rcc rId="0" sId="11" s="1" dxf="1">
      <nc r="O30">
        <f>O29*galTOL</f>
      </nc>
      <ndxf>
        <numFmt numFmtId="3" formatCode="#,##0"/>
        <alignment horizontal="right"/>
      </ndxf>
    </rcc>
    <rcc rId="0" sId="11" dxf="1">
      <nc r="P30" t="inlineStr">
        <is>
          <t>L</t>
        </is>
      </nc>
      <ndxf>
        <font>
          <sz val="9"/>
          <color auto="1"/>
          <name val="Arial"/>
          <family val="2"/>
          <scheme val="none"/>
        </font>
      </ndxf>
    </rcc>
    <rfmt sheetId="11" sqref="Q30" start="0" length="0">
      <dxf>
        <numFmt numFmtId="30" formatCode="@"/>
      </dxf>
    </rfmt>
    <rfmt sheetId="11" sqref="R30" start="0" length="0">
      <dxf>
        <numFmt numFmtId="30" formatCode="@"/>
        <border outline="0">
          <right style="thin">
            <color indexed="64"/>
          </right>
        </border>
      </dxf>
    </rfmt>
    <rfmt sheetId="11" sqref="S30" start="0" length="0">
      <dxf>
        <alignment horizontal="left"/>
      </dxf>
    </rfmt>
  </rrc>
  <rcc rId="493" sId="12">
    <oc r="A4" t="inlineStr">
      <is>
        <t>Fuel Consumption, NONROAD2008 output (King County, year 2008)</t>
      </is>
    </oc>
    <nc r="A4" t="inlineStr">
      <is>
        <t>Fuel Consumption, MOVES 2014 NONROAD output)</t>
      </is>
    </nc>
  </rcc>
  <rcc rId="494" sId="13">
    <oc r="A5" t="inlineStr">
      <is>
        <t>Fuel Consumption, NONROAD2008 output (King County, year 2008)</t>
      </is>
    </oc>
    <nc r="A5" t="inlineStr">
      <is>
        <t>Fuel Consumption, MOVES 2014 NONROAD output)</t>
      </is>
    </nc>
  </rcc>
  <rcmt sheetId="13" cell="A5" guid="{00000000-0000-0000-0000-000000000000}" action="delete" alwaysShow="1" author="Andrea Martin"/>
  <rcmt sheetId="12" cell="A4" guid="{00000000-0000-0000-0000-000000000000}" action="delete" alwaysShow="1" author="Andrea Martin"/>
  <rcc rId="495" sId="16">
    <oc r="A5" t="inlineStr">
      <is>
        <t>Fuel Consumption, NONROAD2008 output</t>
      </is>
    </oc>
    <nc r="A5" t="inlineStr">
      <is>
        <t>Fuel Consumption, MOVES 2014 NONROAD output)</t>
      </is>
    </nc>
  </rcc>
  <rcmt sheetId="12" cell="F7" guid="{00000000-0000-0000-0000-000000000000}" action="delete" alwaysShow="1" author="Andrea Martin"/>
  <rcc rId="496" sId="12" numFmtId="4">
    <oc r="F11">
      <v>44877.281999999999</v>
    </oc>
    <nc r="F11">
      <v>32549</v>
    </nc>
  </rcc>
  <rcc rId="497" sId="12" numFmtId="4">
    <oc r="F15">
      <v>97249.357999999978</v>
    </oc>
    <nc r="F15">
      <v>118106</v>
    </nc>
  </rcc>
  <rcc rId="498" sId="12" numFmtId="4">
    <oc r="F19">
      <v>31740.404000000002</v>
    </oc>
    <nc r="F19">
      <v>36523</v>
    </nc>
  </rcc>
  <rfmt sheetId="12" sqref="F7:F19">
    <dxf>
      <fill>
        <patternFill patternType="none">
          <bgColor auto="1"/>
        </patternFill>
      </fill>
    </dxf>
  </rfmt>
  <rcmt sheetId="11" cell="O40" guid="{DBABFD85-3B10-49BB-B590-3F713AD050AB}" alwaysShow="1" author="Andrea Martin" oldLength="107" newLength="47"/>
  <rcmt sheetId="11" cell="Q40" guid="{49FA5C65-FEBC-40F3-8398-F7E8A774B7D1}" alwaysShow="1" author="Andrea Martin" oldLength="117" newLength="138"/>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N17" guid="{00000000-0000-0000-0000-000000000000}" action="delete" alwaysShow="1" author="Andrea Martin"/>
  <rfmt sheetId="9" sqref="P19">
    <dxf>
      <fill>
        <patternFill patternType="solid">
          <bgColor rgb="FFFFFF00"/>
        </patternFill>
      </fill>
    </dxf>
  </rfmt>
  <rcmt sheetId="9" cell="N12" guid="{E73E4632-E8BE-4209-8410-0EFBE4A0AA83}" alwaysShow="1" author="Andrea Martin" newLength="222"/>
  <rcmt sheetId="9" cell="P19" guid="{6FBFA45E-F6C7-4862-BF14-B2AA046E2D4B}" alwaysShow="1" author="Andrea Martin" newLength="51"/>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4" sId="11">
    <nc r="C11" t="inlineStr">
      <is>
        <t>1001 Therms</t>
      </is>
    </nc>
  </rcc>
  <rcc rId="505" sId="11">
    <nc r="C12" t="inlineStr">
      <is>
        <t>1002 Therms</t>
      </is>
    </nc>
  </rcc>
  <rcc rId="506" sId="11">
    <nc r="C13" t="inlineStr">
      <is>
        <t>1003 Therms</t>
      </is>
    </nc>
  </rcc>
  <rcc rId="507" sId="11">
    <nc r="C14" t="inlineStr">
      <is>
        <t>1004 Therms</t>
      </is>
    </nc>
  </rcc>
  <rcc rId="508" sId="10">
    <oc r="P8" t="inlineStr">
      <is>
        <t>KC15_65_05</t>
      </is>
    </oc>
    <nc r="P8" t="inlineStr">
      <is>
        <t>KC15_65_05, KC15-65-12</t>
      </is>
    </nc>
  </rcc>
  <rcmt sheetId="10" cell="N8" guid="{00000000-0000-0000-0000-000000000000}" action="delete" alwaysShow="1" author="Andrea Martin"/>
  <rfmt sheetId="10" sqref="N6:N11">
    <dxf>
      <fill>
        <patternFill patternType="none">
          <bgColor auto="1"/>
        </patternFill>
      </fill>
    </dxf>
  </rfmt>
  <rfmt sheetId="10" sqref="N28">
    <dxf>
      <fill>
        <patternFill patternType="none">
          <bgColor auto="1"/>
        </patternFill>
      </fill>
    </dxf>
  </rfmt>
  <rcc rId="509" sId="11">
    <oc r="Q34" t="inlineStr">
      <is>
        <t>KC15_65_05</t>
      </is>
    </oc>
    <nc r="Q34" t="inlineStr">
      <is>
        <t>KC15_65_05, KC15-65-12</t>
      </is>
    </nc>
  </rcc>
  <rcmt sheetId="11" cell="O34" guid="{00000000-0000-0000-0000-000000000000}" action="delete" alwaysShow="1" author="Andrea Martin"/>
  <rcc rId="510" sId="14">
    <oc r="M97" t="inlineStr">
      <is>
        <t>KC15_65_05</t>
      </is>
    </oc>
    <nc r="M97" t="inlineStr">
      <is>
        <t>KC15_65_05, KC15-65-12</t>
      </is>
    </nc>
  </rcc>
  <rm rId="511" sheetId="19" source="P7:R18" destination="S7:U18" sourceSheetId="19">
    <rfmt sheetId="19" sqref="S7" start="0" length="0">
      <dxf>
        <font>
          <b/>
          <sz val="9"/>
          <color auto="1"/>
          <name val="Arial"/>
          <family val="2"/>
          <scheme val="none"/>
        </font>
        <alignment vertical="bottom"/>
      </dxf>
    </rfmt>
    <rfmt sheetId="19" sqref="T7" start="0" length="0">
      <dxf>
        <font>
          <b/>
          <sz val="9"/>
          <color auto="1"/>
          <name val="Arial"/>
          <family val="2"/>
          <scheme val="none"/>
        </font>
        <alignment vertical="bottom"/>
      </dxf>
    </rfmt>
    <rfmt sheetId="19" sqref="U7" start="0" length="0">
      <dxf>
        <font>
          <b/>
          <sz val="9"/>
          <color auto="1"/>
          <name val="Arial"/>
          <family val="2"/>
          <scheme val="none"/>
        </font>
        <alignment vertical="bottom"/>
      </dxf>
    </rfmt>
    <rfmt sheetId="19" sqref="S8" start="0" length="0">
      <dxf>
        <font>
          <b/>
          <sz val="9"/>
          <color auto="1"/>
          <name val="Arial"/>
          <family val="2"/>
          <scheme val="none"/>
        </font>
        <alignment vertical="bottom"/>
      </dxf>
    </rfmt>
    <rfmt sheetId="19" sqref="T8" start="0" length="0">
      <dxf>
        <font>
          <b/>
          <sz val="9"/>
          <color auto="1"/>
          <name val="Arial"/>
          <family val="2"/>
          <scheme val="none"/>
        </font>
        <alignment vertical="bottom"/>
      </dxf>
    </rfmt>
    <rfmt sheetId="19" sqref="U8" start="0" length="0">
      <dxf>
        <font>
          <b/>
          <sz val="9"/>
          <color auto="1"/>
          <name val="Arial"/>
          <family val="2"/>
          <scheme val="none"/>
        </font>
        <alignment vertical="bottom"/>
      </dxf>
    </rfmt>
    <rfmt sheetId="19" sqref="S9" start="0" length="0">
      <dxf>
        <font>
          <b/>
          <sz val="9"/>
          <color auto="1"/>
          <name val="Arial"/>
          <family val="2"/>
          <scheme val="none"/>
        </font>
        <alignment vertical="bottom"/>
      </dxf>
    </rfmt>
    <rfmt sheetId="19" sqref="T9" start="0" length="0">
      <dxf>
        <font>
          <b/>
          <sz val="9"/>
          <color auto="1"/>
          <name val="Arial"/>
          <family val="2"/>
          <scheme val="none"/>
        </font>
        <alignment vertical="bottom"/>
      </dxf>
    </rfmt>
    <rfmt sheetId="19" sqref="U9" start="0" length="0">
      <dxf>
        <font>
          <b/>
          <sz val="9"/>
          <color auto="1"/>
          <name val="Arial"/>
          <family val="2"/>
          <scheme val="none"/>
        </font>
        <alignment vertical="bottom"/>
      </dxf>
    </rfmt>
    <rfmt sheetId="19" sqref="S10" start="0" length="0">
      <dxf>
        <font>
          <b/>
          <sz val="9"/>
          <color auto="1"/>
          <name val="Arial"/>
          <family val="2"/>
          <scheme val="none"/>
        </font>
        <alignment vertical="bottom"/>
      </dxf>
    </rfmt>
    <rfmt sheetId="19" sqref="T10" start="0" length="0">
      <dxf>
        <font>
          <b/>
          <sz val="9"/>
          <color auto="1"/>
          <name val="Arial"/>
          <family val="2"/>
          <scheme val="none"/>
        </font>
        <alignment vertical="bottom"/>
      </dxf>
    </rfmt>
    <rfmt sheetId="19" sqref="U10" start="0" length="0">
      <dxf>
        <font>
          <b/>
          <sz val="9"/>
          <color auto="1"/>
          <name val="Arial"/>
          <family val="2"/>
          <scheme val="none"/>
        </font>
        <alignment vertical="bottom"/>
      </dxf>
    </rfmt>
    <rfmt sheetId="19" sqref="S11" start="0" length="0">
      <dxf>
        <font>
          <b/>
          <sz val="9"/>
          <color auto="1"/>
          <name val="Arial"/>
          <family val="2"/>
          <scheme val="none"/>
        </font>
        <alignment vertical="bottom"/>
      </dxf>
    </rfmt>
    <rfmt sheetId="19" sqref="T11" start="0" length="0">
      <dxf>
        <font>
          <b/>
          <sz val="9"/>
          <color auto="1"/>
          <name val="Arial"/>
          <family val="2"/>
          <scheme val="none"/>
        </font>
        <alignment vertical="bottom"/>
      </dxf>
    </rfmt>
    <rfmt sheetId="19" sqref="U11" start="0" length="0">
      <dxf>
        <font>
          <b/>
          <sz val="9"/>
          <color auto="1"/>
          <name val="Arial"/>
          <family val="2"/>
          <scheme val="none"/>
        </font>
        <alignment vertical="bottom"/>
      </dxf>
    </rfmt>
    <rfmt sheetId="19" sqref="S12" start="0" length="0">
      <dxf>
        <font>
          <b/>
          <sz val="9"/>
          <color auto="1"/>
          <name val="Arial"/>
          <family val="2"/>
          <scheme val="none"/>
        </font>
        <alignment vertical="bottom"/>
      </dxf>
    </rfmt>
    <rfmt sheetId="19" sqref="T12" start="0" length="0">
      <dxf>
        <font>
          <b/>
          <sz val="9"/>
          <color auto="1"/>
          <name val="Arial"/>
          <family val="2"/>
          <scheme val="none"/>
        </font>
        <alignment vertical="bottom"/>
      </dxf>
    </rfmt>
    <rfmt sheetId="19" sqref="U12" start="0" length="0">
      <dxf>
        <font>
          <b/>
          <sz val="9"/>
          <color auto="1"/>
          <name val="Arial"/>
          <family val="2"/>
          <scheme val="none"/>
        </font>
        <alignment vertical="bottom"/>
      </dxf>
    </rfmt>
    <rfmt sheetId="19" sqref="S13" start="0" length="0">
      <dxf>
        <font>
          <b/>
          <sz val="9"/>
          <color auto="1"/>
          <name val="Arial"/>
          <family val="2"/>
          <scheme val="none"/>
        </font>
        <alignment vertical="bottom"/>
      </dxf>
    </rfmt>
    <rfmt sheetId="19" sqref="T13" start="0" length="0">
      <dxf>
        <font>
          <b/>
          <sz val="9"/>
          <color auto="1"/>
          <name val="Arial"/>
          <family val="2"/>
          <scheme val="none"/>
        </font>
        <alignment vertical="bottom"/>
      </dxf>
    </rfmt>
    <rfmt sheetId="19" sqref="U13" start="0" length="0">
      <dxf>
        <font>
          <b/>
          <sz val="9"/>
          <color auto="1"/>
          <name val="Arial"/>
          <family val="2"/>
          <scheme val="none"/>
        </font>
        <alignment vertical="bottom"/>
      </dxf>
    </rfmt>
    <rfmt sheetId="19" sqref="S14" start="0" length="0">
      <dxf>
        <font>
          <b/>
          <sz val="9"/>
          <color auto="1"/>
          <name val="Arial"/>
          <family val="2"/>
          <scheme val="none"/>
        </font>
        <alignment vertical="bottom"/>
      </dxf>
    </rfmt>
    <rfmt sheetId="19" sqref="T14" start="0" length="0">
      <dxf>
        <font>
          <b/>
          <sz val="9"/>
          <color auto="1"/>
          <name val="Arial"/>
          <family val="2"/>
          <scheme val="none"/>
        </font>
        <alignment vertical="bottom"/>
      </dxf>
    </rfmt>
    <rfmt sheetId="19" sqref="U14" start="0" length="0">
      <dxf>
        <font>
          <b/>
          <sz val="9"/>
          <color auto="1"/>
          <name val="Arial"/>
          <family val="2"/>
          <scheme val="none"/>
        </font>
        <alignment vertical="bottom"/>
      </dxf>
    </rfmt>
    <rfmt sheetId="19" sqref="S15" start="0" length="0">
      <dxf>
        <font>
          <b/>
          <sz val="9"/>
          <color auto="1"/>
          <name val="Arial"/>
          <family val="2"/>
          <scheme val="none"/>
        </font>
        <alignment vertical="bottom"/>
      </dxf>
    </rfmt>
    <rfmt sheetId="19" sqref="T15" start="0" length="0">
      <dxf>
        <font>
          <b/>
          <sz val="9"/>
          <color auto="1"/>
          <name val="Arial"/>
          <family val="2"/>
          <scheme val="none"/>
        </font>
        <alignment vertical="bottom"/>
      </dxf>
    </rfmt>
    <rfmt sheetId="19" sqref="U15" start="0" length="0">
      <dxf>
        <font>
          <b/>
          <sz val="9"/>
          <color auto="1"/>
          <name val="Arial"/>
          <family val="2"/>
          <scheme val="none"/>
        </font>
        <alignment vertical="bottom"/>
      </dxf>
    </rfmt>
    <rfmt sheetId="19" sqref="S16" start="0" length="0">
      <dxf>
        <font>
          <b/>
          <sz val="9"/>
          <color auto="1"/>
          <name val="Arial"/>
          <family val="2"/>
          <scheme val="none"/>
        </font>
        <alignment vertical="bottom"/>
      </dxf>
    </rfmt>
    <rfmt sheetId="19" sqref="T16" start="0" length="0">
      <dxf>
        <font>
          <b/>
          <sz val="9"/>
          <color auto="1"/>
          <name val="Arial"/>
          <family val="2"/>
          <scheme val="none"/>
        </font>
        <alignment vertical="bottom"/>
      </dxf>
    </rfmt>
    <rfmt sheetId="19" sqref="U16" start="0" length="0">
      <dxf>
        <font>
          <b/>
          <sz val="9"/>
          <color auto="1"/>
          <name val="Arial"/>
          <family val="2"/>
          <scheme val="none"/>
        </font>
        <alignment vertical="bottom"/>
      </dxf>
    </rfmt>
    <rfmt sheetId="19" sqref="S17" start="0" length="0">
      <dxf>
        <font>
          <b/>
          <sz val="9"/>
          <color auto="1"/>
          <name val="Arial"/>
          <family val="2"/>
          <scheme val="none"/>
        </font>
        <alignment vertical="bottom"/>
      </dxf>
    </rfmt>
    <rfmt sheetId="19" sqref="T17" start="0" length="0">
      <dxf>
        <font>
          <b/>
          <sz val="9"/>
          <color auto="1"/>
          <name val="Arial"/>
          <family val="2"/>
          <scheme val="none"/>
        </font>
        <alignment vertical="bottom"/>
      </dxf>
    </rfmt>
    <rfmt sheetId="19" sqref="U17" start="0" length="0">
      <dxf>
        <font>
          <b/>
          <sz val="9"/>
          <color auto="1"/>
          <name val="Arial"/>
          <family val="2"/>
          <scheme val="none"/>
        </font>
        <alignment vertical="bottom"/>
      </dxf>
    </rfmt>
    <rfmt sheetId="19" sqref="S18" start="0" length="0">
      <dxf>
        <font>
          <b/>
          <sz val="9"/>
          <color auto="1"/>
          <name val="Arial"/>
          <family val="2"/>
          <scheme val="none"/>
        </font>
        <alignment vertical="bottom"/>
      </dxf>
    </rfmt>
    <rfmt sheetId="19" sqref="T18" start="0" length="0">
      <dxf>
        <font>
          <b/>
          <sz val="9"/>
          <color auto="1"/>
          <name val="Arial"/>
          <family val="2"/>
          <scheme val="none"/>
        </font>
        <alignment vertical="bottom"/>
      </dxf>
    </rfmt>
    <rfmt sheetId="19" sqref="U18" start="0" length="0">
      <dxf>
        <font>
          <b/>
          <sz val="9"/>
          <color auto="1"/>
          <name val="Arial"/>
          <family val="2"/>
          <scheme val="none"/>
        </font>
        <alignment vertical="bottom"/>
      </dxf>
    </rfmt>
  </rm>
  <rfmt sheetId="19" sqref="R1:R1048576" start="0" length="0">
    <dxf>
      <border>
        <right style="thin">
          <color auto="1"/>
        </right>
      </border>
    </dxf>
  </rfmt>
  <rfmt sheetId="19" sqref="U1:U1048576" start="0" length="0">
    <dxf>
      <border>
        <right style="thin">
          <color auto="1"/>
        </right>
      </border>
    </dxf>
  </rfmt>
  <rfmt sheetId="19" sqref="V1:V1048576" start="0" length="0">
    <dxf>
      <border>
        <right style="thin">
          <color auto="1"/>
        </right>
      </border>
    </dxf>
  </rfmt>
  <rcc rId="512" sId="19" odxf="1" dxf="1">
    <nc r="V11" t="inlineStr">
      <is>
        <t>correct value, but considerably higher than previous years</t>
      </is>
    </nc>
    <odxf>
      <font>
        <b/>
        <family val="2"/>
      </font>
    </odxf>
    <ndxf>
      <font>
        <b val="0"/>
        <sz val="9"/>
        <color auto="1"/>
        <name val="Arial"/>
        <family val="2"/>
        <scheme val="none"/>
      </font>
    </ndxf>
  </rcc>
  <rm rId="513" sheetId="19" source="B8:C18" destination="E8:F18" sourceSheetId="19">
    <rfmt sheetId="19" sqref="E8" start="0" length="0">
      <dxf>
        <font>
          <b/>
          <sz val="9"/>
          <color auto="1"/>
          <name val="Arial"/>
          <family val="2"/>
          <scheme val="none"/>
        </font>
        <numFmt numFmtId="3" formatCode="#,##0"/>
        <alignment horizontal="left" vertical="bottom"/>
      </dxf>
    </rfmt>
    <rfmt sheetId="19" sqref="F8" start="0" length="0">
      <dxf>
        <font>
          <b/>
          <sz val="9"/>
          <color auto="1"/>
          <name val="Arial"/>
          <family val="2"/>
          <scheme val="none"/>
        </font>
        <alignment horizontal="left" vertical="bottom"/>
      </dxf>
    </rfmt>
    <rfmt sheetId="19" sqref="E9" start="0" length="0">
      <dxf>
        <font>
          <b/>
          <sz val="9"/>
          <color auto="1"/>
          <name val="Arial"/>
          <family val="2"/>
          <scheme val="none"/>
        </font>
        <numFmt numFmtId="3" formatCode="#,##0"/>
        <alignment horizontal="left" vertical="bottom"/>
      </dxf>
    </rfmt>
    <rfmt sheetId="19" sqref="F9" start="0" length="0">
      <dxf>
        <font>
          <b/>
          <sz val="9"/>
          <color auto="1"/>
          <name val="Arial"/>
          <family val="2"/>
          <scheme val="none"/>
        </font>
        <alignment horizontal="left" vertical="bottom"/>
      </dxf>
    </rfmt>
    <rfmt sheetId="19" sqref="E10" start="0" length="0">
      <dxf>
        <font>
          <b/>
          <sz val="9"/>
          <color auto="1"/>
          <name val="Arial"/>
          <family val="2"/>
          <scheme val="none"/>
        </font>
        <numFmt numFmtId="3" formatCode="#,##0"/>
        <alignment horizontal="left" vertical="bottom"/>
      </dxf>
    </rfmt>
    <rfmt sheetId="19" sqref="F10" start="0" length="0">
      <dxf>
        <font>
          <b/>
          <sz val="9"/>
          <color auto="1"/>
          <name val="Arial"/>
          <family val="2"/>
          <scheme val="none"/>
        </font>
        <alignment horizontal="left" vertical="bottom"/>
      </dxf>
    </rfmt>
    <rfmt sheetId="19" sqref="E11" start="0" length="0">
      <dxf>
        <font>
          <b/>
          <sz val="9"/>
          <color auto="1"/>
          <name val="Arial"/>
          <family val="2"/>
          <scheme val="none"/>
        </font>
        <numFmt numFmtId="3" formatCode="#,##0"/>
        <alignment horizontal="left" vertical="bottom"/>
      </dxf>
    </rfmt>
    <rfmt sheetId="19" sqref="F11" start="0" length="0">
      <dxf>
        <font>
          <b/>
          <sz val="9"/>
          <color auto="1"/>
          <name val="Arial"/>
          <family val="2"/>
          <scheme val="none"/>
        </font>
        <alignment horizontal="left" vertical="bottom"/>
      </dxf>
    </rfmt>
    <rfmt sheetId="19" sqref="E12" start="0" length="0">
      <dxf>
        <font>
          <b/>
          <sz val="9"/>
          <color auto="1"/>
          <name val="Arial"/>
          <family val="2"/>
          <scheme val="none"/>
        </font>
        <numFmt numFmtId="3" formatCode="#,##0"/>
        <alignment horizontal="left" vertical="bottom"/>
      </dxf>
    </rfmt>
    <rfmt sheetId="19" sqref="F12" start="0" length="0">
      <dxf>
        <font>
          <b/>
          <sz val="9"/>
          <color auto="1"/>
          <name val="Arial"/>
          <family val="2"/>
          <scheme val="none"/>
        </font>
        <alignment horizontal="left" vertical="bottom"/>
      </dxf>
    </rfmt>
    <rfmt sheetId="19" sqref="E13" start="0" length="0">
      <dxf>
        <font>
          <b/>
          <sz val="9"/>
          <color auto="1"/>
          <name val="Arial"/>
          <family val="2"/>
          <scheme val="none"/>
        </font>
        <numFmt numFmtId="3" formatCode="#,##0"/>
        <alignment horizontal="left" vertical="bottom"/>
      </dxf>
    </rfmt>
    <rfmt sheetId="19" sqref="F13" start="0" length="0">
      <dxf>
        <font>
          <b/>
          <sz val="9"/>
          <color auto="1"/>
          <name val="Arial"/>
          <family val="2"/>
          <scheme val="none"/>
        </font>
        <alignment horizontal="left" vertical="bottom"/>
      </dxf>
    </rfmt>
    <rfmt sheetId="19" sqref="E14" start="0" length="0">
      <dxf>
        <font>
          <b/>
          <sz val="9"/>
          <color auto="1"/>
          <name val="Arial"/>
          <family val="2"/>
          <scheme val="none"/>
        </font>
        <numFmt numFmtId="3" formatCode="#,##0"/>
        <alignment horizontal="left" vertical="bottom"/>
      </dxf>
    </rfmt>
    <rfmt sheetId="19" sqref="F14" start="0" length="0">
      <dxf>
        <font>
          <b/>
          <sz val="9"/>
          <color auto="1"/>
          <name val="Arial"/>
          <family val="2"/>
          <scheme val="none"/>
        </font>
        <alignment horizontal="left" vertical="bottom"/>
      </dxf>
    </rfmt>
    <rfmt sheetId="19" sqref="E15" start="0" length="0">
      <dxf>
        <font>
          <b/>
          <sz val="9"/>
          <color auto="1"/>
          <name val="Arial"/>
          <family val="2"/>
          <scheme val="none"/>
        </font>
        <numFmt numFmtId="3" formatCode="#,##0"/>
        <alignment horizontal="left" vertical="bottom"/>
      </dxf>
    </rfmt>
    <rfmt sheetId="19" sqref="F15" start="0" length="0">
      <dxf>
        <font>
          <b/>
          <sz val="9"/>
          <color auto="1"/>
          <name val="Arial"/>
          <family val="2"/>
          <scheme val="none"/>
        </font>
        <alignment horizontal="left" vertical="bottom"/>
      </dxf>
    </rfmt>
    <rfmt sheetId="19" sqref="E16" start="0" length="0">
      <dxf>
        <font>
          <b/>
          <sz val="9"/>
          <color auto="1"/>
          <name val="Arial"/>
          <family val="2"/>
          <scheme val="none"/>
        </font>
        <numFmt numFmtId="3" formatCode="#,##0"/>
        <alignment horizontal="left" vertical="bottom"/>
      </dxf>
    </rfmt>
    <rfmt sheetId="19" sqref="F16" start="0" length="0">
      <dxf>
        <font>
          <b/>
          <sz val="9"/>
          <color auto="1"/>
          <name val="Arial"/>
          <family val="2"/>
          <scheme val="none"/>
        </font>
        <alignment horizontal="left" vertical="bottom"/>
      </dxf>
    </rfmt>
    <rfmt sheetId="19" sqref="E17" start="0" length="0">
      <dxf>
        <font>
          <b/>
          <sz val="9"/>
          <color auto="1"/>
          <name val="Arial"/>
          <family val="2"/>
          <scheme val="none"/>
        </font>
        <numFmt numFmtId="3" formatCode="#,##0"/>
        <alignment horizontal="left" vertical="bottom"/>
      </dxf>
    </rfmt>
    <rfmt sheetId="19" sqref="F17" start="0" length="0">
      <dxf>
        <font>
          <b/>
          <sz val="9"/>
          <color auto="1"/>
          <name val="Arial"/>
          <family val="2"/>
          <scheme val="none"/>
        </font>
        <alignment horizontal="left" vertical="bottom"/>
      </dxf>
    </rfmt>
    <rfmt sheetId="19" sqref="E18" start="0" length="0">
      <dxf>
        <font>
          <b/>
          <sz val="9"/>
          <color theme="3" tint="0.39997558519241921"/>
          <name val="Arial"/>
          <family val="2"/>
          <scheme val="none"/>
        </font>
        <numFmt numFmtId="3" formatCode="#,##0"/>
        <alignment horizontal="right" vertical="bottom"/>
      </dxf>
    </rfmt>
    <rfmt sheetId="19" sqref="F18" start="0" length="0">
      <dxf>
        <font>
          <b/>
          <sz val="9"/>
          <color theme="3" tint="0.39997558519241921"/>
          <name val="Arial"/>
          <family val="2"/>
          <scheme val="none"/>
        </font>
        <alignment horizontal="left"/>
      </dxf>
    </rfmt>
  </rm>
  <rm rId="514" sheetId="19" source="I8:J18" destination="L8:M18" sourceSheetId="19">
    <rfmt sheetId="19" sqref="L8" start="0" length="0">
      <dxf>
        <font>
          <b/>
          <sz val="9"/>
          <color auto="1"/>
          <name val="Arial"/>
          <family val="2"/>
          <scheme val="none"/>
        </font>
        <alignment vertical="bottom"/>
      </dxf>
    </rfmt>
    <rfmt sheetId="19" sqref="M8" start="0" length="0">
      <dxf>
        <font>
          <sz val="9"/>
          <color auto="1"/>
          <name val="Arial"/>
          <family val="2"/>
          <scheme val="none"/>
        </font>
        <alignment horizontal="left"/>
      </dxf>
    </rfmt>
    <rfmt sheetId="19" sqref="L9" start="0" length="0">
      <dxf>
        <font>
          <b/>
          <sz val="9"/>
          <color auto="1"/>
          <name val="Arial"/>
          <family val="2"/>
          <scheme val="none"/>
        </font>
        <alignment vertical="bottom"/>
      </dxf>
    </rfmt>
    <rfmt sheetId="19" sqref="M9" start="0" length="0">
      <dxf>
        <font>
          <sz val="9"/>
          <color auto="1"/>
          <name val="Arial"/>
          <family val="2"/>
          <scheme val="none"/>
        </font>
        <alignment horizontal="left"/>
      </dxf>
    </rfmt>
    <rfmt sheetId="19" sqref="L10" start="0" length="0">
      <dxf>
        <font>
          <b/>
          <sz val="9"/>
          <color auto="1"/>
          <name val="Arial"/>
          <family val="2"/>
          <scheme val="none"/>
        </font>
        <alignment vertical="bottom"/>
      </dxf>
    </rfmt>
    <rfmt sheetId="19" sqref="M10" start="0" length="0">
      <dxf>
        <font>
          <sz val="9"/>
          <color auto="1"/>
          <name val="Arial"/>
          <family val="2"/>
          <scheme val="none"/>
        </font>
        <alignment horizontal="left"/>
      </dxf>
    </rfmt>
    <rfmt sheetId="19" sqref="L11" start="0" length="0">
      <dxf>
        <font>
          <b/>
          <sz val="9"/>
          <color auto="1"/>
          <name val="Arial"/>
          <family val="2"/>
          <scheme val="none"/>
        </font>
        <alignment vertical="bottom"/>
      </dxf>
    </rfmt>
    <rfmt sheetId="19" sqref="M11" start="0" length="0">
      <dxf>
        <font>
          <sz val="9"/>
          <color auto="1"/>
          <name val="Arial"/>
          <family val="2"/>
          <scheme val="none"/>
        </font>
        <alignment horizontal="left"/>
      </dxf>
    </rfmt>
    <rfmt sheetId="19" sqref="L12" start="0" length="0">
      <dxf>
        <font>
          <b/>
          <sz val="9"/>
          <color auto="1"/>
          <name val="Arial"/>
          <family val="2"/>
          <scheme val="none"/>
        </font>
        <alignment vertical="bottom"/>
      </dxf>
    </rfmt>
    <rfmt sheetId="19" sqref="M12" start="0" length="0">
      <dxf>
        <font>
          <sz val="9"/>
          <color auto="1"/>
          <name val="Arial"/>
          <family val="2"/>
          <scheme val="none"/>
        </font>
        <alignment horizontal="left"/>
      </dxf>
    </rfmt>
    <rfmt sheetId="19" sqref="L13" start="0" length="0">
      <dxf>
        <font>
          <b/>
          <sz val="9"/>
          <color auto="1"/>
          <name val="Arial"/>
          <family val="2"/>
          <scheme val="none"/>
        </font>
        <alignment vertical="bottom"/>
      </dxf>
    </rfmt>
    <rfmt sheetId="19" sqref="M13" start="0" length="0">
      <dxf>
        <font>
          <sz val="9"/>
          <color auto="1"/>
          <name val="Arial"/>
          <family val="2"/>
          <scheme val="none"/>
        </font>
        <alignment horizontal="left"/>
      </dxf>
    </rfmt>
    <rfmt sheetId="19" sqref="L14" start="0" length="0">
      <dxf>
        <font>
          <b/>
          <sz val="9"/>
          <color auto="1"/>
          <name val="Arial"/>
          <family val="2"/>
          <scheme val="none"/>
        </font>
        <alignment vertical="bottom"/>
      </dxf>
    </rfmt>
    <rfmt sheetId="19" sqref="M14" start="0" length="0">
      <dxf>
        <font>
          <sz val="9"/>
          <color auto="1"/>
          <name val="Arial"/>
          <family val="2"/>
          <scheme val="none"/>
        </font>
        <alignment horizontal="left"/>
      </dxf>
    </rfmt>
    <rfmt sheetId="19" sqref="L15" start="0" length="0">
      <dxf>
        <font>
          <b/>
          <sz val="9"/>
          <color auto="1"/>
          <name val="Arial"/>
          <family val="2"/>
          <scheme val="none"/>
        </font>
        <alignment vertical="bottom"/>
      </dxf>
    </rfmt>
    <rfmt sheetId="19" sqref="M15" start="0" length="0">
      <dxf>
        <font>
          <sz val="9"/>
          <color auto="1"/>
          <name val="Arial"/>
          <family val="2"/>
          <scheme val="none"/>
        </font>
        <alignment horizontal="left"/>
      </dxf>
    </rfmt>
    <rfmt sheetId="19" sqref="L16" start="0" length="0">
      <dxf>
        <font>
          <b/>
          <sz val="9"/>
          <color auto="1"/>
          <name val="Arial"/>
          <family val="2"/>
          <scheme val="none"/>
        </font>
        <alignment vertical="bottom"/>
      </dxf>
    </rfmt>
    <rfmt sheetId="19" sqref="M16" start="0" length="0">
      <dxf>
        <font>
          <sz val="9"/>
          <color auto="1"/>
          <name val="Arial"/>
          <family val="2"/>
          <scheme val="none"/>
        </font>
        <alignment horizontal="left"/>
      </dxf>
    </rfmt>
    <rfmt sheetId="19" sqref="L17" start="0" length="0">
      <dxf>
        <font>
          <b/>
          <sz val="9"/>
          <color auto="1"/>
          <name val="Arial"/>
          <family val="2"/>
          <scheme val="none"/>
        </font>
        <alignment vertical="bottom"/>
      </dxf>
    </rfmt>
    <rfmt sheetId="19" sqref="M17" start="0" length="0">
      <dxf>
        <font>
          <sz val="9"/>
          <color auto="1"/>
          <name val="Arial"/>
          <family val="2"/>
          <scheme val="none"/>
        </font>
        <alignment horizontal="left"/>
      </dxf>
    </rfmt>
    <rfmt sheetId="19" sqref="L18" start="0" length="0">
      <dxf>
        <font>
          <b/>
          <sz val="9"/>
          <color auto="1"/>
          <name val="Arial"/>
          <family val="2"/>
          <scheme val="none"/>
        </font>
        <alignment vertical="bottom"/>
      </dxf>
    </rfmt>
    <rfmt sheetId="19" sqref="M18" start="0" length="0">
      <dxf>
        <font>
          <sz val="9"/>
          <color auto="1"/>
          <name val="Arial"/>
          <family val="2"/>
          <scheme val="none"/>
        </font>
        <alignment horizontal="left"/>
      </dxf>
    </rfmt>
  </rm>
  <rfmt sheetId="19" sqref="P115">
    <dxf>
      <numFmt numFmtId="182" formatCode="_(* #,##0.0_);_(* \(#,##0.0\);_(* &quot;-&quot;??_);_(@_)"/>
    </dxf>
  </rfmt>
  <rfmt sheetId="19" sqref="P115">
    <dxf>
      <numFmt numFmtId="181" formatCode="_(* #,##0_);_(* \(#,##0\);_(* &quot;-&quot;??_);_(@_)"/>
    </dxf>
  </rfmt>
  <rfmt sheetId="12" sqref="J6">
    <dxf>
      <alignment horizontal="righ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9">
    <nc r="I12" t="inlineStr">
      <is>
        <t>needed ratio of commercial to industrial to calculate 2003 data</t>
      </is>
    </nc>
  </rcc>
  <rcc rId="516" sId="9">
    <nc r="I13" t="inlineStr">
      <is>
        <t>needed ratio of commercial to industrial to calculate 2003 data</t>
      </is>
    </nc>
  </rcc>
  <rcc rId="517" sId="9" numFmtId="13">
    <oc r="B14">
      <v>0.2</v>
    </oc>
    <nc r="B14">
      <f>F14</f>
    </nc>
  </rcc>
  <rcc rId="518" sId="9" numFmtId="13">
    <oc r="B13">
      <v>0.8</v>
    </oc>
    <nc r="B13">
      <f>F13</f>
    </nc>
  </rcc>
  <rcc rId="519" sId="9">
    <oc r="E13" t="inlineStr">
      <is>
        <t>Assume same as 2005 (in Seattle inventory)</t>
      </is>
    </oc>
    <nc r="E13"/>
  </rcc>
  <rcc rId="520" sId="9">
    <oc r="E14" t="inlineStr">
      <is>
        <t>Assume same as 2005 (in Seattle inventory)</t>
      </is>
    </oc>
    <nc r="E14"/>
  </rcc>
  <rfmt sheetId="9" sqref="E13:E14">
    <dxf>
      <fill>
        <patternFill patternType="none">
          <bgColor auto="1"/>
        </patternFill>
      </fill>
    </dxf>
  </rfmt>
  <rcmt sheetId="9" cell="E13" guid="{00000000-0000-0000-0000-000000000000}" action="delete" alwaysShow="1" author="Andrea Martin"/>
  <rrc rId="521" sId="9" ref="A6:XFD6" action="insertRow"/>
  <rcc rId="522" sId="9" numFmtId="34">
    <nc r="F6">
      <v>28.99</v>
    </nc>
  </rcc>
  <rfmt sheetId="9" sqref="F9">
    <dxf>
      <numFmt numFmtId="2" formatCode="0.00"/>
    </dxf>
  </rfmt>
  <rfmt sheetId="9" sqref="F9">
    <dxf>
      <numFmt numFmtId="170" formatCode="0.000"/>
    </dxf>
  </rfmt>
  <rfmt sheetId="9" sqref="F9">
    <dxf>
      <numFmt numFmtId="166" formatCode="0.0000"/>
    </dxf>
  </rfmt>
  <rfmt sheetId="9" sqref="F6">
    <dxf>
      <numFmt numFmtId="182" formatCode="_(* #,##0.0_);_(* \(#,##0.0\);_(* &quot;-&quot;??_);_(@_)"/>
    </dxf>
  </rfmt>
  <rfmt sheetId="9" sqref="F6">
    <dxf>
      <numFmt numFmtId="35" formatCode="_(* #,##0.00_);_(* \(#,##0.00\);_(* &quot;-&quot;??_);_(@_)"/>
    </dxf>
  </rfmt>
  <rcc rId="523" sId="9">
    <oc r="H7" t="inlineStr">
      <is>
        <t>KC08-63-1_FuelMixPSE-SCL</t>
      </is>
    </oc>
    <nc r="H7"/>
  </rcc>
  <rcc rId="524" sId="9" numFmtId="4">
    <oc r="F7">
      <v>1.315E-2</v>
    </oc>
    <nc r="F7">
      <f>F6/2000</f>
    </nc>
  </rcc>
  <rcc rId="525" sId="9">
    <nc r="G6" t="inlineStr">
      <is>
        <t>lbs/MWh</t>
      </is>
    </nc>
  </rcc>
  <rcc rId="526" sId="18">
    <oc r="B18">
      <f>SUM(B7:B9)</f>
    </oc>
    <nc r="B18">
      <f>SUM(B7:B9)</f>
    </nc>
  </rcc>
  <rcc rId="527" sId="11" numFmtId="4">
    <oc r="O40">
      <v>54067</v>
    </oc>
    <nc r="O40">
      <f>54067+209</f>
    </nc>
  </rcc>
  <rcmt sheetId="11" cell="O40" guid="{00000000-0000-0000-0000-000000000000}" action="delete" alwaysShow="1" author="Andrea Martin"/>
  <rcc rId="528" sId="11">
    <nc r="R40" t="inlineStr">
      <is>
        <t>cells F35 D35</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4" sqref="B101">
    <dxf>
      <fill>
        <patternFill patternType="solid">
          <bgColor rgb="FFFFFF00"/>
        </patternFill>
      </fill>
    </dxf>
  </rfmt>
  <rfmt sheetId="14" sqref="F101">
    <dxf>
      <fill>
        <patternFill patternType="solid">
          <bgColor rgb="FFFFFF00"/>
        </patternFill>
      </fill>
    </dxf>
  </rfmt>
  <rfmt sheetId="14" sqref="K101">
    <dxf>
      <fill>
        <patternFill>
          <bgColor rgb="FFFFFF00"/>
        </patternFill>
      </fill>
    </dxf>
  </rfmt>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9" sId="8" xfDxf="1" dxf="1">
    <nc r="A9" t="inlineStr">
      <is>
        <t>Ind- Operations</t>
      </is>
    </nc>
  </rcc>
  <rcc rId="530" sId="8">
    <nc r="B9" t="inlineStr">
      <is>
        <t>Andrea M</t>
      </is>
    </nc>
  </rcc>
  <rcc rId="531" sId="8" odxf="1" dxf="1" numFmtId="19">
    <nc r="C9">
      <v>42872</v>
    </nc>
    <odxf>
      <numFmt numFmtId="0" formatCode="General"/>
    </odxf>
    <ndxf>
      <numFmt numFmtId="19" formatCode="m/d/yyyy"/>
    </ndxf>
  </rcc>
  <rcc rId="532" sId="8">
    <nc r="E6" t="inlineStr">
      <is>
        <t>QC complete</t>
      </is>
    </nc>
  </rcc>
  <rcc rId="533" sId="8">
    <nc r="E7" t="inlineStr">
      <is>
        <t>QC complete</t>
      </is>
    </nc>
  </rcc>
  <rcc rId="534" sId="8">
    <nc r="E8" t="inlineStr">
      <is>
        <t>QC complete</t>
      </is>
    </nc>
  </rcc>
  <rcc rId="535" sId="8">
    <nc r="E9" t="inlineStr">
      <is>
        <t>QC complete</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5" sqref="L13">
    <dxf>
      <alignment wrapText="1"/>
    </dxf>
  </rfmt>
  <rcc rId="541" sId="8" xfDxf="1" dxf="1">
    <nc r="A10" t="inlineStr">
      <is>
        <t>Ind- Process</t>
      </is>
    </nc>
  </rcc>
  <rcc rId="542" sId="8">
    <nc r="B10" t="inlineStr">
      <is>
        <t>Andrea M</t>
      </is>
    </nc>
  </rcc>
  <rcc rId="543" sId="8" odxf="1" dxf="1" numFmtId="19">
    <nc r="C10">
      <v>42872</v>
    </nc>
    <odxf>
      <numFmt numFmtId="0" formatCode="General"/>
    </odxf>
    <ndxf>
      <numFmt numFmtId="19" formatCode="m/d/yyyy"/>
    </ndxf>
  </rcc>
  <rcc rId="544" sId="8">
    <nc r="E10" t="inlineStr">
      <is>
        <t>QC complete</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B25">
    <dxf>
      <fill>
        <patternFill patternType="solid">
          <bgColor rgb="FFFFFF00"/>
        </patternFill>
      </fill>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14">
    <nc r="N59" t="inlineStr">
      <is>
        <t>Lafarge currently not producing cement in Seattle plant</t>
      </is>
    </nc>
  </rcc>
  <rfmt sheetId="14" sqref="N59">
    <dxf>
      <alignment wrapText="0"/>
    </dxf>
  </rfmt>
  <rcc rId="546" sId="14" odxf="1" dxf="1">
    <nc r="N74" t="inlineStr">
      <is>
        <t>Lafarge currently not producing cement in Seattle plant</t>
      </is>
    </nc>
    <odxf>
      <alignment vertical="bottom" wrapText="1"/>
    </odxf>
    <ndxf>
      <alignment vertical="top" wrapText="0"/>
    </ndxf>
  </rcc>
  <rcc rId="547" sId="14">
    <oc r="C39" t="inlineStr">
      <is>
        <r>
          <t>MgCO</t>
        </r>
        <r>
          <rPr>
            <b/>
            <vertAlign val="subscript"/>
            <sz val="9"/>
            <rFont val="Arial"/>
            <family val="2"/>
          </rPr>
          <t>2</t>
        </r>
      </is>
    </oc>
    <nc r="C39" t="inlineStr">
      <is>
        <r>
          <t>MgCO</t>
        </r>
        <r>
          <rPr>
            <b/>
            <vertAlign val="subscript"/>
            <sz val="9"/>
            <rFont val="Arial"/>
            <family val="2"/>
          </rPr>
          <t>2</t>
        </r>
        <r>
          <rPr>
            <b/>
            <sz val="9"/>
            <rFont val="Arial"/>
            <family val="2"/>
          </rPr>
          <t>e</t>
        </r>
      </is>
    </nc>
  </rcc>
  <rcc rId="548" sId="14">
    <oc r="G39" t="inlineStr">
      <is>
        <r>
          <t>MgCO</t>
        </r>
        <r>
          <rPr>
            <b/>
            <vertAlign val="subscript"/>
            <sz val="9"/>
            <rFont val="Arial"/>
            <family val="2"/>
          </rPr>
          <t>2</t>
        </r>
      </is>
    </oc>
    <nc r="G39" t="inlineStr">
      <is>
        <r>
          <t>MgCO</t>
        </r>
        <r>
          <rPr>
            <b/>
            <vertAlign val="subscript"/>
            <sz val="9"/>
            <rFont val="Arial"/>
            <family val="2"/>
          </rPr>
          <t>2</t>
        </r>
        <r>
          <rPr>
            <b/>
            <sz val="9"/>
            <rFont val="Arial"/>
            <family val="2"/>
          </rPr>
          <t>e</t>
        </r>
      </is>
    </nc>
  </rcc>
  <rcc rId="549" sId="14">
    <oc r="L39" t="inlineStr">
      <is>
        <r>
          <t>MgCO</t>
        </r>
        <r>
          <rPr>
            <b/>
            <vertAlign val="subscript"/>
            <sz val="9"/>
            <rFont val="Arial"/>
            <family val="2"/>
          </rPr>
          <t>2</t>
        </r>
      </is>
    </oc>
    <nc r="L39" t="inlineStr">
      <is>
        <r>
          <t>MgCO</t>
        </r>
        <r>
          <rPr>
            <b/>
            <vertAlign val="subscript"/>
            <sz val="9"/>
            <rFont val="Arial"/>
            <family val="2"/>
          </rPr>
          <t>2</t>
        </r>
        <r>
          <rPr>
            <b/>
            <sz val="9"/>
            <rFont val="Arial"/>
            <family val="2"/>
          </rPr>
          <t>e</t>
        </r>
      </is>
    </nc>
  </rcc>
  <rcc rId="550" sId="14">
    <oc r="L30" t="inlineStr">
      <is>
        <r>
          <t>MgCO</t>
        </r>
        <r>
          <rPr>
            <b/>
            <vertAlign val="subscript"/>
            <sz val="9"/>
            <color theme="3" tint="0.39997558519241921"/>
            <rFont val="Arial"/>
            <family val="2"/>
          </rPr>
          <t>2</t>
        </r>
      </is>
    </oc>
    <nc r="L30" t="inlineStr">
      <is>
        <r>
          <t>MgCO</t>
        </r>
        <r>
          <rPr>
            <b/>
            <vertAlign val="subscript"/>
            <sz val="9"/>
            <color theme="3" tint="0.39997558519241921"/>
            <rFont val="Arial"/>
            <family val="2"/>
          </rPr>
          <t>2</t>
        </r>
        <r>
          <rPr>
            <b/>
            <sz val="9"/>
            <color theme="3" tint="0.39994506668294322"/>
            <rFont val="Arial"/>
            <family val="2"/>
          </rPr>
          <t>e</t>
        </r>
      </is>
    </nc>
  </rcc>
  <rcc rId="551" sId="14">
    <oc r="G30" t="inlineStr">
      <is>
        <r>
          <t>MgCO</t>
        </r>
        <r>
          <rPr>
            <b/>
            <vertAlign val="subscript"/>
            <sz val="9"/>
            <color theme="3" tint="0.39997558519241921"/>
            <rFont val="Arial"/>
            <family val="2"/>
          </rPr>
          <t>2</t>
        </r>
      </is>
    </oc>
    <nc r="G30" t="inlineStr">
      <is>
        <r>
          <t>MgCO</t>
        </r>
        <r>
          <rPr>
            <b/>
            <vertAlign val="subscript"/>
            <sz val="9"/>
            <color theme="3" tint="0.39997558519241921"/>
            <rFont val="Arial"/>
            <family val="2"/>
          </rPr>
          <t>2</t>
        </r>
        <r>
          <rPr>
            <b/>
            <sz val="9"/>
            <color theme="3" tint="0.39994506668294322"/>
            <rFont val="Arial"/>
            <family val="2"/>
          </rPr>
          <t>e</t>
        </r>
      </is>
    </nc>
  </rcc>
  <rcc rId="552" sId="14">
    <oc r="C30" t="inlineStr">
      <is>
        <r>
          <t>MgCO</t>
        </r>
        <r>
          <rPr>
            <b/>
            <vertAlign val="subscript"/>
            <sz val="9"/>
            <color theme="3" tint="0.39997558519241921"/>
            <rFont val="Arial"/>
            <family val="2"/>
          </rPr>
          <t>2</t>
        </r>
      </is>
    </oc>
    <nc r="C30" t="inlineStr">
      <is>
        <r>
          <t>MgCO</t>
        </r>
        <r>
          <rPr>
            <b/>
            <vertAlign val="subscript"/>
            <sz val="9"/>
            <color theme="3" tint="0.39997558519241921"/>
            <rFont val="Arial"/>
            <family val="2"/>
          </rPr>
          <t>2</t>
        </r>
        <r>
          <rPr>
            <b/>
            <sz val="9"/>
            <color theme="3" tint="0.39994506668294322"/>
            <rFont val="Arial"/>
            <family val="2"/>
          </rPr>
          <t>e</t>
        </r>
      </is>
    </nc>
  </rcc>
  <rcc rId="553" sId="14">
    <oc r="L48" t="inlineStr">
      <is>
        <r>
          <t>MgCO</t>
        </r>
        <r>
          <rPr>
            <b/>
            <vertAlign val="subscript"/>
            <sz val="9"/>
            <rFont val="Arial"/>
            <family val="2"/>
          </rPr>
          <t>2</t>
        </r>
      </is>
    </oc>
    <nc r="L48" t="inlineStr">
      <is>
        <r>
          <t>MgCO</t>
        </r>
        <r>
          <rPr>
            <b/>
            <vertAlign val="subscript"/>
            <sz val="9"/>
            <rFont val="Arial"/>
            <family val="2"/>
          </rPr>
          <t>2</t>
        </r>
        <r>
          <rPr>
            <b/>
            <sz val="9"/>
            <rFont val="Arial"/>
            <family val="2"/>
          </rPr>
          <t>e</t>
        </r>
      </is>
    </nc>
  </rcc>
  <rcc rId="554" sId="14">
    <oc r="G48" t="inlineStr">
      <is>
        <r>
          <t>MgCO</t>
        </r>
        <r>
          <rPr>
            <b/>
            <vertAlign val="subscript"/>
            <sz val="9"/>
            <rFont val="Arial"/>
            <family val="2"/>
          </rPr>
          <t>2</t>
        </r>
      </is>
    </oc>
    <nc r="G48" t="inlineStr">
      <is>
        <r>
          <t>MgCO</t>
        </r>
        <r>
          <rPr>
            <b/>
            <vertAlign val="subscript"/>
            <sz val="9"/>
            <rFont val="Arial"/>
            <family val="2"/>
          </rPr>
          <t>2</t>
        </r>
        <r>
          <rPr>
            <b/>
            <sz val="9"/>
            <rFont val="Arial"/>
            <family val="2"/>
          </rPr>
          <t>e</t>
        </r>
      </is>
    </nc>
  </rcc>
  <rcc rId="555" sId="14">
    <oc r="C48" t="inlineStr">
      <is>
        <r>
          <t>MgCO</t>
        </r>
        <r>
          <rPr>
            <b/>
            <vertAlign val="subscript"/>
            <sz val="9"/>
            <rFont val="Arial"/>
            <family val="2"/>
          </rPr>
          <t>2</t>
        </r>
      </is>
    </oc>
    <nc r="C48" t="inlineStr">
      <is>
        <r>
          <t>MgCO</t>
        </r>
        <r>
          <rPr>
            <b/>
            <vertAlign val="subscript"/>
            <sz val="9"/>
            <rFont val="Arial"/>
            <family val="2"/>
          </rPr>
          <t>2</t>
        </r>
        <r>
          <rPr>
            <b/>
            <sz val="9"/>
            <rFont val="Arial"/>
            <family val="2"/>
          </rPr>
          <t>e</t>
        </r>
      </is>
    </nc>
  </rcc>
  <rcc rId="556" sId="14">
    <oc r="C51" t="inlineStr">
      <is>
        <r>
          <t>MgCO</t>
        </r>
        <r>
          <rPr>
            <b/>
            <vertAlign val="subscript"/>
            <sz val="9"/>
            <color theme="3" tint="0.39997558519241921"/>
            <rFont val="Arial"/>
            <family val="2"/>
          </rPr>
          <t>2</t>
        </r>
      </is>
    </oc>
    <nc r="C51" t="inlineStr">
      <is>
        <r>
          <t>MgCO</t>
        </r>
        <r>
          <rPr>
            <b/>
            <vertAlign val="subscript"/>
            <sz val="9"/>
            <color theme="3" tint="0.39997558519241921"/>
            <rFont val="Arial"/>
            <family val="2"/>
          </rPr>
          <t>2</t>
        </r>
        <r>
          <rPr>
            <b/>
            <sz val="9"/>
            <color theme="3" tint="0.39994506668294322"/>
            <rFont val="Arial"/>
            <family val="2"/>
          </rPr>
          <t>e</t>
        </r>
      </is>
    </nc>
  </rcc>
  <rcc rId="557" sId="14">
    <oc r="G51" t="inlineStr">
      <is>
        <r>
          <t>MgCO</t>
        </r>
        <r>
          <rPr>
            <b/>
            <vertAlign val="subscript"/>
            <sz val="9"/>
            <color theme="3" tint="0.39997558519241921"/>
            <rFont val="Arial"/>
            <family val="2"/>
          </rPr>
          <t>2</t>
        </r>
      </is>
    </oc>
    <nc r="G51" t="inlineStr">
      <is>
        <r>
          <t>MgCO</t>
        </r>
        <r>
          <rPr>
            <b/>
            <vertAlign val="subscript"/>
            <sz val="9"/>
            <color theme="3" tint="0.39997558519241921"/>
            <rFont val="Arial"/>
            <family val="2"/>
          </rPr>
          <t>2</t>
        </r>
        <r>
          <rPr>
            <b/>
            <sz val="9"/>
            <color theme="3" tint="0.39994506668294322"/>
            <rFont val="Arial"/>
            <family val="2"/>
          </rPr>
          <t>e</t>
        </r>
      </is>
    </nc>
  </rcc>
  <rcc rId="558" sId="14">
    <oc r="L51" t="inlineStr">
      <is>
        <r>
          <t>MgCO</t>
        </r>
        <r>
          <rPr>
            <b/>
            <vertAlign val="subscript"/>
            <sz val="9"/>
            <color theme="3" tint="0.39997558519241921"/>
            <rFont val="Arial"/>
            <family val="2"/>
          </rPr>
          <t>2</t>
        </r>
      </is>
    </oc>
    <nc r="L51" t="inlineStr">
      <is>
        <r>
          <t>MgCO</t>
        </r>
        <r>
          <rPr>
            <b/>
            <vertAlign val="subscript"/>
            <sz val="9"/>
            <color theme="3" tint="0.39997558519241921"/>
            <rFont val="Arial"/>
            <family val="2"/>
          </rPr>
          <t>2</t>
        </r>
        <r>
          <rPr>
            <b/>
            <sz val="9"/>
            <color theme="3" tint="0.39994506668294322"/>
            <rFont val="Arial"/>
            <family val="2"/>
          </rPr>
          <t>e</t>
        </r>
      </is>
    </nc>
  </rcc>
  <rcmt sheetId="14" cell="D86" guid="{00000000-0000-0000-0000-000000000000}" action="delete" alwaysShow="1" author="Chelsea"/>
  <rcmt sheetId="14" cell="H86" guid="{00000000-0000-0000-0000-000000000000}" action="delete" alwaysShow="1" author="Chelsea"/>
  <rcc rId="559" sId="14" odxf="1" dxf="1">
    <nc r="E86" t="inlineStr">
      <is>
        <t>test engine not for planes</t>
      </is>
    </nc>
    <odxf>
      <font>
        <b/>
        <family val="2"/>
      </font>
    </odxf>
    <ndxf>
      <font>
        <b val="0"/>
        <sz val="9"/>
        <color auto="1"/>
        <name val="Arial"/>
        <family val="2"/>
        <scheme val="none"/>
      </font>
    </ndxf>
  </rcc>
  <rfmt sheetId="14" sqref="E86">
    <dxf>
      <alignment wrapText="0"/>
    </dxf>
  </rfmt>
  <rcc rId="560" sId="14" odxf="1" dxf="1">
    <nc r="J86" t="inlineStr">
      <is>
        <t>test engine not for planes</t>
      </is>
    </nc>
    <odxf>
      <numFmt numFmtId="0" formatCode="General"/>
      <alignment horizontal="left"/>
      <border outline="0">
        <left style="thin">
          <color indexed="64"/>
        </left>
      </border>
    </odxf>
    <ndxf>
      <numFmt numFmtId="3" formatCode="#,##0"/>
      <alignment horizontal="general"/>
      <border outline="0">
        <left/>
      </border>
    </ndxf>
  </rcc>
  <rcc rId="561" sId="14" odxf="1" dxf="1">
    <nc r="N86" t="inlineStr">
      <is>
        <t>test engine not for planes</t>
      </is>
    </nc>
    <odxf>
      <font>
        <b/>
        <family val="2"/>
      </font>
      <numFmt numFmtId="30" formatCode="@"/>
      <alignment wrapText="1"/>
    </odxf>
    <ndxf>
      <font>
        <b val="0"/>
        <sz val="9"/>
        <color auto="1"/>
        <name val="Arial"/>
        <family val="2"/>
        <scheme val="none"/>
      </font>
      <numFmt numFmtId="3" formatCode="#,##0"/>
      <alignment wrapText="0"/>
    </ndxf>
  </rcc>
  <rcmt sheetId="14" cell="K97" guid="{00000000-0000-0000-0000-000000000000}" action="delete" alwaysShow="1" author="Andrea Martin"/>
  <rcc rId="562" sId="14" odxf="1" dxf="1">
    <nc r="C102" t="inlineStr">
      <is>
        <t>mmbtu</t>
      </is>
    </nc>
    <odxf>
      <font>
        <family val="2"/>
      </font>
    </odxf>
    <ndxf>
      <font>
        <sz val="9"/>
        <color auto="1"/>
        <name val="Arial"/>
        <family val="2"/>
        <scheme val="none"/>
      </font>
    </ndxf>
  </rcc>
  <rcc rId="563" sId="14" odxf="1" dxf="1">
    <nc r="G102" t="inlineStr">
      <is>
        <t>mmbtu</t>
      </is>
    </nc>
    <odxf>
      <font>
        <family val="2"/>
      </font>
    </odxf>
    <ndxf>
      <font>
        <sz val="9"/>
        <color auto="1"/>
        <name val="Arial"/>
        <family val="2"/>
        <scheme val="none"/>
      </font>
    </ndxf>
  </rcc>
  <rcmt sheetId="14" cell="G102" guid="{00000000-0000-0000-0000-000000000000}" action="delete" alwaysShow="1" author="Andrea Martin"/>
  <rcmt sheetId="14" cell="C102" guid="{00000000-0000-0000-0000-000000000000}" action="delete" alwaysShow="1" author="Andrea Martin"/>
  <rcc rId="564" sId="14">
    <oc r="B101">
      <f>B100-B28-'Ind- Small Equip'!#REF!</f>
    </oc>
    <nc r="B101">
      <f>B100-B28-'Ind- Small Equip'!#REF!</f>
    </nc>
  </rcc>
  <rcmt sheetId="14" cell="B86" guid="{00000000-0000-0000-0000-000000000000}" action="delete" alwaysShow="1" author="Andrea Martin"/>
  <rcc rId="565" sId="14" odxf="1" dxf="1">
    <nc r="C9" t="inlineStr">
      <is>
        <t>1000 Therms</t>
      </is>
    </nc>
    <odxf>
      <font>
        <sz val="9"/>
        <color auto="1"/>
        <name val="Arial"/>
        <family val="2"/>
        <scheme val="none"/>
      </font>
    </odxf>
    <ndxf>
      <font>
        <sz val="9"/>
        <color auto="1"/>
        <name val="Arial"/>
        <family val="2"/>
        <scheme val="none"/>
      </font>
    </ndxf>
  </rcc>
  <rcc rId="566" sId="14" odxf="1" dxf="1">
    <nc r="C10" t="inlineStr">
      <is>
        <t>1000 Therms</t>
      </is>
    </nc>
    <odxf>
      <font>
        <sz val="9"/>
        <color auto="1"/>
        <name val="Arial"/>
        <family val="2"/>
        <scheme val="none"/>
      </font>
    </odxf>
    <ndxf>
      <font>
        <sz val="9"/>
        <color auto="1"/>
        <name val="Arial"/>
        <family val="2"/>
        <scheme val="none"/>
      </font>
    </ndxf>
  </rcc>
  <rcc rId="567" sId="14" odxf="1" dxf="1">
    <nc r="C11" t="inlineStr">
      <is>
        <t>1000 Therms</t>
      </is>
    </nc>
    <odxf>
      <font>
        <sz val="9"/>
        <color auto="1"/>
        <name val="Arial"/>
        <family val="2"/>
        <scheme val="none"/>
      </font>
    </odxf>
    <ndxf>
      <font>
        <sz val="9"/>
        <color auto="1"/>
        <name val="Arial"/>
        <family val="2"/>
        <scheme val="none"/>
      </font>
    </ndxf>
  </rcc>
  <rcc rId="568" sId="14" odxf="1" dxf="1">
    <nc r="C12" t="inlineStr">
      <is>
        <t>1000 Therms</t>
      </is>
    </nc>
    <odxf>
      <font>
        <sz val="9"/>
        <color auto="1"/>
        <name val="Arial"/>
        <family val="2"/>
        <scheme val="none"/>
      </font>
    </odxf>
    <ndxf>
      <font>
        <sz val="9"/>
        <color auto="1"/>
        <name val="Arial"/>
        <family val="2"/>
        <scheme val="none"/>
      </font>
    </ndxf>
  </rcc>
  <rcc rId="569" sId="14" odxf="1" dxf="1">
    <nc r="C13" t="inlineStr">
      <is>
        <t>Therm</t>
      </is>
    </nc>
    <odxf>
      <font>
        <sz val="9"/>
        <color auto="1"/>
        <name val="Arial"/>
        <family val="2"/>
        <scheme val="none"/>
      </font>
    </odxf>
    <ndxf>
      <font>
        <sz val="9"/>
        <color auto="1"/>
        <name val="Arial"/>
        <family val="2"/>
        <scheme val="none"/>
      </font>
    </ndxf>
  </rcc>
  <rcc rId="570" sId="14" odxf="1" dxf="1">
    <nc r="C14" t="inlineStr">
      <is>
        <t>Million Cu Ft Burned</t>
      </is>
    </nc>
    <odxf>
      <font>
        <sz val="9"/>
        <color auto="1"/>
        <name val="Arial"/>
        <family val="2"/>
        <scheme val="none"/>
      </font>
    </odxf>
    <ndxf>
      <font>
        <sz val="9"/>
        <color auto="1"/>
        <name val="Arial"/>
        <family val="2"/>
        <scheme val="none"/>
      </font>
    </ndxf>
  </rcc>
  <rcc rId="571" sId="14" odxf="1" dxf="1">
    <nc r="C15" t="inlineStr">
      <is>
        <t>Million Cu Ft Burned</t>
      </is>
    </nc>
    <odxf>
      <font>
        <sz val="9"/>
        <color auto="1"/>
        <name val="Arial"/>
        <family val="2"/>
        <scheme val="none"/>
      </font>
    </odxf>
    <ndxf>
      <font>
        <sz val="9"/>
        <color auto="1"/>
        <name val="Arial"/>
        <family val="2"/>
        <scheme val="none"/>
      </font>
    </ndxf>
  </rcc>
  <rcc rId="572" sId="14" odxf="1" dxf="1">
    <nc r="C16" t="inlineStr">
      <is>
        <t>1000 Therms</t>
      </is>
    </nc>
    <odxf>
      <font>
        <sz val="9"/>
        <color auto="1"/>
        <name val="Arial"/>
        <family val="2"/>
        <scheme val="none"/>
      </font>
    </odxf>
    <ndxf>
      <font>
        <sz val="9"/>
        <color auto="1"/>
        <name val="Arial"/>
        <family val="2"/>
        <scheme val="none"/>
      </font>
    </ndxf>
  </rcc>
  <rcc rId="573" sId="14" odxf="1" dxf="1">
    <nc r="C17" t="inlineStr">
      <is>
        <t>1000 Therms</t>
      </is>
    </nc>
    <odxf>
      <font>
        <sz val="9"/>
        <color auto="1"/>
        <name val="Arial"/>
        <family val="2"/>
        <scheme val="none"/>
      </font>
    </odxf>
    <ndxf>
      <font>
        <sz val="9"/>
        <color auto="1"/>
        <name val="Arial"/>
        <family val="2"/>
        <scheme val="none"/>
      </font>
    </ndxf>
  </rcc>
  <rcc rId="574" sId="14" odxf="1" dxf="1">
    <nc r="C18" t="inlineStr">
      <is>
        <t>Million Cu Ft</t>
      </is>
    </nc>
    <odxf>
      <font>
        <sz val="9"/>
        <color auto="1"/>
        <name val="Arial"/>
        <family val="2"/>
        <scheme val="none"/>
      </font>
    </odxf>
    <ndxf>
      <font>
        <sz val="9"/>
        <color auto="1"/>
        <name val="Arial"/>
        <family val="2"/>
        <scheme val="none"/>
      </font>
    </ndxf>
  </rcc>
  <rcc rId="575" sId="14" odxf="1" dxf="1">
    <nc r="C19" t="inlineStr">
      <is>
        <t>1000 Therms</t>
      </is>
    </nc>
    <odxf>
      <font>
        <sz val="9"/>
        <color auto="1"/>
        <name val="Arial"/>
        <family val="2"/>
        <scheme val="none"/>
      </font>
    </odxf>
    <ndxf>
      <font>
        <sz val="9"/>
        <color auto="1"/>
        <name val="Arial"/>
        <family val="2"/>
        <scheme val="none"/>
      </font>
    </ndxf>
  </rcc>
  <rcc rId="576" sId="14" odxf="1" dxf="1">
    <nc r="C20" t="inlineStr">
      <is>
        <t>1000 Therms</t>
      </is>
    </nc>
    <odxf>
      <font>
        <sz val="9"/>
        <color auto="1"/>
        <name val="Arial"/>
        <family val="2"/>
        <scheme val="none"/>
      </font>
    </odxf>
    <ndxf>
      <font>
        <sz val="9"/>
        <color auto="1"/>
        <name val="Arial"/>
        <family val="2"/>
        <scheme val="none"/>
      </font>
    </ndxf>
  </rcc>
  <rcc rId="577" sId="14" odxf="1" dxf="1">
    <nc r="C21" t="inlineStr">
      <is>
        <t>1000 Therms</t>
      </is>
    </nc>
    <odxf>
      <font>
        <sz val="9"/>
        <color auto="1"/>
        <name val="Arial"/>
        <family val="2"/>
        <scheme val="none"/>
      </font>
    </odxf>
    <ndxf>
      <font>
        <sz val="9"/>
        <color auto="1"/>
        <name val="Arial"/>
        <family val="2"/>
        <scheme val="none"/>
      </font>
    </ndxf>
  </rcc>
  <rcmt sheetId="14" cell="C9" guid="{00000000-0000-0000-0000-000000000000}" action="delete" alwaysShow="1" author="Andrea Martin"/>
  <rcc rId="578" sId="14">
    <nc r="E13" t="inlineStr">
      <is>
        <t>below threshold</t>
      </is>
    </nc>
  </rcc>
  <rfmt sheetId="14" sqref="E13">
    <dxf>
      <alignment wrapText="0"/>
    </dxf>
  </rfmt>
  <rcmt sheetId="14" cell="B13" guid="{00000000-0000-0000-0000-000000000000}" action="delete" alwaysShow="1" author="Andrea Martin"/>
  <rcmt sheetId="14" cell="H12" guid="{00000000-0000-0000-0000-000000000000}" action="delete" alwaysShow="1" author="Chelsea"/>
  <rcmt sheetId="14" cell="H11" guid="{00000000-0000-0000-0000-000000000000}" action="delete" alwaysShow="1" author="Chelsea"/>
  <rcmt sheetId="14" cell="H10" guid="{00000000-0000-0000-0000-000000000000}" action="delete" alwaysShow="1" author="Chelsea"/>
  <rcmt sheetId="14" cell="H9" guid="{00000000-0000-0000-0000-000000000000}" action="delete" alwaysShow="1" author="Chelsea"/>
  <rcmt sheetId="14" cell="B39" guid="{00000000-0000-0000-0000-000000000000}" action="delete" alwaysShow="1" author="Andrea Martin"/>
  <rcc rId="579" sId="15">
    <oc r="M35" t="inlineStr">
      <is>
        <t>p. 326</t>
      </is>
    </oc>
    <nc r="M35" t="inlineStr">
      <is>
        <t>p. 326- do not have file</t>
      </is>
    </nc>
  </rcc>
  <rcc rId="580" sId="15">
    <oc r="M36" t="inlineStr">
      <is>
        <t>p. 326</t>
      </is>
    </oc>
    <nc r="M36" t="inlineStr">
      <is>
        <t>p. 326 - do not have file</t>
      </is>
    </nc>
  </rcc>
  <rfmt sheetId="15" sqref="L35:L36">
    <dxf>
      <fill>
        <patternFill patternType="none">
          <bgColor auto="1"/>
        </patternFill>
      </fill>
    </dxf>
  </rfmt>
  <rcc rId="581" sId="15">
    <oc r="G55" t="inlineStr">
      <is>
        <r>
          <t>MgCO</t>
        </r>
        <r>
          <rPr>
            <b/>
            <vertAlign val="subscript"/>
            <sz val="9"/>
            <rFont val="Arial"/>
            <family val="2"/>
          </rPr>
          <t>2</t>
        </r>
      </is>
    </oc>
    <nc r="G55" t="inlineStr">
      <is>
        <r>
          <t>MgCO</t>
        </r>
        <r>
          <rPr>
            <b/>
            <vertAlign val="subscript"/>
            <sz val="9"/>
            <rFont val="Arial"/>
            <family val="2"/>
          </rPr>
          <t>2</t>
        </r>
        <r>
          <rPr>
            <b/>
            <sz val="9"/>
            <rFont val="Arial"/>
            <family val="2"/>
          </rPr>
          <t>e</t>
        </r>
      </is>
    </nc>
  </rcc>
  <rcc rId="582" sId="15">
    <oc r="K55" t="inlineStr">
      <is>
        <r>
          <t>MgCO</t>
        </r>
        <r>
          <rPr>
            <b/>
            <vertAlign val="subscript"/>
            <sz val="9"/>
            <rFont val="Arial"/>
            <family val="2"/>
          </rPr>
          <t>2</t>
        </r>
      </is>
    </oc>
    <nc r="K55" t="inlineStr">
      <is>
        <r>
          <t>MgCO</t>
        </r>
        <r>
          <rPr>
            <b/>
            <vertAlign val="subscript"/>
            <sz val="9"/>
            <rFont val="Arial"/>
            <family val="2"/>
          </rPr>
          <t>2</t>
        </r>
        <r>
          <rPr>
            <b/>
            <sz val="9"/>
            <rFont val="Arial"/>
            <family val="2"/>
          </rPr>
          <t>e</t>
        </r>
      </is>
    </nc>
  </rcc>
  <rcc rId="583" sId="15">
    <oc r="C55" t="inlineStr">
      <is>
        <r>
          <t>MgCO</t>
        </r>
        <r>
          <rPr>
            <b/>
            <vertAlign val="subscript"/>
            <sz val="9"/>
            <rFont val="Arial"/>
            <family val="2"/>
          </rPr>
          <t>2</t>
        </r>
      </is>
    </oc>
    <nc r="C55" t="inlineStr">
      <is>
        <r>
          <t>MgCO</t>
        </r>
        <r>
          <rPr>
            <b/>
            <vertAlign val="subscript"/>
            <sz val="9"/>
            <rFont val="Arial"/>
            <family val="2"/>
          </rPr>
          <t>2</t>
        </r>
        <r>
          <rPr>
            <b/>
            <sz val="9"/>
            <rFont val="Arial"/>
            <family val="2"/>
          </rPr>
          <t>e</t>
        </r>
      </is>
    </nc>
  </rcc>
  <rfmt sheetId="15" xfDxf="1" sqref="C59" start="0" length="0">
    <dxf>
      <fill>
        <patternFill patternType="solid">
          <bgColor theme="9"/>
        </patternFill>
      </fill>
    </dxf>
  </rfmt>
  <rcc rId="584" sId="15">
    <nc r="C59" t="inlineStr">
      <is>
        <r>
          <t>MgCO</t>
        </r>
        <r>
          <rPr>
            <b/>
            <vertAlign val="subscript"/>
            <sz val="9"/>
            <rFont val="Arial"/>
            <family val="2"/>
          </rPr>
          <t>2</t>
        </r>
        <r>
          <rPr>
            <sz val="9"/>
            <rFont val="Arial"/>
            <family val="2"/>
          </rPr>
          <t>e</t>
        </r>
      </is>
    </nc>
  </rcc>
  <rfmt sheetId="15" sqref="C59" start="0" length="2147483647">
    <dxf>
      <font>
        <b/>
        <family val="2"/>
      </font>
    </dxf>
  </rfmt>
  <rcc rId="585" sId="15" odxf="1" dxf="1">
    <nc r="G59" t="inlineStr">
      <is>
        <r>
          <t>MgCO</t>
        </r>
        <r>
          <rPr>
            <b/>
            <vertAlign val="subscript"/>
            <sz val="9"/>
            <rFont val="Arial"/>
            <family val="2"/>
          </rPr>
          <t>2</t>
        </r>
        <r>
          <rPr>
            <b/>
            <sz val="9"/>
            <rFont val="Arial"/>
            <family val="2"/>
          </rPr>
          <t>e</t>
        </r>
      </is>
    </nc>
    <odxf>
      <font>
        <b val="0"/>
        <sz val="9"/>
        <color auto="1"/>
        <name val="Arial"/>
        <family val="2"/>
        <scheme val="none"/>
      </font>
    </odxf>
    <ndxf>
      <font>
        <b/>
        <sz val="9"/>
        <color auto="1"/>
        <name val="Arial"/>
        <family val="2"/>
        <scheme val="none"/>
      </font>
    </ndxf>
  </rcc>
  <rcc rId="586" sId="15" odxf="1" dxf="1">
    <nc r="K59" t="inlineStr">
      <is>
        <r>
          <t>MgCO</t>
        </r>
        <r>
          <rPr>
            <b/>
            <vertAlign val="subscript"/>
            <sz val="9"/>
            <rFont val="Arial"/>
            <family val="2"/>
          </rPr>
          <t>2</t>
        </r>
        <r>
          <rPr>
            <b/>
            <sz val="9"/>
            <rFont val="Arial"/>
            <family val="2"/>
          </rPr>
          <t>e</t>
        </r>
      </is>
    </nc>
    <odxf>
      <font>
        <b val="0"/>
        <sz val="9"/>
        <color auto="1"/>
        <name val="Arial"/>
        <family val="2"/>
        <scheme val="none"/>
      </font>
    </odxf>
    <ndxf>
      <font>
        <b/>
        <sz val="9"/>
        <color auto="1"/>
        <name val="Arial"/>
        <family val="2"/>
        <scheme val="none"/>
      </font>
    </ndxf>
  </rcc>
  <rcc rId="587" sId="16">
    <oc r="P16" t="inlineStr">
      <is>
        <t>KC15-20-03</t>
      </is>
    </oc>
    <nc r="P16"/>
  </rcc>
  <rcc rId="588" sId="16">
    <oc r="P22" t="inlineStr">
      <is>
        <t>KC15-20-03</t>
      </is>
    </oc>
    <nc r="P22"/>
  </rcc>
  <rcc rId="589" sId="16">
    <oc r="L22" t="inlineStr">
      <is>
        <t>KC15-20-03</t>
      </is>
    </oc>
    <nc r="L22"/>
  </rcc>
  <rcc rId="590" sId="16">
    <oc r="L16" t="inlineStr">
      <is>
        <t>KC15-20-03</t>
      </is>
    </oc>
    <nc r="L16"/>
  </rcc>
  <rcc rId="591" sId="16">
    <oc r="H16" t="inlineStr">
      <is>
        <t>KC15-20-03</t>
      </is>
    </oc>
    <nc r="H16"/>
  </rcc>
  <rcc rId="592" sId="16">
    <oc r="H22" t="inlineStr">
      <is>
        <t>KC15-20-03</t>
      </is>
    </oc>
    <nc r="H22"/>
  </rcc>
  <rcc rId="593" sId="16">
    <oc r="D22" t="inlineStr">
      <is>
        <t>KC15-20-03</t>
      </is>
    </oc>
    <nc r="D22"/>
  </rcc>
  <rcc rId="594" sId="16">
    <oc r="D16" t="inlineStr">
      <is>
        <t>KC15-20-03</t>
      </is>
    </oc>
    <nc r="D16"/>
  </rcc>
  <rfmt sheetId="17" sqref="J7">
    <dxf>
      <fill>
        <patternFill patternType="none">
          <bgColor auto="1"/>
        </patternFill>
      </fill>
    </dxf>
  </rfmt>
  <rcc rId="595" sId="17">
    <nc r="J6">
      <v>174499999.99999997</v>
    </nc>
  </rcc>
  <rfmt sheetId="17" sqref="J6" start="0" length="2147483647">
    <dxf>
      <font>
        <sz val="8"/>
        <family val="2"/>
      </font>
    </dxf>
  </rfmt>
  <rfmt sheetId="17" sqref="J6" start="0" length="2147483647">
    <dxf>
      <font>
        <sz val="9"/>
        <family val="2"/>
      </font>
    </dxf>
  </rfmt>
  <rfmt sheetId="17" sqref="J6">
    <dxf>
      <alignment horizontal="right"/>
    </dxf>
  </rfmt>
  <rm rId="596" sheetId="17" source="J6" destination="J7" sourceSheetId="17">
    <undo index="0" exp="ref" v="1" dr="J7" r="J10" sId="17"/>
    <rcc rId="0" sId="17" dxf="1">
      <nc r="J7">
        <v>179600000</v>
      </nc>
      <ndxf>
        <alignment horizontal="right"/>
      </ndxf>
    </rcc>
  </rm>
  <rm rId="597" sheetId="17" source="M6" destination="M7" sourceSheetId="17">
    <rcc rId="0" sId="17" dxf="1">
      <nc r="M7" t="inlineStr">
        <is>
          <t>2014 U.S. EPA inventory Table ES-4</t>
        </is>
      </nc>
      <ndxf>
        <alignment horizontal="left"/>
        <border outline="0">
          <right style="thin">
            <color indexed="64"/>
          </right>
        </border>
      </ndxf>
    </rcc>
  </rm>
  <rcc rId="598" sId="17">
    <nc r="L7" t="inlineStr">
      <is>
        <t>KC15-40-05</t>
      </is>
    </nc>
  </rcc>
  <rcc rId="599" sId="17">
    <nc r="M7" t="inlineStr">
      <is>
        <t>2014 (newest) National fugitive gas emisions except SF6</t>
      </is>
    </nc>
  </rcc>
  <rdn rId="600" name="popKC00">
    <formula>ref!$C$115</formula>
    <oldFormula>ref!$C$115</oldFormula>
  </rdn>
  <rdn rId="601" name="popKC01">
    <formula>ref!$C$116</formula>
    <oldFormula>ref!$C$116</oldFormula>
  </rdn>
  <rdn rId="602" name="popKC02">
    <formula>ref!$C$117</formula>
    <oldFormula>ref!$C$117</oldFormula>
  </rdn>
  <rdn rId="603" name="popKC03">
    <formula>ref!$C$118</formula>
    <oldFormula>ref!$C$118</oldFormula>
  </rdn>
  <rdn rId="604" name="popKC04">
    <formula>ref!$C$119</formula>
    <oldFormula>ref!$C$119</oldFormula>
  </rdn>
  <rdn rId="605" name="popKC05">
    <formula>ref!$C$120</formula>
    <oldFormula>ref!$C$120</oldFormula>
  </rdn>
  <rdn rId="606" name="popKC06">
    <formula>ref!$C$121</formula>
    <oldFormula>ref!$C$121</oldFormula>
  </rdn>
  <rdn rId="607" name="popKC07">
    <formula>ref!$C$122</formula>
    <oldFormula>ref!$C$122</oldFormula>
  </rdn>
  <rdn rId="608" name="popKC08">
    <formula>ref!$C$123</formula>
    <oldFormula>ref!$C$123</oldFormula>
  </rdn>
  <rdn rId="609" name="popKC09">
    <formula>ref!$C$124</formula>
    <oldFormula>ref!$C$124</oldFormula>
  </rdn>
  <rdn rId="610" name="popKC10">
    <formula>ref!$C$125</formula>
    <oldFormula>ref!$C$125</oldFormula>
  </rdn>
  <rdn rId="611" name="popKC11">
    <formula>ref!$C$126</formula>
    <oldFormula>ref!$C$126</oldFormula>
  </rdn>
  <rdn rId="612" name="popKC12">
    <formula>ref!$C$127</formula>
    <oldFormula>ref!$C$127</oldFormula>
  </rdn>
  <rdn rId="613" name="popKC13">
    <formula>ref!$C$128</formula>
    <oldFormula>ref!$C$128</oldFormula>
  </rdn>
  <rdn rId="614" name="popKC14">
    <formula>ref!$C$129</formula>
    <oldFormula>ref!$C$129</oldFormula>
  </rdn>
  <rdn rId="615" name="popKC15">
    <formula>ref!$C$130</formula>
    <oldFormula>ref!$C$130</oldFormula>
  </rdn>
  <rdn rId="616" name="empComKC03">
    <formula>ref!$C$132</formula>
    <oldFormula>ref!$C$132</oldFormula>
  </rdn>
  <rdn rId="617" name="empIndKC03">
    <formula>ref!$C$133</formula>
    <oldFormula>ref!$C$133</oldFormula>
  </rdn>
  <rdn rId="618" name="empComKC08">
    <formula>ref!$C$134</formula>
    <oldFormula>ref!$C$134</oldFormula>
  </rdn>
  <rdn rId="619" name="empIndKC08">
    <formula>ref!$C$135</formula>
    <oldFormula>ref!$C$135</oldFormula>
  </rdn>
  <rdn rId="620" name="empComKC10">
    <formula>ref!$C$136</formula>
    <oldFormula>ref!$C$136</oldFormula>
  </rdn>
  <rdn rId="621" name="empIndKC10">
    <formula>ref!$C$137</formula>
    <oldFormula>ref!$C$137</oldFormula>
  </rdn>
  <rdn rId="622" name="cmpIndKC15">
    <formula>ref!$C$138</formula>
    <oldFormula>ref!$C$138</oldFormula>
  </rdn>
  <rdn rId="623" name="empComKC15">
    <formula>ref!$C$139</formula>
    <oldFormula>ref!$C$139</oldFormula>
  </rdn>
  <rdn rId="624" name="empComWA03">
    <formula>ref!$C$141</formula>
    <oldFormula>ref!$C$141</oldFormula>
  </rdn>
  <rdn rId="625" name="empIndWA03">
    <formula>ref!$C$142</formula>
    <oldFormula>ref!$C$142</oldFormula>
  </rdn>
  <rdn rId="626" name="empComWA08">
    <formula>ref!$C$143</formula>
    <oldFormula>ref!$C$143</oldFormula>
  </rdn>
  <rdn rId="627" name="empIndWA08">
    <formula>ref!$C$144</formula>
    <oldFormula>ref!$C$144</oldFormula>
  </rdn>
  <rdn rId="628" name="empComWA10">
    <formula>ref!$C$145</formula>
    <oldFormula>ref!$C$145</oldFormula>
  </rdn>
  <rdn rId="629" name="empIndWA10">
    <formula>ref!$C$146</formula>
    <oldFormula>ref!$C$146</oldFormula>
  </rdn>
  <rdn rId="630" name="empComWA15">
    <formula>ref!$C$147</formula>
    <oldFormula>ref!$C$147</oldFormula>
  </rdn>
  <rdn rId="631" name="empIndWA15">
    <formula>ref!$C$148</formula>
    <oldFormula>ref!$C$148</oldFormula>
  </rdn>
  <rdn rId="632" name="popWA03">
    <formula>ref!$C$149</formula>
    <oldFormula>ref!$C$149</oldFormula>
  </rdn>
  <rdn rId="633" name="popWA07">
    <formula>ref!$C$150</formula>
    <oldFormula>ref!$C$150</oldFormula>
  </rdn>
  <rdn rId="634" name="popWA08">
    <formula>ref!$C$151</formula>
    <oldFormula>ref!$C$151</oldFormula>
  </rdn>
  <rdn rId="635" name="popWA10">
    <formula>ref!$C$152</formula>
    <oldFormula>ref!$C$152</oldFormula>
  </rdn>
  <rdn rId="636" name="popWA11">
    <formula>ref!$C$153</formula>
    <oldFormula>ref!$C$153</oldFormula>
  </rdn>
  <rdn rId="637" name="popWA12">
    <formula>ref!$C$154</formula>
    <oldFormula>ref!$C$154</oldFormula>
  </rdn>
  <rdn rId="638" name="popWA13">
    <formula>ref!$C$155</formula>
    <oldFormula>ref!$C$155</oldFormula>
  </rdn>
  <rdn rId="639" name="popWA14">
    <formula>ref!$C$156</formula>
    <oldFormula>ref!$C$156</oldFormula>
  </rdn>
  <rdn rId="640" name="popWA15">
    <formula>ref!$C$157</formula>
    <oldFormula>ref!$C$157</oldFormula>
  </rdn>
  <rcc rId="641" sId="17">
    <oc r="J10">
      <f>#REF!*ref!C157/ref!C166</f>
    </oc>
    <nc r="J10"/>
  </rcc>
  <rcc rId="642" sId="17">
    <oc r="K10" t="inlineStr">
      <is>
        <r>
          <t>MgCO</t>
        </r>
        <r>
          <rPr>
            <vertAlign val="subscript"/>
            <sz val="9"/>
            <rFont val="Arial"/>
            <family val="2"/>
          </rPr>
          <t>2</t>
        </r>
        <r>
          <rPr>
            <sz val="9"/>
            <rFont val="Arial"/>
            <family val="2"/>
          </rPr>
          <t>e</t>
        </r>
      </is>
    </oc>
    <nc r="K10"/>
  </rcc>
  <rcc rId="643" sId="17">
    <oc r="J12">
      <f>J10*ref!M111/ref!L111</f>
    </oc>
    <nc r="J12"/>
  </rcc>
  <rcc rId="644" sId="17">
    <oc r="K12" t="inlineStr">
      <is>
        <r>
          <t>MgCO</t>
        </r>
        <r>
          <rPr>
            <vertAlign val="subscript"/>
            <sz val="9"/>
            <rFont val="Arial"/>
            <family val="2"/>
          </rPr>
          <t>2</t>
        </r>
        <r>
          <rPr>
            <sz val="9"/>
            <rFont val="Arial"/>
            <family val="2"/>
          </rPr>
          <t>e</t>
        </r>
      </is>
    </oc>
    <nc r="K12"/>
  </rcc>
  <rcc rId="645" sId="17">
    <oc r="J35">
      <f>SUM(J26,J31)</f>
    </oc>
    <nc r="J35">
      <f>SUM(J26,J31)+J13</f>
    </nc>
  </rcc>
  <rcc rId="646" sId="17" odxf="1" dxf="1">
    <oc r="K7" t="inlineStr">
      <is>
        <t>Mg</t>
      </is>
    </oc>
    <nc r="K7" t="inlineStr">
      <is>
        <r>
          <t>MgCO</t>
        </r>
        <r>
          <rPr>
            <b/>
            <vertAlign val="subscript"/>
            <sz val="9"/>
            <rFont val="Arial"/>
            <family val="2"/>
          </rPr>
          <t>2</t>
        </r>
        <r>
          <rPr>
            <b/>
            <sz val="9"/>
            <rFont val="Arial"/>
            <family val="2"/>
          </rPr>
          <t>e</t>
        </r>
      </is>
    </nc>
    <odxf>
      <font>
        <b val="0"/>
        <sz val="9"/>
        <color auto="1"/>
        <name val="Arial"/>
        <family val="2"/>
        <scheme val="none"/>
      </font>
    </odxf>
    <ndxf>
      <font>
        <b/>
        <sz val="9"/>
        <color auto="1"/>
        <name val="Arial"/>
        <family val="2"/>
        <scheme val="none"/>
      </font>
    </ndxf>
  </rcc>
  <rfmt sheetId="17" sqref="K7" start="0" length="2147483647">
    <dxf>
      <font>
        <b val="0"/>
        <family val="2"/>
      </font>
    </dxf>
  </rfmt>
  <rm rId="647" sheetId="17" source="M10" destination="M13" sourceSheetId="17">
    <rfmt sheetId="17" sqref="M13" start="0" length="0">
      <dxf>
        <font>
          <sz val="7"/>
          <color auto="1"/>
          <name val="Arial"/>
          <family val="2"/>
          <scheme val="none"/>
        </font>
        <alignment horizontal="left"/>
        <border outline="0">
          <right style="thin">
            <color indexed="64"/>
          </right>
        </border>
      </dxf>
    </rfmt>
  </rm>
  <rcc rId="648" sId="17" quotePrefix="1">
    <nc r="M13" t="inlineStr">
      <is>
        <t>scaled to KC</t>
      </is>
    </nc>
  </rcc>
  <rcc rId="649" sId="17" numFmtId="4">
    <nc r="F7">
      <v>157000000</v>
    </nc>
  </rcc>
  <rcc rId="650" sId="17" odxf="1" dxf="1">
    <nc r="G7" t="inlineStr">
      <is>
        <r>
          <t>MgCO</t>
        </r>
        <r>
          <rPr>
            <vertAlign val="subscript"/>
            <sz val="9"/>
            <rFont val="Arial"/>
            <family val="2"/>
          </rPr>
          <t>2</t>
        </r>
        <r>
          <rPr>
            <sz val="9"/>
            <rFont val="Arial"/>
            <family val="2"/>
          </rPr>
          <t>e</t>
        </r>
      </is>
    </nc>
    <odxf/>
    <ndxf/>
  </rcc>
  <rcc rId="651" sId="17" odxf="1" dxf="1">
    <nc r="H7" t="inlineStr">
      <is>
        <t>KC15-40-05</t>
      </is>
    </nc>
    <odxf/>
    <ndxf/>
  </rcc>
  <rfmt sheetId="17" sqref="I7" start="0" length="0">
    <dxf/>
  </rfmt>
  <rcc rId="652" sId="17">
    <nc r="I7" t="inlineStr">
      <is>
        <t>2010 National fugitive gas emisions except SF6</t>
      </is>
    </nc>
  </rcc>
  <rcc rId="653" sId="17">
    <oc r="J13">
      <f>J12*ref!M104/ref!M111</f>
    </oc>
    <nc r="J13">
      <f>popKC15/popUS15*J7*(popKC14/popKC15)</f>
    </nc>
  </rcc>
  <rrc rId="654" sId="30" ref="A166:XFD166" action="insertRow"/>
  <rcc rId="655" sId="30">
    <nc r="B166" t="inlineStr">
      <is>
        <t>popUS09</t>
      </is>
    </nc>
  </rcc>
  <rcc rId="656" sId="30" numFmtId="4">
    <nc r="C166">
      <v>307006550</v>
    </nc>
  </rcc>
  <rcc rId="657" sId="30">
    <nc r="D166" t="inlineStr">
      <is>
        <t>capita</t>
      </is>
    </nc>
  </rcc>
  <rfmt sheetId="30" sqref="D166">
    <dxf>
      <fill>
        <patternFill patternType="none">
          <fgColor indexed="64"/>
          <bgColor indexed="65"/>
        </patternFill>
      </fill>
      <border diagonalUp="0" diagonalDown="0" outline="0">
        <left/>
        <right/>
        <top/>
        <bottom/>
      </border>
    </dxf>
  </rfmt>
  <rcc rId="658" sId="30">
    <nc r="E166" t="inlineStr">
      <is>
        <t>KC15_70_04</t>
      </is>
    </nc>
  </rcc>
  <rcc rId="659" sId="30">
    <nc r="A166">
      <v>2009</v>
    </nc>
  </rcc>
  <rdn rId="660" name="popUS09">
    <formula>ref!$C$166</formula>
  </rdn>
  <rcc rId="661" sId="17">
    <oc r="F13">
      <f>F12*popKC08/popWA08</f>
    </oc>
    <nc r="F13">
      <f>F7*(popKC09/popUS09)*(popKC10/popKC09)</f>
    </nc>
  </rcc>
  <rcc rId="662" sId="17" odxf="1" dxf="1" quotePrefix="1">
    <nc r="H13" t="inlineStr">
      <is>
        <t>scaled to KC</t>
      </is>
    </nc>
    <odxf>
      <numFmt numFmtId="0" formatCode="General"/>
      <border outline="0">
        <right/>
      </border>
    </odxf>
    <ndxf>
      <numFmt numFmtId="30" formatCode="@"/>
      <border outline="0">
        <right style="thin">
          <color indexed="64"/>
        </right>
      </border>
    </ndxf>
  </rcc>
  <rcc rId="663" sId="17" odxf="1" dxf="1" quotePrefix="1">
    <nc r="D13" t="inlineStr">
      <is>
        <t>scaled to KC</t>
      </is>
    </nc>
    <odxf>
      <numFmt numFmtId="0" formatCode="General"/>
      <border outline="0">
        <right/>
      </border>
    </odxf>
    <ndxf>
      <numFmt numFmtId="30" formatCode="@"/>
      <border outline="0">
        <right style="thin">
          <color indexed="64"/>
        </right>
      </border>
    </ndxf>
  </rcc>
  <rcmt sheetId="17" cell="A6" guid="{430A6814-D8CB-4689-B62E-379F9D9906D5}" alwaysShow="1" author="Brian Harmon" newLength="29"/>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 sId="17">
    <oc r="F35">
      <f>SUM(F24,F31)</f>
    </oc>
    <nc r="F35">
      <f>SUM(F24,F31)+F13</f>
    </nc>
  </rcc>
  <rcc rId="670" sId="17" numFmtId="4">
    <oc r="B7">
      <v>1871440.704396297</v>
    </oc>
    <nc r="B7">
      <v>130500000</v>
    </nc>
  </rcc>
  <rcc rId="671" sId="17">
    <oc r="B13">
      <f>B7*popKC03/popWA03</f>
    </oc>
    <nc r="B13">
      <f>B7*(popKC05/popUS05)*(popKC03/popKC05)</f>
    </nc>
  </rcc>
  <rcc rId="672" sId="17">
    <oc r="B35">
      <f>SUM(B26,B33)</f>
    </oc>
    <nc r="B35">
      <f>SUM(B26,B33)+B13</f>
    </nc>
  </rcc>
  <rcc rId="673" sId="17">
    <oc r="A7" t="inlineStr">
      <is>
        <t>2003</t>
      </is>
    </oc>
    <nc r="A7" t="inlineStr">
      <is>
        <t>National fugitive gas (no SF6 for transmission)</t>
      </is>
    </nc>
  </rcc>
  <rrc rId="674" sId="17" ref="A8:XFD8" action="deleteRow">
    <rfmt sheetId="17" xfDxf="1" sqref="A8:XFD8" start="0" length="0"/>
    <rfmt sheetId="17" sqref="A8" start="0" length="0">
      <dxf>
        <numFmt numFmtId="30" formatCode="@"/>
        <alignment horizontal="left" wrapText="1" indent="1"/>
        <border outline="0">
          <right style="thin">
            <color indexed="64"/>
          </right>
        </border>
      </dxf>
    </rfmt>
    <rfmt sheetId="17" sqref="B8" start="0" length="0">
      <dxf>
        <numFmt numFmtId="3" formatCode="#,##0"/>
        <alignment horizontal="right"/>
      </dxf>
    </rfmt>
    <rfmt sheetId="17" sqref="C8" start="0" length="0">
      <dxf>
        <alignment horizontal="left"/>
      </dxf>
    </rfmt>
    <rfmt sheetId="17" sqref="D8" start="0" length="0">
      <dxf>
        <alignment horizontal="left"/>
      </dxf>
    </rfmt>
    <rfmt sheetId="17" sqref="E8" start="0" length="0">
      <dxf>
        <numFmt numFmtId="30" formatCode="@"/>
        <alignment horizontal="left"/>
        <border outline="0">
          <right style="thin">
            <color indexed="64"/>
          </right>
        </border>
      </dxf>
    </rfmt>
    <rfmt sheetId="17" sqref="F8" start="0" length="0">
      <dxf>
        <numFmt numFmtId="3" formatCode="#,##0"/>
        <alignment horizontal="right"/>
      </dxf>
    </rfmt>
    <rfmt sheetId="17" sqref="G8" start="0" length="0">
      <dxf>
        <alignment horizontal="left"/>
      </dxf>
    </rfmt>
    <rfmt sheetId="17" sqref="H8" start="0" length="0">
      <dxf>
        <alignment horizontal="left"/>
      </dxf>
    </rfmt>
    <rfmt sheetId="17" sqref="I8" start="0" length="0">
      <dxf>
        <font>
          <sz val="7"/>
          <color auto="1"/>
          <name val="Arial"/>
          <family val="2"/>
          <scheme val="none"/>
        </font>
        <alignment horizontal="left"/>
        <border outline="0">
          <right style="thin">
            <color indexed="64"/>
          </right>
        </border>
      </dxf>
    </rfmt>
    <rfmt sheetId="17" sqref="J8" start="0" length="0">
      <dxf>
        <font>
          <sz val="7"/>
          <color auto="1"/>
          <name val="Arial"/>
          <family val="2"/>
          <scheme val="none"/>
        </font>
        <alignment horizontal="left"/>
      </dxf>
    </rfmt>
    <rfmt sheetId="17" sqref="K8" start="0" length="0">
      <dxf>
        <font>
          <sz val="7"/>
          <color auto="1"/>
          <name val="Arial"/>
          <family val="2"/>
          <scheme val="none"/>
        </font>
        <alignment horizontal="left"/>
      </dxf>
    </rfmt>
    <rfmt sheetId="17" sqref="L8" start="0" length="0">
      <dxf>
        <font>
          <sz val="7"/>
          <color auto="1"/>
          <name val="Arial"/>
          <family val="2"/>
          <scheme val="none"/>
        </font>
        <alignment horizontal="left"/>
      </dxf>
    </rfmt>
    <rfmt sheetId="17" sqref="M8" start="0" length="0">
      <dxf>
        <font>
          <sz val="7"/>
          <color auto="1"/>
          <name val="Arial"/>
          <family val="2"/>
          <scheme val="none"/>
        </font>
        <alignment horizontal="left"/>
        <border outline="0">
          <right style="thin">
            <color indexed="64"/>
          </right>
        </border>
      </dxf>
    </rfmt>
  </rrc>
  <rrc rId="675" sId="17" ref="A8:XFD8" action="deleteRow">
    <rfmt sheetId="17" xfDxf="1" sqref="A8:XFD8" start="0" length="0"/>
    <rfmt sheetId="17" sqref="A8" start="0" length="0">
      <dxf>
        <numFmt numFmtId="30" formatCode="@"/>
        <alignment horizontal="left" wrapText="1" indent="1"/>
        <border outline="0">
          <right style="thin">
            <color indexed="64"/>
          </right>
        </border>
      </dxf>
    </rfmt>
    <rfmt sheetId="17" sqref="B8" start="0" length="0">
      <dxf>
        <numFmt numFmtId="3" formatCode="#,##0"/>
        <alignment horizontal="right"/>
      </dxf>
    </rfmt>
    <rfmt sheetId="17" sqref="C8" start="0" length="0">
      <dxf>
        <alignment horizontal="left"/>
      </dxf>
    </rfmt>
    <rfmt sheetId="17" sqref="D8" start="0" length="0">
      <dxf>
        <alignment horizontal="left"/>
      </dxf>
    </rfmt>
    <rfmt sheetId="17" sqref="E8" start="0" length="0">
      <dxf>
        <numFmt numFmtId="30" formatCode="@"/>
        <alignment horizontal="left"/>
        <border outline="0">
          <right style="thin">
            <color indexed="64"/>
          </right>
        </border>
      </dxf>
    </rfmt>
    <rfmt sheetId="17" sqref="F8" start="0" length="0">
      <dxf>
        <numFmt numFmtId="3" formatCode="#,##0"/>
        <alignment horizontal="right"/>
      </dxf>
    </rfmt>
    <rfmt sheetId="17" sqref="G8" start="0" length="0">
      <dxf>
        <alignment horizontal="left"/>
      </dxf>
    </rfmt>
    <rfmt sheetId="17" sqref="H8" start="0" length="0">
      <dxf>
        <alignment horizontal="left"/>
      </dxf>
    </rfmt>
    <rfmt sheetId="17" sqref="I8" start="0" length="0">
      <dxf>
        <font>
          <sz val="7"/>
          <color auto="1"/>
          <name val="Arial"/>
          <family val="2"/>
          <scheme val="none"/>
        </font>
        <alignment horizontal="left"/>
        <border outline="0">
          <right style="thin">
            <color indexed="64"/>
          </right>
        </border>
      </dxf>
    </rfmt>
    <rfmt sheetId="17" sqref="J8" start="0" length="0">
      <dxf>
        <font>
          <sz val="7"/>
          <color auto="1"/>
          <name val="Arial"/>
          <family val="2"/>
          <scheme val="none"/>
        </font>
        <alignment horizontal="left"/>
      </dxf>
    </rfmt>
    <rfmt sheetId="17" sqref="K8" start="0" length="0">
      <dxf>
        <font>
          <sz val="7"/>
          <color auto="1"/>
          <name val="Arial"/>
          <family val="2"/>
          <scheme val="none"/>
        </font>
        <alignment horizontal="left"/>
      </dxf>
    </rfmt>
    <rfmt sheetId="17" sqref="L8" start="0" length="0">
      <dxf>
        <font>
          <sz val="7"/>
          <color auto="1"/>
          <name val="Arial"/>
          <family val="2"/>
          <scheme val="none"/>
        </font>
        <alignment horizontal="left"/>
      </dxf>
    </rfmt>
    <rfmt sheetId="17" sqref="M8" start="0" length="0">
      <dxf>
        <font>
          <sz val="7"/>
          <color auto="1"/>
          <name val="Arial"/>
          <family val="2"/>
          <scheme val="none"/>
        </font>
        <alignment horizontal="left"/>
        <border outline="0">
          <right style="thin">
            <color indexed="64"/>
          </right>
        </border>
      </dxf>
    </rfmt>
  </rrc>
  <rrc rId="676" sId="17" ref="A8:XFD8" action="deleteRow">
    <undo index="0" exp="ref" v="1" dr="F8" r="F10" sId="17"/>
    <rfmt sheetId="17" xfDxf="1" sqref="A8:XFD8" start="0" length="0"/>
    <rcc rId="0" sId="17" dxf="1">
      <nc r="A8" t="inlineStr">
        <is>
          <t>2007</t>
        </is>
      </nc>
      <ndxf>
        <numFmt numFmtId="30" formatCode="@"/>
        <alignment horizontal="left" wrapText="1" indent="1"/>
        <border outline="0">
          <right style="thin">
            <color indexed="64"/>
          </right>
        </border>
      </ndxf>
    </rcc>
    <rfmt sheetId="17" sqref="B8" start="0" length="0">
      <dxf>
        <alignment horizontal="right"/>
      </dxf>
    </rfmt>
    <rfmt sheetId="17" sqref="C8" start="0" length="0">
      <dxf>
        <alignment horizontal="left"/>
      </dxf>
    </rfmt>
    <rfmt sheetId="17" sqref="D8" start="0" length="0">
      <dxf>
        <alignment horizontal="left"/>
      </dxf>
    </rfmt>
    <rfmt sheetId="17" sqref="E8" start="0" length="0">
      <dxf>
        <alignment horizontal="left"/>
        <border outline="0">
          <right style="thin">
            <color indexed="64"/>
          </right>
        </border>
      </dxf>
    </rfmt>
    <rcc rId="0" sId="17" dxf="1" numFmtId="4">
      <nc r="F8">
        <v>2317964.6490738117</v>
      </nc>
      <ndxf>
        <numFmt numFmtId="3" formatCode="#,##0"/>
        <alignment horizontal="right"/>
      </ndxf>
    </rcc>
    <rcc rId="0" sId="17" dxf="1">
      <nc r="G8" t="inlineStr">
        <is>
          <r>
            <t>MgCO</t>
          </r>
          <r>
            <rPr>
              <vertAlign val="subscript"/>
              <sz val="9"/>
              <rFont val="Arial"/>
              <family val="2"/>
            </rPr>
            <t>2</t>
          </r>
          <r>
            <rPr>
              <sz val="9"/>
              <rFont val="Arial"/>
              <family val="2"/>
            </rPr>
            <t>e</t>
          </r>
        </is>
      </nc>
      <ndxf>
        <alignment horizontal="left"/>
      </ndxf>
    </rcc>
    <rcc rId="0" sId="17" dxf="1">
      <nc r="H8" t="inlineStr">
        <is>
          <t>KC08-42-1_SIT-IP-WA-ODS</t>
        </is>
      </nc>
      <ndxf>
        <alignment horizontal="left"/>
      </ndxf>
    </rcc>
    <rcc rId="0" sId="17" dxf="1" quotePrefix="1">
      <nc r="I8" t="inlineStr">
        <is>
          <t xml:space="preserve"> 'ODS' tab, cell L41</t>
        </is>
      </nc>
      <ndxf>
        <numFmt numFmtId="30" formatCode="@"/>
        <alignment horizontal="left"/>
        <border outline="0">
          <right style="thin">
            <color indexed="64"/>
          </right>
        </border>
      </ndxf>
    </rcc>
    <rfmt sheetId="17" sqref="J8" start="0" length="0">
      <dxf>
        <numFmt numFmtId="3" formatCode="#,##0"/>
        <fill>
          <patternFill patternType="solid">
            <bgColor theme="9" tint="0.79998168889431442"/>
          </patternFill>
        </fill>
        <alignment horizontal="right"/>
      </dxf>
    </rfmt>
    <rfmt sheetId="17" sqref="K8" start="0" length="0">
      <dxf>
        <alignment horizontal="left"/>
      </dxf>
    </rfmt>
    <rfmt sheetId="17" sqref="L8" start="0" length="0">
      <dxf>
        <alignment horizontal="left"/>
      </dxf>
    </rfmt>
    <rfmt sheetId="17" sqref="M8" start="0" length="0">
      <dxf>
        <font>
          <sz val="7"/>
          <color auto="1"/>
          <name val="Arial"/>
          <family val="2"/>
          <scheme val="none"/>
        </font>
        <alignment horizontal="left"/>
        <border outline="0">
          <right style="thin">
            <color indexed="64"/>
          </right>
        </border>
      </dxf>
    </rfmt>
  </rrc>
  <rcc rId="677" sId="17">
    <oc r="A10" t="inlineStr">
      <is>
        <t>2. Scale to King County by population</t>
      </is>
    </oc>
    <nc r="A10" t="inlineStr">
      <is>
        <t>2. Scale to King County by population and year</t>
      </is>
    </nc>
  </rcc>
  <rrc rId="678" sId="17" ref="A9:XFD9" action="deleteRow">
    <rfmt sheetId="17" xfDxf="1" sqref="A9:XFD9" start="0" length="0"/>
    <rcc rId="0" sId="17" dxf="1">
      <nc r="A9" t="inlineStr">
        <is>
          <t>1. Scale to 2008 by state population</t>
        </is>
      </nc>
      <ndxf>
        <numFmt numFmtId="30" formatCode="@"/>
        <alignment horizontal="left" vertical="bottom"/>
        <border outline="0">
          <right style="thin">
            <color indexed="64"/>
          </right>
        </border>
      </ndxf>
    </rcc>
    <rfmt sheetId="17" sqref="B9" start="0" length="0">
      <dxf>
        <numFmt numFmtId="3" formatCode="#,##0"/>
        <alignment horizontal="right"/>
      </dxf>
    </rfmt>
    <rfmt sheetId="17" sqref="C9" start="0" length="0">
      <dxf>
        <alignment horizontal="left"/>
      </dxf>
    </rfmt>
    <rfmt sheetId="17" sqref="D9" start="0" length="0">
      <dxf>
        <alignment horizontal="left"/>
      </dxf>
    </rfmt>
    <rfmt sheetId="17" sqref="E9" start="0" length="0">
      <dxf>
        <alignment horizontal="left"/>
        <border outline="0">
          <right style="thin">
            <color indexed="64"/>
          </right>
        </border>
      </dxf>
    </rfmt>
    <rcc rId="0" sId="17" dxf="1">
      <nc r="F9">
        <f>#REF!*popWA08/popWA07</f>
      </nc>
      <ndxf>
        <numFmt numFmtId="3" formatCode="#,##0"/>
        <alignment horizontal="right"/>
      </ndxf>
    </rcc>
    <rcc rId="0" sId="17" dxf="1">
      <nc r="G9" t="inlineStr">
        <is>
          <r>
            <t>MgCO</t>
          </r>
          <r>
            <rPr>
              <vertAlign val="subscript"/>
              <sz val="9"/>
              <rFont val="Arial"/>
              <family val="2"/>
            </rPr>
            <t>2</t>
          </r>
          <r>
            <rPr>
              <sz val="9"/>
              <rFont val="Arial"/>
              <family val="2"/>
            </rPr>
            <t>e</t>
          </r>
        </is>
      </nc>
      <ndxf>
        <alignment horizontal="left"/>
      </ndxf>
    </rcc>
    <rfmt sheetId="17" sqref="H9" start="0" length="0">
      <dxf>
        <alignment horizontal="left"/>
      </dxf>
    </rfmt>
    <rfmt sheetId="17" sqref="I9" start="0" length="0">
      <dxf>
        <font>
          <sz val="7"/>
          <color auto="1"/>
          <name val="Arial"/>
          <family val="2"/>
          <scheme val="none"/>
        </font>
        <alignment horizontal="left"/>
        <border outline="0">
          <right style="thin">
            <color indexed="64"/>
          </right>
        </border>
      </dxf>
    </rfmt>
    <rfmt sheetId="17" sqref="J9" start="0" length="0">
      <dxf>
        <numFmt numFmtId="3" formatCode="#,##0"/>
        <fill>
          <patternFill patternType="solid">
            <bgColor theme="9" tint="0.79998168889431442"/>
          </patternFill>
        </fill>
        <alignment horizontal="right"/>
      </dxf>
    </rfmt>
    <rfmt sheetId="17" sqref="K9" start="0" length="0">
      <dxf>
        <alignment horizontal="left"/>
      </dxf>
    </rfmt>
    <rfmt sheetId="17" sqref="L9" start="0" length="0">
      <dxf>
        <alignment horizontal="left"/>
      </dxf>
    </rfmt>
    <rfmt sheetId="17" sqref="M9" start="0" length="0">
      <dxf>
        <font>
          <sz val="7"/>
          <color auto="1"/>
          <name val="Arial"/>
          <family val="2"/>
          <scheme val="none"/>
        </font>
        <alignment horizontal="left"/>
        <border outline="0">
          <right style="thin">
            <color indexed="64"/>
          </right>
        </border>
      </dxf>
    </rfmt>
  </rrc>
  <rcc rId="679" sId="17">
    <oc r="D7" t="inlineStr">
      <is>
        <t>KC08-42-1_SIT-IP-WA-ODS</t>
      </is>
    </oc>
    <nc r="D7" t="inlineStr">
      <is>
        <t>KC15-40-05</t>
      </is>
    </nc>
  </rcc>
  <rcmt sheetId="17" cell="A6" guid="{00000000-0000-0000-0000-000000000000}" action="delete" alwaysShow="1" author="Brian Harmon"/>
  <rfmt sheetId="17" sqref="B16">
    <dxf>
      <numFmt numFmtId="170" formatCode="0.000"/>
    </dxf>
  </rfmt>
  <rfmt sheetId="17" sqref="B16">
    <dxf>
      <numFmt numFmtId="2" formatCode="0.00"/>
    </dxf>
  </rfmt>
  <rfmt sheetId="17" sqref="B16">
    <dxf>
      <numFmt numFmtId="169" formatCode="0.0"/>
    </dxf>
  </rfmt>
  <rfmt sheetId="17" sqref="B16">
    <dxf>
      <numFmt numFmtId="1" formatCode="0"/>
    </dxf>
  </rfmt>
  <rfmt sheetId="17" sqref="J16">
    <dxf>
      <numFmt numFmtId="2" formatCode="0.00"/>
    </dxf>
  </rfmt>
  <rfmt sheetId="17" sqref="J16">
    <dxf>
      <numFmt numFmtId="169" formatCode="0.0"/>
    </dxf>
  </rfmt>
  <rfmt sheetId="17" sqref="J16">
    <dxf>
      <numFmt numFmtId="1" formatCode="0"/>
    </dxf>
  </rfmt>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5" sId="16" numFmtId="34">
    <oc r="B25">
      <v>36809.879999999997</v>
    </oc>
    <nc r="B25">
      <v>64156</v>
    </nc>
  </rcc>
  <rfmt sheetId="16" sqref="B21:C26">
    <dxf>
      <fill>
        <patternFill patternType="none">
          <bgColor auto="1"/>
        </patternFill>
      </fill>
    </dxf>
  </rfmt>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N49">
    <dxf>
      <fill>
        <patternFill patternType="solid">
          <bgColor rgb="FFFFFF00"/>
        </patternFill>
      </fill>
    </dxf>
  </rfmt>
  <rfmt sheetId="9" sqref="N76">
    <dxf>
      <fill>
        <patternFill patternType="solid">
          <bgColor rgb="FFFFFF00"/>
        </patternFill>
      </fill>
    </dxf>
  </rfmt>
  <rfmt sheetId="9" sqref="H81">
    <dxf>
      <fill>
        <patternFill patternType="solid">
          <bgColor rgb="FFFFFF00"/>
        </patternFill>
      </fill>
    </dxf>
  </rfmt>
  <rcmt sheetId="9" cell="N19" guid="{5CB8A063-CAFF-485F-BB27-77A8E3746510}" alwaysShow="1" author="Andrea Martin" newLength="83"/>
  <rcmt sheetId="9" cell="N49" guid="{7351B6F4-40A9-4914-A44D-4F3E1A37B45B}" alwaysShow="1" author="Andrea Martin" newLength="98"/>
  <rcmt sheetId="9" cell="N76" guid="{CAFE16AE-CF53-4622-881B-04D69321D1F6}" alwaysShow="1" author="Andrea Martin" newLength="44"/>
  <rcmt sheetId="9" cell="H81" guid="{B0CDD255-E2E3-4E0E-8966-4A2B445162FC}" alwaysShow="1" author="Andrea Martin" newLength="62"/>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7" sqref="F16">
    <dxf>
      <fill>
        <patternFill>
          <bgColor theme="9" tint="0.79998168889431442"/>
        </patternFill>
      </fill>
    </dxf>
  </rfmt>
  <rfmt sheetId="17" sqref="F25 J25 J16">
    <dxf>
      <fill>
        <patternFill>
          <bgColor theme="9" tint="0.79998168889431442"/>
        </patternFill>
      </fill>
    </dxf>
  </rfmt>
  <rfmt sheetId="17" sqref="E7" start="0" length="0">
    <dxf>
      <font>
        <sz val="7"/>
        <color auto="1"/>
        <name val="Arial"/>
        <family val="2"/>
        <scheme val="none"/>
      </font>
      <numFmt numFmtId="0" formatCode="General"/>
    </dxf>
  </rfmt>
  <rcc rId="691" sId="17">
    <oc r="E7" t="inlineStr">
      <is>
        <t xml:space="preserve"> 'ODS' tab, cell L33</t>
      </is>
    </oc>
    <nc r="E7" t="inlineStr">
      <is>
        <t>2005 National fugitive gas emisions except SF6</t>
      </is>
    </nc>
  </rcc>
  <rcc rId="692" sId="17">
    <oc r="A6" t="inlineStr">
      <is>
        <t>WA state ODS from SIT</t>
      </is>
    </oc>
    <nc r="A6"/>
  </rcc>
  <rrc rId="693" sId="17" ref="A6:XFD6" action="deleteRow">
    <rfmt sheetId="17" xfDxf="1" sqref="A6:XFD6" start="0" length="0"/>
    <rfmt sheetId="17" sqref="A6" start="0" length="0">
      <dxf>
        <numFmt numFmtId="30" formatCode="@"/>
        <alignment horizontal="left" vertical="bottom"/>
        <border outline="0">
          <right style="thin">
            <color indexed="64"/>
          </right>
        </border>
      </dxf>
    </rfmt>
    <rfmt sheetId="17" sqref="B6" start="0" length="0">
      <dxf>
        <alignment horizontal="right"/>
      </dxf>
    </rfmt>
    <rfmt sheetId="17" sqref="C6" start="0" length="0">
      <dxf>
        <alignment horizontal="left"/>
      </dxf>
    </rfmt>
    <rfmt sheetId="17" sqref="D6" start="0" length="0">
      <dxf>
        <alignment horizontal="left"/>
      </dxf>
    </rfmt>
    <rfmt sheetId="17" sqref="E6" start="0" length="0">
      <dxf>
        <alignment horizontal="left"/>
        <border outline="0">
          <right style="thin">
            <color indexed="64"/>
          </right>
        </border>
      </dxf>
    </rfmt>
    <rfmt sheetId="17" sqref="F6" start="0" length="0">
      <dxf>
        <numFmt numFmtId="3" formatCode="#,##0"/>
        <alignment horizontal="right"/>
      </dxf>
    </rfmt>
    <rfmt sheetId="17" sqref="G6" start="0" length="0">
      <dxf>
        <numFmt numFmtId="30" formatCode="@"/>
        <alignment horizontal="left"/>
      </dxf>
    </rfmt>
    <rfmt sheetId="17" sqref="H6" start="0" length="0">
      <dxf>
        <alignment horizontal="left"/>
      </dxf>
    </rfmt>
    <rfmt sheetId="17" sqref="I6" start="0" length="0">
      <dxf>
        <font>
          <sz val="7"/>
          <color auto="1"/>
          <name val="Arial"/>
          <family val="2"/>
          <scheme val="none"/>
        </font>
        <alignment horizontal="left"/>
        <border outline="0">
          <right style="thin">
            <color indexed="64"/>
          </right>
        </border>
      </dxf>
    </rfmt>
    <rfmt sheetId="17" sqref="J6" start="0" length="0">
      <dxf>
        <font>
          <sz val="7"/>
          <color auto="1"/>
          <name val="Arial"/>
          <family val="2"/>
          <scheme val="none"/>
        </font>
        <alignment horizontal="left"/>
      </dxf>
    </rfmt>
    <rfmt sheetId="17" sqref="K6" start="0" length="0">
      <dxf>
        <font>
          <sz val="7"/>
          <color auto="1"/>
          <name val="Arial"/>
          <family val="2"/>
          <scheme val="none"/>
        </font>
        <alignment horizontal="left"/>
      </dxf>
    </rfmt>
    <rfmt sheetId="17" sqref="L6" start="0" length="0">
      <dxf>
        <font>
          <sz val="7"/>
          <color auto="1"/>
          <name val="Arial"/>
          <family val="2"/>
          <scheme val="none"/>
        </font>
        <alignment horizontal="left"/>
      </dxf>
    </rfmt>
    <rfmt sheetId="17" sqref="M6" start="0" length="0">
      <dxf>
        <font>
          <sz val="7"/>
          <color auto="1"/>
          <name val="Arial"/>
          <family val="2"/>
          <scheme val="none"/>
        </font>
        <alignment horizontal="left"/>
        <border outline="0">
          <right style="thin">
            <color indexed="64"/>
          </right>
        </border>
      </dxf>
    </rfmt>
  </rrc>
  <rm rId="694" sheetId="17" source="B28:C28" destination="B26:C26" sourceSheetId="17">
    <rfmt sheetId="17" sqref="B26" start="0" length="0">
      <dxf>
        <numFmt numFmtId="3" formatCode="#,##0"/>
        <alignment horizontal="right"/>
      </dxf>
    </rfmt>
    <rfmt sheetId="17" sqref="C26" start="0" length="0">
      <dxf>
        <numFmt numFmtId="30" formatCode="@"/>
        <alignment horizontal="left"/>
      </dxf>
    </rfmt>
  </rm>
  <rrc rId="695" sId="17" ref="A28:XFD28" action="deleteRow">
    <rfmt sheetId="17" xfDxf="1" sqref="A28:XFD28" start="0" length="0"/>
    <rfmt sheetId="17" sqref="A28" start="0" length="0">
      <dxf>
        <numFmt numFmtId="30" formatCode="@"/>
        <alignment horizontal="left" wrapText="1"/>
        <border outline="0">
          <right style="thin">
            <color indexed="64"/>
          </right>
        </border>
      </dxf>
    </rfmt>
    <rfmt sheetId="17" sqref="B28" start="0" length="0">
      <dxf>
        <alignment horizontal="right"/>
      </dxf>
    </rfmt>
    <rfmt sheetId="17" sqref="C28" start="0" length="0">
      <dxf>
        <alignment horizontal="left"/>
      </dxf>
    </rfmt>
    <rfmt sheetId="17" sqref="D28" start="0" length="0">
      <dxf>
        <numFmt numFmtId="30" formatCode="@"/>
        <alignment horizontal="left"/>
      </dxf>
    </rfmt>
    <rfmt sheetId="17" sqref="E28" start="0" length="0">
      <dxf>
        <numFmt numFmtId="30" formatCode="@"/>
        <alignment horizontal="left"/>
        <border outline="0">
          <right style="thin">
            <color indexed="64"/>
          </right>
        </border>
      </dxf>
    </rfmt>
    <rfmt sheetId="17" sqref="F28" start="0" length="0">
      <dxf>
        <alignment horizontal="right"/>
      </dxf>
    </rfmt>
    <rfmt sheetId="17" sqref="G28" start="0" length="0">
      <dxf>
        <alignment horizontal="left"/>
      </dxf>
    </rfmt>
    <rfmt sheetId="17" sqref="H28" start="0" length="0">
      <dxf>
        <numFmt numFmtId="30" formatCode="@"/>
        <alignment horizontal="left"/>
      </dxf>
    </rfmt>
    <rfmt sheetId="17" sqref="I28" start="0" length="0">
      <dxf>
        <font>
          <sz val="7"/>
          <color auto="1"/>
          <name val="Arial"/>
          <family val="2"/>
          <scheme val="none"/>
        </font>
        <numFmt numFmtId="30" formatCode="@"/>
        <alignment horizontal="left"/>
        <border outline="0">
          <right style="thin">
            <color indexed="64"/>
          </right>
        </border>
      </dxf>
    </rfmt>
    <rfmt sheetId="17" sqref="J28" start="0" length="0">
      <dxf>
        <font>
          <sz val="7"/>
          <color auto="1"/>
          <name val="Arial"/>
          <family val="2"/>
          <scheme val="none"/>
        </font>
        <alignment horizontal="left"/>
      </dxf>
    </rfmt>
    <rfmt sheetId="17" sqref="K28" start="0" length="0">
      <dxf>
        <font>
          <sz val="7"/>
          <color auto="1"/>
          <name val="Arial"/>
          <family val="2"/>
          <scheme val="none"/>
        </font>
        <alignment horizontal="left"/>
      </dxf>
    </rfmt>
    <rfmt sheetId="17" sqref="L28" start="0" length="0">
      <dxf>
        <numFmt numFmtId="30" formatCode="@"/>
        <alignment horizontal="left"/>
      </dxf>
    </rfmt>
    <rfmt sheetId="17" sqref="M28" start="0" length="0">
      <dxf>
        <font>
          <sz val="7"/>
          <color auto="1"/>
          <name val="Arial"/>
          <family val="2"/>
          <scheme val="none"/>
        </font>
        <numFmt numFmtId="30" formatCode="@"/>
        <alignment horizontal="left"/>
        <border outline="0">
          <right style="thin">
            <color indexed="64"/>
          </right>
        </border>
      </dxf>
    </rfmt>
  </rrc>
  <rrc rId="696" sId="17" ref="A28:XFD28" action="deleteRow">
    <rfmt sheetId="17" xfDxf="1" sqref="A28:XFD28" start="0" length="0"/>
    <rfmt sheetId="17" sqref="A28" start="0" length="0">
      <dxf>
        <font>
          <sz val="9"/>
          <color auto="1"/>
          <name val="Arial"/>
          <family val="2"/>
          <scheme val="none"/>
        </font>
        <numFmt numFmtId="30" formatCode="@"/>
        <alignment horizontal="left" wrapText="1" indent="3"/>
        <border outline="0">
          <right style="thin">
            <color indexed="64"/>
          </right>
        </border>
      </dxf>
    </rfmt>
    <rfmt sheetId="17" sqref="B28" start="0" length="0">
      <dxf>
        <numFmt numFmtId="3" formatCode="#,##0"/>
        <alignment horizontal="right"/>
      </dxf>
    </rfmt>
    <rfmt sheetId="17" sqref="C28" start="0" length="0">
      <dxf>
        <numFmt numFmtId="30" formatCode="@"/>
        <alignment horizontal="left"/>
      </dxf>
    </rfmt>
    <rfmt sheetId="17" sqref="D28" start="0" length="0">
      <dxf>
        <numFmt numFmtId="30" formatCode="@"/>
        <alignment horizontal="left"/>
      </dxf>
    </rfmt>
    <rfmt sheetId="17" sqref="E28" start="0" length="0">
      <dxf>
        <numFmt numFmtId="30" formatCode="@"/>
        <alignment horizontal="left"/>
        <border outline="0">
          <right style="thin">
            <color indexed="64"/>
          </right>
        </border>
      </dxf>
    </rfmt>
    <rfmt sheetId="17" s="1" sqref="F28" start="0" length="0">
      <dxf>
        <numFmt numFmtId="3" formatCode="#,##0"/>
        <alignment horizontal="right"/>
      </dxf>
    </rfmt>
    <rfmt sheetId="17" sqref="G28" start="0" length="0">
      <dxf>
        <alignment horizontal="left"/>
      </dxf>
    </rfmt>
    <rfmt sheetId="17" sqref="H28" start="0" length="0">
      <dxf>
        <alignment horizontal="left"/>
      </dxf>
    </rfmt>
    <rfmt sheetId="17" sqref="I28" start="0" length="0">
      <dxf>
        <font>
          <sz val="7"/>
          <color auto="1"/>
          <name val="Arial"/>
          <family val="2"/>
          <scheme val="none"/>
        </font>
        <numFmt numFmtId="30" formatCode="@"/>
        <alignment horizontal="left"/>
        <border outline="0">
          <right style="thin">
            <color indexed="64"/>
          </right>
        </border>
      </dxf>
    </rfmt>
    <rfmt sheetId="17" s="1" sqref="J28" start="0" length="0">
      <dxf>
        <numFmt numFmtId="3" formatCode="#,##0"/>
        <alignment horizontal="right"/>
      </dxf>
    </rfmt>
    <rfmt sheetId="17" sqref="K28" start="0" length="0">
      <dxf>
        <alignment horizontal="left"/>
      </dxf>
    </rfmt>
    <rfmt sheetId="17" sqref="L28" start="0" length="0">
      <dxf>
        <alignment horizontal="left"/>
      </dxf>
    </rfmt>
    <rfmt sheetId="17" sqref="M28" start="0" length="0">
      <dxf>
        <font>
          <sz val="7"/>
          <color auto="1"/>
          <name val="Arial"/>
          <family val="2"/>
          <scheme val="none"/>
        </font>
        <numFmt numFmtId="30" formatCode="@"/>
        <alignment horizontal="left"/>
        <border outline="0">
          <right style="thin">
            <color indexed="64"/>
          </right>
        </border>
      </dxf>
    </rfmt>
  </rrc>
  <rcc rId="697" sId="17" odxf="1" dxf="1">
    <nc r="F21">
      <f>F19*F20</f>
    </nc>
    <odxf>
      <font>
        <b val="0"/>
        <sz val="9"/>
        <color auto="1"/>
        <name val="Arial"/>
        <family val="2"/>
        <scheme val="none"/>
      </font>
      <numFmt numFmtId="4" formatCode="#,##0.00"/>
    </odxf>
    <ndxf>
      <font>
        <b/>
        <sz val="9"/>
        <color auto="1"/>
        <name val="Arial"/>
        <family val="2"/>
        <scheme val="none"/>
      </font>
      <numFmt numFmtId="3" formatCode="#,##0"/>
    </ndxf>
  </rcc>
  <rcc rId="698" sId="17" odxf="1" dxf="1">
    <nc r="G21" t="inlineStr">
      <is>
        <r>
          <t>MgCO</t>
        </r>
        <r>
          <rPr>
            <vertAlign val="subscript"/>
            <sz val="9"/>
            <rFont val="Arial"/>
            <family val="2"/>
          </rPr>
          <t>2</t>
        </r>
        <r>
          <rPr>
            <sz val="9"/>
            <rFont val="Arial"/>
            <family val="2"/>
          </rPr>
          <t>e</t>
        </r>
      </is>
    </nc>
    <odxf/>
    <ndxf/>
  </rcc>
  <rcc rId="699" sId="17">
    <nc r="F20">
      <f>1/8</f>
    </nc>
  </rcc>
  <rcc rId="700" sId="17">
    <nc r="I20" t="inlineStr">
      <is>
        <t>8 counties served</t>
      </is>
    </nc>
  </rcc>
  <rcc rId="701" sId="17">
    <oc r="E15" t="inlineStr">
      <is>
        <t>unknown quantity, estimated as avg of 2008+2015</t>
      </is>
    </oc>
    <nc r="E15" t="inlineStr">
      <is>
        <t xml:space="preserve">unknown quantity, estimated as avg of 2008+2015. </t>
      </is>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F26">
    <dxf>
      <fill>
        <patternFill patternType="solid">
          <bgColor rgb="FFFFFF00"/>
        </patternFill>
      </fill>
    </dxf>
  </rfmt>
  <rcc rId="707" sId="8" xfDxf="1" dxf="1">
    <nc r="A11" t="inlineStr">
      <is>
        <t>Ind- Small Equip</t>
      </is>
    </nc>
  </rcc>
  <rcc rId="708" sId="8">
    <nc r="B11" t="inlineStr">
      <is>
        <t>Andrea M</t>
      </is>
    </nc>
  </rcc>
  <rcc rId="709" sId="8" odxf="1" dxf="1" numFmtId="19">
    <nc r="C11">
      <v>42873</v>
    </nc>
    <odxf>
      <numFmt numFmtId="0" formatCode="General"/>
    </odxf>
    <ndxf>
      <numFmt numFmtId="19" formatCode="m/d/yyyy"/>
    </ndxf>
  </rcc>
  <rcc rId="710" sId="8" numFmtId="19">
    <oc r="C10">
      <v>42872</v>
    </oc>
    <nc r="C10">
      <v>42873</v>
    </nc>
  </rcc>
  <rfmt sheetId="30" sqref="H101">
    <dxf>
      <fill>
        <patternFill patternType="solid">
          <bgColor rgb="FFFFFF00"/>
        </patternFill>
      </fill>
    </dxf>
  </rfmt>
  <rcmt sheetId="30" cell="H101" guid="{F67B577D-3784-43A3-AB7F-12CB0DA971DC}" alwaysShow="1" author="Andrea Martin" newLength="40"/>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6" sId="14" ref="A101:XFD101" action="deleteRow">
    <rfmt sheetId="14" xfDxf="1" sqref="A101:XFD101" start="0" length="0"/>
    <rcc rId="0" sId="14" dxf="1">
      <nc r="A101" t="inlineStr">
        <is>
          <t>3. Calculate non-point, non-fleet: Subtract point source,small equip CNG total consumption</t>
        </is>
      </nc>
      <ndxf>
        <numFmt numFmtId="30" formatCode="@"/>
        <alignment horizontal="left" wrapText="1"/>
        <border outline="0">
          <right style="thin">
            <color indexed="64"/>
          </right>
        </border>
      </ndxf>
    </rcc>
    <rcc rId="0" sId="14" s="1" dxf="1">
      <nc r="B101">
        <f>B100-B28-'Ind- Small Equip'!#REF!</f>
      </nc>
      <ndxf>
        <font>
          <sz val="9"/>
          <color auto="1"/>
          <name val="Arial"/>
          <family val="2"/>
          <scheme val="none"/>
        </font>
        <numFmt numFmtId="181" formatCode="_(* #,##0_);_(* \(#,##0\);_(* &quot;-&quot;??_);_(@_)"/>
        <fill>
          <patternFill patternType="solid">
            <bgColor rgb="FFFFFF00"/>
          </patternFill>
        </fill>
        <alignment horizontal="right"/>
      </ndxf>
    </rcc>
    <rcc rId="0" sId="14" dxf="1">
      <nc r="C101" t="inlineStr">
        <is>
          <t>TJ</t>
        </is>
      </nc>
      <ndxf>
        <font>
          <sz val="9"/>
          <color auto="1"/>
          <name val="Arial"/>
          <family val="2"/>
          <scheme val="none"/>
        </font>
        <numFmt numFmtId="30" formatCode="@"/>
        <alignment vertical="bottom"/>
      </ndxf>
    </rcc>
    <rfmt sheetId="14" sqref="D101" start="0" length="0">
      <dxf>
        <font>
          <b/>
          <sz val="9"/>
          <color auto="1"/>
          <name val="Arial"/>
          <family val="2"/>
          <scheme val="none"/>
        </font>
        <numFmt numFmtId="3" formatCode="#,##0"/>
        <alignment vertical="bottom" wrapText="1"/>
      </dxf>
    </rfmt>
    <rfmt sheetId="14" sqref="E101" start="0" length="0">
      <dxf>
        <font>
          <b/>
          <sz val="9"/>
          <color auto="1"/>
          <name val="Arial"/>
          <family val="2"/>
          <scheme val="none"/>
        </font>
        <numFmt numFmtId="3" formatCode="#,##0"/>
        <alignment vertical="bottom" wrapText="1"/>
        <border outline="0">
          <right style="thin">
            <color indexed="64"/>
          </right>
        </border>
      </dxf>
    </rfmt>
    <rcc rId="0" sId="14" s="1" dxf="1">
      <nc r="F101">
        <f>F100-F28-'Ind- Small Equip'!#REF!</f>
      </nc>
      <ndxf>
        <font>
          <sz val="9"/>
          <color auto="1"/>
          <name val="Arial"/>
          <family val="2"/>
          <scheme val="none"/>
        </font>
        <numFmt numFmtId="181" formatCode="_(* #,##0_);_(* \(#,##0\);_(* &quot;-&quot;??_);_(@_)"/>
        <fill>
          <patternFill patternType="solid">
            <bgColor rgb="FFFFFF00"/>
          </patternFill>
        </fill>
        <alignment horizontal="right"/>
      </ndxf>
    </rcc>
    <rcc rId="0" sId="14" dxf="1">
      <nc r="G101" t="inlineStr">
        <is>
          <t>TJ</t>
        </is>
      </nc>
      <ndxf>
        <font>
          <sz val="9"/>
          <color auto="1"/>
          <name val="Arial"/>
          <family val="2"/>
          <scheme val="none"/>
        </font>
        <numFmt numFmtId="30" formatCode="@"/>
        <alignment vertical="bottom"/>
      </ndxf>
    </rcc>
    <rfmt sheetId="14" sqref="H101" start="0" length="0">
      <dxf>
        <font>
          <b/>
          <sz val="9"/>
          <color auto="1"/>
          <name val="Arial"/>
          <family val="2"/>
          <scheme val="none"/>
        </font>
        <numFmt numFmtId="30" formatCode="@"/>
        <alignment vertical="bottom"/>
      </dxf>
    </rfmt>
    <rfmt sheetId="14" sqref="I101" start="0" length="0">
      <dxf>
        <font>
          <b/>
          <sz val="9"/>
          <color auto="1"/>
          <name val="Arial"/>
          <family val="2"/>
          <scheme val="none"/>
        </font>
        <numFmt numFmtId="30" formatCode="@"/>
        <alignment vertical="bottom" wrapText="1"/>
      </dxf>
    </rfmt>
    <rfmt sheetId="14" sqref="J101" start="0" length="0">
      <dxf>
        <alignment horizontal="left"/>
        <border outline="0">
          <left style="thin">
            <color indexed="64"/>
          </left>
          <right style="thin">
            <color indexed="64"/>
          </right>
        </border>
      </dxf>
    </rfmt>
    <rcc rId="0" sId="14" s="1" dxf="1">
      <nc r="K101">
        <f>K100-K28-'Ind- Small Equip'!#REF!</f>
      </nc>
      <ndxf>
        <font>
          <sz val="9"/>
          <color auto="1"/>
          <name val="Arial"/>
          <family val="2"/>
          <scheme val="none"/>
        </font>
        <numFmt numFmtId="181" formatCode="_(* #,##0_);_(* \(#,##0\);_(* &quot;-&quot;??_);_(@_)"/>
        <fill>
          <patternFill patternType="solid">
            <bgColor rgb="FFFFFF00"/>
          </patternFill>
        </fill>
        <alignment horizontal="right"/>
      </ndxf>
    </rcc>
    <rcc rId="0" sId="14" dxf="1">
      <nc r="L101" t="inlineStr">
        <is>
          <t>TJ</t>
        </is>
      </nc>
      <ndxf>
        <font>
          <sz val="9"/>
          <color auto="1"/>
          <name val="Arial"/>
          <family val="2"/>
          <scheme val="none"/>
        </font>
        <numFmt numFmtId="30" formatCode="@"/>
        <alignment vertical="bottom"/>
      </ndxf>
    </rcc>
    <rfmt sheetId="14" sqref="M101" start="0" length="0">
      <dxf>
        <font>
          <b/>
          <sz val="9"/>
          <color auto="1"/>
          <name val="Arial"/>
          <family val="2"/>
          <scheme val="none"/>
        </font>
        <numFmt numFmtId="30" formatCode="@"/>
        <alignment vertical="bottom"/>
      </dxf>
    </rfmt>
    <rfmt sheetId="14" sqref="N101" start="0" length="0">
      <dxf>
        <font>
          <b/>
          <sz val="9"/>
          <color auto="1"/>
          <name val="Arial"/>
          <family val="2"/>
          <scheme val="none"/>
        </font>
        <numFmt numFmtId="30" formatCode="@"/>
        <alignment vertical="bottom" wrapText="1"/>
        <border outline="0">
          <right style="thin">
            <color indexed="64"/>
          </right>
        </border>
      </dxf>
    </rfmt>
  </rrc>
  <rrc rId="717" sId="14" ref="A99:XFD99" action="deleteRow">
    <rfmt sheetId="14" xfDxf="1" sqref="A99:XFD99" start="0" length="0"/>
    <rcc rId="0" sId="14" dxf="1">
      <nc r="A99" t="inlineStr">
        <is>
          <t>1. Convert to TJ</t>
        </is>
      </nc>
      <ndxf>
        <font>
          <sz val="9"/>
          <color auto="1"/>
          <name val="Arial"/>
          <family val="2"/>
          <scheme val="none"/>
        </font>
        <numFmt numFmtId="30" formatCode="@"/>
        <alignment horizontal="left" vertical="bottom"/>
        <border outline="0">
          <right style="thin">
            <color indexed="64"/>
          </right>
        </border>
      </ndxf>
    </rcc>
    <rfmt sheetId="14" sqref="B99" start="0" length="0">
      <dxf>
        <font>
          <b/>
          <sz val="9"/>
          <color auto="1"/>
          <name val="Arial"/>
          <family val="2"/>
          <scheme val="none"/>
        </font>
        <numFmt numFmtId="3" formatCode="#,##0"/>
        <alignment horizontal="right" vertical="bottom" wrapText="1"/>
      </dxf>
    </rfmt>
    <rfmt sheetId="14" sqref="C99" start="0" length="0">
      <dxf>
        <font>
          <b/>
          <sz val="9"/>
          <color auto="1"/>
          <name val="Arial"/>
          <family val="2"/>
          <scheme val="none"/>
        </font>
        <numFmt numFmtId="3" formatCode="#,##0"/>
        <alignment vertical="bottom" wrapText="1"/>
      </dxf>
    </rfmt>
    <rfmt sheetId="14" sqref="D99" start="0" length="0">
      <dxf>
        <font>
          <b/>
          <sz val="9"/>
          <color auto="1"/>
          <name val="Arial"/>
          <family val="2"/>
          <scheme val="none"/>
        </font>
        <numFmt numFmtId="3" formatCode="#,##0"/>
        <alignment vertical="bottom" wrapText="1"/>
      </dxf>
    </rfmt>
    <rfmt sheetId="14" sqref="E99" start="0" length="0">
      <dxf>
        <font>
          <b/>
          <sz val="9"/>
          <color auto="1"/>
          <name val="Arial"/>
          <family val="2"/>
          <scheme val="none"/>
        </font>
        <numFmt numFmtId="3" formatCode="#,##0"/>
        <alignment vertical="bottom" wrapText="1"/>
        <border outline="0">
          <right style="thin">
            <color indexed="64"/>
          </right>
        </border>
      </dxf>
    </rfmt>
    <rfmt sheetId="14" s="1" sqref="F99" start="0" length="0">
      <dxf>
        <font>
          <b/>
          <sz val="9"/>
          <color auto="1"/>
          <name val="Arial"/>
          <family val="2"/>
          <scheme val="none"/>
        </font>
        <numFmt numFmtId="181" formatCode="_(* #,##0_);_(* \(#,##0\);_(* &quot;-&quot;??_);_(@_)"/>
        <alignment horizontal="right"/>
      </dxf>
    </rfmt>
    <rfmt sheetId="14" sqref="G99" start="0" length="0">
      <dxf>
        <font>
          <b/>
          <sz val="9"/>
          <color auto="1"/>
          <name val="Arial"/>
          <family val="2"/>
          <scheme val="none"/>
        </font>
        <numFmt numFmtId="30" formatCode="@"/>
        <alignment vertical="bottom"/>
      </dxf>
    </rfmt>
    <rfmt sheetId="14" sqref="H99" start="0" length="0">
      <dxf>
        <font>
          <b/>
          <sz val="9"/>
          <color auto="1"/>
          <name val="Arial"/>
          <family val="2"/>
          <scheme val="none"/>
        </font>
        <numFmt numFmtId="30" formatCode="@"/>
        <alignment vertical="bottom"/>
      </dxf>
    </rfmt>
    <rfmt sheetId="14" sqref="I99" start="0" length="0">
      <dxf>
        <font>
          <b/>
          <sz val="9"/>
          <color auto="1"/>
          <name val="Arial"/>
          <family val="2"/>
          <scheme val="none"/>
        </font>
        <numFmt numFmtId="30" formatCode="@"/>
        <alignment vertical="bottom" wrapText="1"/>
      </dxf>
    </rfmt>
    <rfmt sheetId="14" sqref="J99" start="0" length="0">
      <dxf>
        <alignment horizontal="left"/>
        <border outline="0">
          <left style="thin">
            <color indexed="64"/>
          </left>
          <right style="thin">
            <color indexed="64"/>
          </right>
        </border>
      </dxf>
    </rfmt>
    <rfmt sheetId="14" s="1" sqref="K99" start="0" length="0">
      <dxf>
        <font>
          <b/>
          <sz val="9"/>
          <color auto="1"/>
          <name val="Arial"/>
          <family val="2"/>
          <scheme val="none"/>
        </font>
        <numFmt numFmtId="181" formatCode="_(* #,##0_);_(* \(#,##0\);_(* &quot;-&quot;??_);_(@_)"/>
        <fill>
          <patternFill patternType="solid">
            <bgColor theme="9" tint="0.79998168889431442"/>
          </patternFill>
        </fill>
        <alignment horizontal="right"/>
      </dxf>
    </rfmt>
    <rfmt sheetId="14" sqref="L99" start="0" length="0">
      <dxf>
        <font>
          <b/>
          <sz val="9"/>
          <color auto="1"/>
          <name val="Arial"/>
          <family val="2"/>
          <scheme val="none"/>
        </font>
        <numFmt numFmtId="30" formatCode="@"/>
        <alignment vertical="bottom"/>
      </dxf>
    </rfmt>
    <rfmt sheetId="14" sqref="M99" start="0" length="0">
      <dxf>
        <font>
          <b/>
          <sz val="9"/>
          <color auto="1"/>
          <name val="Arial"/>
          <family val="2"/>
          <scheme val="none"/>
        </font>
        <numFmt numFmtId="30" formatCode="@"/>
        <alignment vertical="bottom"/>
      </dxf>
    </rfmt>
    <rfmt sheetId="14" sqref="N99" start="0" length="0">
      <dxf>
        <font>
          <b/>
          <sz val="9"/>
          <color auto="1"/>
          <name val="Arial"/>
          <family val="2"/>
          <scheme val="none"/>
        </font>
        <numFmt numFmtId="30" formatCode="@"/>
        <alignment vertical="bottom" wrapText="1"/>
        <border outline="0">
          <right style="thin">
            <color indexed="64"/>
          </right>
        </border>
      </dxf>
    </rfmt>
  </rrc>
  <rrc rId="718" sId="14" ref="A99:XFD99" action="deleteRow">
    <rfmt sheetId="14" xfDxf="1" sqref="A99:XFD99" start="0" length="0"/>
    <rcc rId="0" sId="14" dxf="1">
      <nc r="A99" t="inlineStr">
        <is>
          <t>2. Aggregate consumption</t>
        </is>
      </nc>
      <ndxf>
        <font>
          <sz val="9"/>
          <color auto="1"/>
          <name val="Arial"/>
          <family val="2"/>
          <scheme val="none"/>
        </font>
        <numFmt numFmtId="30" formatCode="@"/>
        <alignment horizontal="left" wrapText="1"/>
        <border outline="0">
          <right style="thin">
            <color indexed="64"/>
          </right>
        </border>
      </ndxf>
    </rcc>
    <rcc rId="0" sId="14" s="1" dxf="1">
      <nc r="B99">
        <f>B97*thermTOTJ</f>
      </nc>
      <ndxf>
        <font>
          <sz val="9"/>
          <color auto="1"/>
          <name val="Arial"/>
          <family val="2"/>
          <scheme val="none"/>
        </font>
        <numFmt numFmtId="181" formatCode="_(* #,##0_);_(* \(#,##0\);_(* &quot;-&quot;??_);_(@_)"/>
        <alignment horizontal="right"/>
      </ndxf>
    </rcc>
    <rcc rId="0" sId="14" dxf="1">
      <nc r="C99" t="inlineStr">
        <is>
          <t>TJ</t>
        </is>
      </nc>
      <ndxf>
        <font>
          <sz val="9"/>
          <color auto="1"/>
          <name val="Arial"/>
          <family val="2"/>
          <scheme val="none"/>
        </font>
        <numFmt numFmtId="30" formatCode="@"/>
        <alignment vertical="bottom"/>
      </ndxf>
    </rcc>
    <rfmt sheetId="14" sqref="D99" start="0" length="0">
      <dxf>
        <font>
          <b/>
          <sz val="9"/>
          <color auto="1"/>
          <name val="Arial"/>
          <family val="2"/>
          <scheme val="none"/>
        </font>
        <numFmt numFmtId="3" formatCode="#,##0"/>
        <alignment vertical="bottom" wrapText="1"/>
      </dxf>
    </rfmt>
    <rfmt sheetId="14" sqref="E99" start="0" length="0">
      <dxf>
        <font>
          <b/>
          <sz val="9"/>
          <color auto="1"/>
          <name val="Arial"/>
          <family val="2"/>
          <scheme val="none"/>
        </font>
        <numFmt numFmtId="3" formatCode="#,##0"/>
        <alignment vertical="bottom" wrapText="1"/>
        <border outline="0">
          <right style="thin">
            <color indexed="64"/>
          </right>
        </border>
      </dxf>
    </rfmt>
    <rcc rId="0" sId="14" s="1" dxf="1">
      <nc r="F99">
        <f>F97*thermTOTJ</f>
      </nc>
      <ndxf>
        <font>
          <sz val="9"/>
          <color auto="1"/>
          <name val="Arial"/>
          <family val="2"/>
          <scheme val="none"/>
        </font>
        <numFmt numFmtId="181" formatCode="_(* #,##0_);_(* \(#,##0\);_(* &quot;-&quot;??_);_(@_)"/>
        <alignment horizontal="right"/>
      </ndxf>
    </rcc>
    <rcc rId="0" sId="14" dxf="1">
      <nc r="G99" t="inlineStr">
        <is>
          <t>TJ</t>
        </is>
      </nc>
      <ndxf>
        <font>
          <sz val="9"/>
          <color auto="1"/>
          <name val="Arial"/>
          <family val="2"/>
          <scheme val="none"/>
        </font>
        <numFmt numFmtId="30" formatCode="@"/>
        <alignment vertical="bottom"/>
      </ndxf>
    </rcc>
    <rfmt sheetId="14" sqref="H99" start="0" length="0">
      <dxf>
        <font>
          <b/>
          <sz val="9"/>
          <color auto="1"/>
          <name val="Arial"/>
          <family val="2"/>
          <scheme val="none"/>
        </font>
        <numFmt numFmtId="30" formatCode="@"/>
        <alignment vertical="bottom"/>
      </dxf>
    </rfmt>
    <rfmt sheetId="14" sqref="I99" start="0" length="0">
      <dxf>
        <font>
          <b/>
          <sz val="9"/>
          <color auto="1"/>
          <name val="Arial"/>
          <family val="2"/>
          <scheme val="none"/>
        </font>
        <numFmt numFmtId="30" formatCode="@"/>
        <alignment vertical="bottom" wrapText="1"/>
      </dxf>
    </rfmt>
    <rfmt sheetId="14" sqref="J99" start="0" length="0">
      <dxf>
        <alignment horizontal="left"/>
        <border outline="0">
          <left style="thin">
            <color indexed="64"/>
          </left>
          <right style="thin">
            <color indexed="64"/>
          </right>
        </border>
      </dxf>
    </rfmt>
    <rcc rId="0" sId="14" s="1" dxf="1">
      <nc r="K99">
        <f>K97*thermTOTJ</f>
      </nc>
      <ndxf>
        <font>
          <sz val="9"/>
          <color auto="1"/>
          <name val="Arial"/>
          <family val="2"/>
          <scheme val="none"/>
        </font>
        <numFmt numFmtId="181" formatCode="_(* #,##0_);_(* \(#,##0\);_(* &quot;-&quot;??_);_(@_)"/>
        <fill>
          <patternFill patternType="solid">
            <bgColor theme="9" tint="0.79998168889431442"/>
          </patternFill>
        </fill>
        <alignment horizontal="right"/>
      </ndxf>
    </rcc>
    <rcc rId="0" sId="14" dxf="1">
      <nc r="L99" t="inlineStr">
        <is>
          <t>TJ</t>
        </is>
      </nc>
      <ndxf>
        <font>
          <sz val="9"/>
          <color auto="1"/>
          <name val="Arial"/>
          <family val="2"/>
          <scheme val="none"/>
        </font>
        <numFmt numFmtId="30" formatCode="@"/>
        <alignment vertical="bottom"/>
      </ndxf>
    </rcc>
    <rfmt sheetId="14" sqref="M99" start="0" length="0">
      <dxf>
        <font>
          <b/>
          <sz val="9"/>
          <color auto="1"/>
          <name val="Arial"/>
          <family val="2"/>
          <scheme val="none"/>
        </font>
        <numFmt numFmtId="30" formatCode="@"/>
        <alignment vertical="bottom"/>
      </dxf>
    </rfmt>
    <rfmt sheetId="14" sqref="N99" start="0" length="0">
      <dxf>
        <font>
          <b/>
          <sz val="9"/>
          <color auto="1"/>
          <name val="Arial"/>
          <family val="2"/>
          <scheme val="none"/>
        </font>
        <numFmt numFmtId="30" formatCode="@"/>
        <alignment vertical="bottom" wrapText="1"/>
        <border outline="0">
          <right style="thin">
            <color indexed="64"/>
          </right>
        </border>
      </dxf>
    </rfmt>
  </rrc>
  <rfmt sheetId="14" sqref="A99" start="0" length="0">
    <dxf>
      <alignment relativeIndent="1"/>
    </dxf>
  </rfmt>
  <rcc rId="719" sId="14">
    <nc r="A99" t="inlineStr">
      <is>
        <t>Convert to mmbtu</t>
      </is>
    </nc>
  </rcc>
  <rfmt sheetId="14" sqref="A100" start="0" length="0">
    <dxf>
      <alignment relativeIndent="1"/>
    </dxf>
  </rfmt>
  <rcc rId="720" sId="14" odxf="1" dxf="1">
    <nc r="A100" t="inlineStr">
      <is>
        <t>Calculate emissions</t>
      </is>
    </nc>
    <odxf>
      <font>
        <family val="2"/>
      </font>
    </odxf>
    <ndxf>
      <font>
        <sz val="9"/>
        <color auto="1"/>
        <name val="Arial"/>
        <family val="2"/>
        <scheme val="none"/>
      </font>
    </ndxf>
  </rcc>
  <rcc rId="721" sId="11">
    <oc r="Q40" t="inlineStr">
      <is>
        <t>KC15-20-02</t>
      </is>
    </oc>
    <nc r="Q40" t="inlineStr">
      <is>
        <t>KC15_40_01</t>
      </is>
    </nc>
  </rcc>
  <rcc rId="722" sId="11">
    <oc r="R40" t="inlineStr">
      <is>
        <t>cells F35 D35</t>
      </is>
    </oc>
    <nc r="R40"/>
  </rcc>
  <rcmt sheetId="11" cell="Q40" guid="{00000000-0000-0000-0000-000000000000}" action="delete" alwaysShow="1" author="Andrea Martin"/>
  <rcc rId="723" sId="11">
    <oc r="L40" t="inlineStr">
      <is>
        <t>KC08-21-0_EIA_DistFuel-WA</t>
      </is>
    </oc>
    <nc r="L40" t="inlineStr">
      <is>
        <t>KC08-21-0</t>
      </is>
    </nc>
  </rcc>
  <rcc rId="724" sId="11">
    <oc r="H40" t="inlineStr">
      <is>
        <t>KC08-21-0_EIA_DistFuel-WA</t>
      </is>
    </oc>
    <nc r="H40" t="inlineStr">
      <is>
        <t>KC08-21-0</t>
      </is>
    </nc>
  </rcc>
  <rcc rId="725" sId="11">
    <oc r="H27" t="inlineStr">
      <is>
        <t>KC08-40-1_00-08ProcessData</t>
      </is>
    </oc>
    <nc r="H27" t="inlineStr">
      <is>
        <t>KC08-40-1_00-08</t>
      </is>
    </nc>
  </rcc>
  <rcc rId="726" sId="11">
    <oc r="H26" t="inlineStr">
      <is>
        <t>KC08-40-1_00-08ProcessData</t>
      </is>
    </oc>
    <nc r="H26" t="inlineStr">
      <is>
        <t>KC08-40-1_00-08</t>
      </is>
    </nc>
  </rcc>
  <rcc rId="727" sId="11">
    <oc r="H25" t="inlineStr">
      <is>
        <t>KC08-40-1_00-08ProcessData</t>
      </is>
    </oc>
    <nc r="H25" t="inlineStr">
      <is>
        <t>KC08-40-1_00-08</t>
      </is>
    </nc>
  </rcc>
  <rcc rId="728" sId="11">
    <oc r="H10" t="inlineStr">
      <is>
        <t>KC08-40-1_00-08ProcessData</t>
      </is>
    </oc>
    <nc r="H10" t="inlineStr">
      <is>
        <t>KC08-40-1_00-08</t>
      </is>
    </nc>
  </rcc>
  <rcc rId="729" sId="11">
    <oc r="H11" t="inlineStr">
      <is>
        <t>KC08-40-1_00-08ProcessData</t>
      </is>
    </oc>
    <nc r="H11" t="inlineStr">
      <is>
        <t>KC08-40-1_00-08</t>
      </is>
    </nc>
  </rcc>
  <rcc rId="730" sId="11">
    <oc r="H12" t="inlineStr">
      <is>
        <t>KC08-40-1_00-08ProcessData</t>
      </is>
    </oc>
    <nc r="H12" t="inlineStr">
      <is>
        <t>KC08-40-1_00-08</t>
      </is>
    </nc>
  </rcc>
  <rcc rId="731" sId="11">
    <oc r="H13" t="inlineStr">
      <is>
        <t>KC08-40-1_00-08ProcessData</t>
      </is>
    </oc>
    <nc r="H13" t="inlineStr">
      <is>
        <t>KC08-40-1_00-08</t>
      </is>
    </nc>
  </rcc>
  <rcc rId="732" sId="11">
    <oc r="H14" t="inlineStr">
      <is>
        <t>KC08-40-1_00-08ProcessData</t>
      </is>
    </oc>
    <nc r="H14" t="inlineStr">
      <is>
        <t>KC08-40-1_00-08</t>
      </is>
    </nc>
  </rcc>
  <rcc rId="733" sId="11">
    <oc r="L14" t="inlineStr">
      <is>
        <t>KC08-24-0_08-10ProcessData</t>
      </is>
    </oc>
    <nc r="L14" t="inlineStr">
      <is>
        <t>KC08-40-1_00-08</t>
      </is>
    </nc>
  </rcc>
  <rcc rId="734" sId="11">
    <oc r="D34" t="inlineStr">
      <is>
        <t>KC08-61-2_PSE03</t>
      </is>
    </oc>
    <nc r="D34" t="inlineStr">
      <is>
        <t>KC08-61-2</t>
      </is>
    </nc>
  </rcc>
  <rcc rId="735" sId="11">
    <oc r="D40" t="inlineStr">
      <is>
        <t>KC08-21-0_EIA_DistFuel-WA</t>
      </is>
    </oc>
    <nc r="D40" t="inlineStr">
      <is>
        <t>KC08-21-0</t>
      </is>
    </nc>
  </rcc>
  <rfmt sheetId="11" sqref="B39">
    <dxf>
      <numFmt numFmtId="35" formatCode="_(* #,##0.00_);_(* \(#,##0.00\);_(* &quot;-&quot;??_);_(@_)"/>
    </dxf>
  </rfmt>
  <rfmt sheetId="11" sqref="B39">
    <dxf>
      <numFmt numFmtId="35" formatCode="_(* #,##0.00_);_(* \(#,##0.00\);_(* &quot;-&quot;??_);_(@_)"/>
    </dxf>
  </rfmt>
  <rfmt sheetId="11" sqref="B39">
    <dxf>
      <numFmt numFmtId="0" formatCode="General"/>
    </dxf>
  </rfmt>
  <rfmt sheetId="11" sqref="B10:B14" start="0" length="2147483647">
    <dxf>
      <font>
        <i val="0"/>
        <family val="2"/>
      </font>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0" sqref="C157">
    <dxf>
      <fill>
        <patternFill patternType="solid">
          <bgColor rgb="FFFFFF00"/>
        </patternFill>
      </fill>
    </dxf>
  </rfmt>
  <rfmt sheetId="30" sqref="F144">
    <dxf>
      <fill>
        <patternFill patternType="solid">
          <bgColor rgb="FFFFFF00"/>
        </patternFill>
      </fill>
    </dxf>
  </rfmt>
  <rfmt sheetId="17" sqref="E6" start="0" length="2147483647">
    <dxf>
      <font>
        <sz val="8"/>
        <family val="2"/>
      </font>
    </dxf>
  </rfmt>
  <rfmt sheetId="17" sqref="E6" start="0" length="2147483647">
    <dxf>
      <font>
        <sz val="9"/>
        <family val="2"/>
      </font>
    </dxf>
  </rfmt>
  <rfmt sheetId="17" sqref="D8:E8">
    <dxf>
      <border>
        <left/>
        <right/>
        <vertical/>
      </border>
    </dxf>
  </rfmt>
  <rfmt sheetId="17" sqref="E20" start="0" length="0">
    <dxf>
      <font>
        <sz val="9"/>
        <color auto="1"/>
        <name val="Arial"/>
        <family val="2"/>
        <scheme val="none"/>
      </font>
      <numFmt numFmtId="0" formatCode="General"/>
    </dxf>
  </rfmt>
  <rfmt sheetId="17" sqref="D20" start="0" length="0">
    <dxf>
      <font>
        <sz val="9"/>
        <color auto="1"/>
        <name val="Arial"/>
        <family val="2"/>
        <scheme val="none"/>
      </font>
      <numFmt numFmtId="0" formatCode="General"/>
      <border outline="0">
        <right/>
      </border>
    </dxf>
  </rfmt>
  <rfmt sheetId="17" sqref="I20" start="0" length="0">
    <dxf>
      <font>
        <sz val="9"/>
        <color auto="1"/>
        <name val="Arial"/>
        <family val="2"/>
        <scheme val="none"/>
      </font>
      <numFmt numFmtId="0" formatCode="General"/>
    </dxf>
  </rfmt>
  <rfmt sheetId="17" sqref="H6" start="0" length="0">
    <dxf/>
  </rfmt>
  <rfmt sheetId="17" sqref="I6" start="0" length="0">
    <dxf>
      <font>
        <sz val="9"/>
        <color auto="1"/>
        <name val="Arial"/>
        <family val="2"/>
        <scheme val="none"/>
      </font>
    </dxf>
  </rfmt>
  <rfmt sheetId="17" sqref="H7" start="0" length="0">
    <dxf/>
  </rfmt>
  <rfmt sheetId="17" sqref="I7" start="0" length="0">
    <dxf>
      <font>
        <sz val="9"/>
        <color auto="1"/>
        <name val="Arial"/>
        <family val="2"/>
        <scheme val="none"/>
      </font>
    </dxf>
  </rfmt>
  <rfmt sheetId="17" sqref="H8" start="0" length="0">
    <dxf>
      <border outline="0">
        <right/>
      </border>
    </dxf>
  </rfmt>
  <rfmt sheetId="17" sqref="I8" start="0" length="0">
    <dxf>
      <font>
        <sz val="9"/>
        <color auto="1"/>
        <name val="Arial"/>
        <family val="2"/>
        <scheme val="none"/>
      </font>
    </dxf>
  </rfmt>
  <rfmt sheetId="17" sqref="M6" start="0" length="0">
    <dxf>
      <font>
        <sz val="9"/>
        <color auto="1"/>
        <name val="Arial"/>
        <family val="2"/>
        <scheme val="none"/>
      </font>
    </dxf>
  </rfmt>
  <rfmt sheetId="17" sqref="M20" start="0" length="0">
    <dxf>
      <font>
        <b/>
        <sz val="7"/>
        <family val="2"/>
      </font>
    </dxf>
  </rfmt>
  <rfmt sheetId="17" sqref="M20" start="0" length="0">
    <dxf>
      <font>
        <b val="0"/>
        <sz val="9"/>
        <color auto="1"/>
        <name val="Arial"/>
        <family val="2"/>
        <scheme val="none"/>
      </font>
      <numFmt numFmtId="0" formatCode="General"/>
    </dxf>
  </rfmt>
  <rfmt sheetId="17" sqref="J6">
    <dxf>
      <numFmt numFmtId="35" formatCode="_(* #,##0.00_);_(* \(#,##0.00\);_(* &quot;-&quot;??_);_(@_)"/>
    </dxf>
  </rfmt>
  <rfmt sheetId="17" sqref="J6">
    <dxf>
      <numFmt numFmtId="183" formatCode="_(* #,##0.000_);_(* \(#,##0.000\);_(* &quot;-&quot;??_);_(@_)"/>
    </dxf>
  </rfmt>
  <rfmt sheetId="17" sqref="J6">
    <dxf>
      <numFmt numFmtId="188" formatCode="_(* #,##0.0000_);_(* \(#,##0.0000\);_(* &quot;-&quot;??_);_(@_)"/>
    </dxf>
  </rfmt>
  <rfmt sheetId="17" sqref="J6">
    <dxf>
      <numFmt numFmtId="183" formatCode="_(* #,##0.000_);_(* \(#,##0.000\);_(* &quot;-&quot;??_);_(@_)"/>
    </dxf>
  </rfmt>
  <rfmt sheetId="17" sqref="J6">
    <dxf>
      <numFmt numFmtId="35" formatCode="_(* #,##0.00_);_(* \(#,##0.00\);_(* &quot;-&quot;??_);_(@_)"/>
    </dxf>
  </rfmt>
  <rfmt sheetId="17" sqref="J6">
    <dxf>
      <numFmt numFmtId="182" formatCode="_(* #,##0.0_);_(* \(#,##0.0\);_(* &quot;-&quot;??_);_(@_)"/>
    </dxf>
  </rfmt>
  <rfmt sheetId="17" sqref="J6">
    <dxf>
      <numFmt numFmtId="181" formatCode="_(* #,##0_);_(* \(#,##0\);_(* &quot;-&quot;??_);_(@_)"/>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6" sId="11">
    <oc r="C11" t="inlineStr">
      <is>
        <t>1001 Therms</t>
      </is>
    </oc>
    <nc r="C11" t="inlineStr">
      <is>
        <t>1000 Therms</t>
      </is>
    </nc>
  </rcc>
  <rcc rId="737" sId="11">
    <oc r="C12" t="inlineStr">
      <is>
        <t>1002 Therms</t>
      </is>
    </oc>
    <nc r="C12" t="inlineStr">
      <is>
        <t>1000 Therms</t>
      </is>
    </nc>
  </rcc>
  <rcc rId="738" sId="11">
    <oc r="C13" t="inlineStr">
      <is>
        <t>1003 Therms</t>
      </is>
    </oc>
    <nc r="C13" t="inlineStr">
      <is>
        <t>1000 Therms</t>
      </is>
    </nc>
  </rcc>
  <rcc rId="739" sId="11">
    <oc r="C14" t="inlineStr">
      <is>
        <t>1004 Therms</t>
      </is>
    </oc>
    <nc r="C14" t="inlineStr">
      <is>
        <t>1000 Therms</t>
      </is>
    </nc>
  </rcc>
  <rcc rId="740" sId="12">
    <oc r="D6" t="inlineStr">
      <is>
        <t>KC15-20-03</t>
      </is>
    </oc>
    <nc r="D6" t="inlineStr">
      <is>
        <t>KC15-20-02</t>
      </is>
    </nc>
  </rcc>
  <rcc rId="741" sId="12">
    <oc r="D7" t="inlineStr">
      <is>
        <t>KC15-20-03</t>
      </is>
    </oc>
    <nc r="D7" t="inlineStr">
      <is>
        <t>KC15-20-02</t>
      </is>
    </nc>
  </rcc>
  <rcc rId="742" sId="12">
    <oc r="D10" t="inlineStr">
      <is>
        <t>KC15-20-03</t>
      </is>
    </oc>
    <nc r="D10" t="inlineStr">
      <is>
        <t>KC15-20-02</t>
      </is>
    </nc>
  </rcc>
  <rcc rId="743" sId="12">
    <oc r="D11" t="inlineStr">
      <is>
        <t>KC15-20-03</t>
      </is>
    </oc>
    <nc r="D11" t="inlineStr">
      <is>
        <t>KC15-20-02</t>
      </is>
    </nc>
  </rcc>
  <rcc rId="744" sId="12">
    <oc r="D14" t="inlineStr">
      <is>
        <t>KC15-20-03</t>
      </is>
    </oc>
    <nc r="D14" t="inlineStr">
      <is>
        <t>KC15-20-02</t>
      </is>
    </nc>
  </rcc>
  <rcc rId="745" sId="12">
    <oc r="D15" t="inlineStr">
      <is>
        <t>KC15-20-03</t>
      </is>
    </oc>
    <nc r="D15" t="inlineStr">
      <is>
        <t>KC15-20-02</t>
      </is>
    </nc>
  </rcc>
  <rcc rId="746" sId="12">
    <oc r="D18" t="inlineStr">
      <is>
        <t>KC15-20-03</t>
      </is>
    </oc>
    <nc r="D18" t="inlineStr">
      <is>
        <t>KC15-20-02</t>
      </is>
    </nc>
  </rcc>
  <rcc rId="747" sId="12">
    <oc r="D19" t="inlineStr">
      <is>
        <t>KC15-20-03</t>
      </is>
    </oc>
    <nc r="D19" t="inlineStr">
      <is>
        <t>KC15-20-02</t>
      </is>
    </nc>
  </rcc>
  <rcc rId="748" sId="12">
    <oc r="H6" t="inlineStr">
      <is>
        <t>KC15-20-03</t>
      </is>
    </oc>
    <nc r="H6" t="inlineStr">
      <is>
        <t>KC15-20-02</t>
      </is>
    </nc>
  </rcc>
  <rcc rId="749" sId="12">
    <oc r="H7" t="inlineStr">
      <is>
        <t>KC15-20-03</t>
      </is>
    </oc>
    <nc r="H7" t="inlineStr">
      <is>
        <t>KC15-20-02</t>
      </is>
    </nc>
  </rcc>
  <rcc rId="750" sId="12">
    <oc r="H10" t="inlineStr">
      <is>
        <t>KC15-20-03</t>
      </is>
    </oc>
    <nc r="H10" t="inlineStr">
      <is>
        <t>KC15-20-02</t>
      </is>
    </nc>
  </rcc>
  <rcc rId="751" sId="12">
    <oc r="H11" t="inlineStr">
      <is>
        <t>KC15-20-03</t>
      </is>
    </oc>
    <nc r="H11" t="inlineStr">
      <is>
        <t>KC15-20-02</t>
      </is>
    </nc>
  </rcc>
  <rcc rId="752" sId="12">
    <oc r="H14" t="inlineStr">
      <is>
        <t>KC15-20-03</t>
      </is>
    </oc>
    <nc r="H14" t="inlineStr">
      <is>
        <t>KC15-20-02</t>
      </is>
    </nc>
  </rcc>
  <rcc rId="753" sId="12">
    <oc r="H15" t="inlineStr">
      <is>
        <t>KC15-20-03</t>
      </is>
    </oc>
    <nc r="H15" t="inlineStr">
      <is>
        <t>KC15-20-02</t>
      </is>
    </nc>
  </rcc>
  <rcc rId="754" sId="12">
    <oc r="H18" t="inlineStr">
      <is>
        <t>KC15-20-03</t>
      </is>
    </oc>
    <nc r="H18" t="inlineStr">
      <is>
        <t>KC15-20-02</t>
      </is>
    </nc>
  </rcc>
  <rcc rId="755" sId="12">
    <oc r="H19" t="inlineStr">
      <is>
        <t>KC15-20-03</t>
      </is>
    </oc>
    <nc r="H19" t="inlineStr">
      <is>
        <t>KC15-20-02</t>
      </is>
    </nc>
  </rcc>
  <rcc rId="756" sId="12">
    <oc r="L6" t="inlineStr">
      <is>
        <t>KC15-20-03</t>
      </is>
    </oc>
    <nc r="L6" t="inlineStr">
      <is>
        <t>KC15-20-02</t>
      </is>
    </nc>
  </rcc>
  <rcc rId="757" sId="12">
    <oc r="L7" t="inlineStr">
      <is>
        <t>KC15-20-03</t>
      </is>
    </oc>
    <nc r="L7" t="inlineStr">
      <is>
        <t>KC15-20-02</t>
      </is>
    </nc>
  </rcc>
  <rcc rId="758" sId="12">
    <oc r="L10" t="inlineStr">
      <is>
        <t>KC15-20-03</t>
      </is>
    </oc>
    <nc r="L10" t="inlineStr">
      <is>
        <t>KC15-20-02</t>
      </is>
    </nc>
  </rcc>
  <rcc rId="759" sId="12">
    <oc r="L11" t="inlineStr">
      <is>
        <t>KC15-20-03</t>
      </is>
    </oc>
    <nc r="L11" t="inlineStr">
      <is>
        <t>KC15-20-02</t>
      </is>
    </nc>
  </rcc>
  <rcc rId="760" sId="12">
    <oc r="L14" t="inlineStr">
      <is>
        <t>KC15-20-03</t>
      </is>
    </oc>
    <nc r="L14" t="inlineStr">
      <is>
        <t>KC15-20-02</t>
      </is>
    </nc>
  </rcc>
  <rcc rId="761" sId="12">
    <oc r="L15" t="inlineStr">
      <is>
        <t>KC15-20-03</t>
      </is>
    </oc>
    <nc r="L15" t="inlineStr">
      <is>
        <t>KC15-20-02</t>
      </is>
    </nc>
  </rcc>
  <rcc rId="762" sId="12">
    <oc r="L18" t="inlineStr">
      <is>
        <t>KC15-20-03</t>
      </is>
    </oc>
    <nc r="L18" t="inlineStr">
      <is>
        <t>KC15-20-02</t>
      </is>
    </nc>
  </rcc>
  <rcc rId="763" sId="12">
    <oc r="L19" t="inlineStr">
      <is>
        <t>KC15-20-03</t>
      </is>
    </oc>
    <nc r="L19" t="inlineStr">
      <is>
        <t>KC15-20-02</t>
      </is>
    </nc>
  </rcc>
  <rcc rId="764" sId="12">
    <oc r="P6" t="inlineStr">
      <is>
        <t>KC15-20-03</t>
      </is>
    </oc>
    <nc r="P6" t="inlineStr">
      <is>
        <t>KC15-20-02</t>
      </is>
    </nc>
  </rcc>
  <rcc rId="765" sId="12">
    <oc r="P7" t="inlineStr">
      <is>
        <t>KC15-20-03</t>
      </is>
    </oc>
    <nc r="P7" t="inlineStr">
      <is>
        <t>KC15-20-02</t>
      </is>
    </nc>
  </rcc>
  <rcc rId="766" sId="12">
    <oc r="P10" t="inlineStr">
      <is>
        <t>KC15-20-03</t>
      </is>
    </oc>
    <nc r="P10" t="inlineStr">
      <is>
        <t>KC15-20-02</t>
      </is>
    </nc>
  </rcc>
  <rcc rId="767" sId="12">
    <oc r="P11" t="inlineStr">
      <is>
        <t>KC15-20-03</t>
      </is>
    </oc>
    <nc r="P11" t="inlineStr">
      <is>
        <t>KC15-20-02</t>
      </is>
    </nc>
  </rcc>
  <rcc rId="768" sId="12">
    <oc r="P14" t="inlineStr">
      <is>
        <t>KC15-20-03</t>
      </is>
    </oc>
    <nc r="P14" t="inlineStr">
      <is>
        <t>KC15-20-02</t>
      </is>
    </nc>
  </rcc>
  <rcc rId="769" sId="12">
    <oc r="P15" t="inlineStr">
      <is>
        <t>KC15-20-03</t>
      </is>
    </oc>
    <nc r="P15" t="inlineStr">
      <is>
        <t>KC15-20-02</t>
      </is>
    </nc>
  </rcc>
  <rcc rId="770" sId="12">
    <oc r="P18" t="inlineStr">
      <is>
        <t>KC15-20-03</t>
      </is>
    </oc>
    <nc r="P18" t="inlineStr">
      <is>
        <t>KC15-20-02</t>
      </is>
    </nc>
  </rcc>
  <rcc rId="771" sId="12">
    <oc r="P19" t="inlineStr">
      <is>
        <t>KC15-20-03</t>
      </is>
    </oc>
    <nc r="P19" t="inlineStr">
      <is>
        <t>KC15-20-02</t>
      </is>
    </nc>
  </rcc>
  <rcc rId="772" sId="16">
    <oc r="D7" t="inlineStr">
      <is>
        <t>KC15-20-03</t>
      </is>
    </oc>
    <nc r="D7" t="inlineStr">
      <is>
        <t>KC15-20-02</t>
      </is>
    </nc>
  </rcc>
  <rcc rId="773" sId="16">
    <oc r="D8" t="inlineStr">
      <is>
        <t>KC15-20-03</t>
      </is>
    </oc>
    <nc r="D8" t="inlineStr">
      <is>
        <t>KC15-20-02</t>
      </is>
    </nc>
  </rcc>
  <rfmt sheetId="16" sqref="D9" start="0" length="0">
    <dxf>
      <numFmt numFmtId="30" formatCode="@"/>
      <alignment horizontal="general" vertical="bottom"/>
    </dxf>
  </rfmt>
  <rfmt sheetId="16" sqref="D10" start="0" length="0">
    <dxf>
      <numFmt numFmtId="30" formatCode="@"/>
      <alignment horizontal="general" vertical="bottom"/>
    </dxf>
  </rfmt>
  <rfmt sheetId="16" sqref="D11" start="0" length="0">
    <dxf>
      <font>
        <u val="none"/>
        <sz val="9"/>
        <color auto="1"/>
        <name val="Arial"/>
        <family val="2"/>
        <scheme val="none"/>
      </font>
      <alignment vertical="top"/>
    </dxf>
  </rfmt>
  <rcc rId="774" sId="16">
    <oc r="D12" t="inlineStr">
      <is>
        <t>KC15-20-03</t>
      </is>
    </oc>
    <nc r="D12" t="inlineStr">
      <is>
        <t>KC15-20-02</t>
      </is>
    </nc>
  </rcc>
  <rfmt sheetId="16" sqref="D13" start="0" length="0">
    <dxf>
      <numFmt numFmtId="30" formatCode="@"/>
      <alignment horizontal="general" vertical="bottom"/>
    </dxf>
  </rfmt>
  <rfmt sheetId="16" sqref="D14" start="0" length="0">
    <dxf>
      <numFmt numFmtId="30" formatCode="@"/>
      <alignment horizontal="general" vertical="bottom"/>
    </dxf>
  </rfmt>
  <rfmt sheetId="16" sqref="D17" start="0" length="0">
    <dxf>
      <font>
        <u val="none"/>
        <sz val="9"/>
        <color auto="1"/>
        <name val="Arial"/>
        <family val="2"/>
        <scheme val="none"/>
      </font>
      <numFmt numFmtId="30" formatCode="@"/>
      <alignment horizontal="general"/>
    </dxf>
  </rfmt>
  <rfmt sheetId="16" sqref="D18" start="0" length="0">
    <dxf>
      <numFmt numFmtId="30" formatCode="@"/>
      <alignment horizontal="general" vertical="bottom"/>
    </dxf>
  </rfmt>
  <rfmt sheetId="16" sqref="D9" start="0" length="0">
    <dxf>
      <numFmt numFmtId="0" formatCode="General"/>
      <alignment horizontal="left" vertical="top"/>
    </dxf>
  </rfmt>
  <rcc rId="775" sId="16">
    <oc r="D9" t="inlineStr">
      <is>
        <t>KC15-20-03</t>
      </is>
    </oc>
    <nc r="D9" t="inlineStr">
      <is>
        <t>KC15-20-02</t>
      </is>
    </nc>
  </rcc>
  <rcc rId="776" sId="16" odxf="1" dxf="1">
    <oc r="D13" t="inlineStr">
      <is>
        <t>KC15-20-03</t>
      </is>
    </oc>
    <nc r="D13" t="inlineStr">
      <is>
        <t>KC15-20-02</t>
      </is>
    </nc>
    <ndxf>
      <numFmt numFmtId="0" formatCode="General"/>
      <alignment horizontal="left" vertical="top"/>
    </ndxf>
  </rcc>
  <rfmt sheetId="16" sqref="D14" start="0" length="0">
    <dxf>
      <numFmt numFmtId="0" formatCode="General"/>
      <alignment horizontal="left" vertical="top"/>
    </dxf>
  </rfmt>
  <rcc rId="777" sId="16">
    <oc r="D14" t="inlineStr">
      <is>
        <t>KC15-20-03</t>
      </is>
    </oc>
    <nc r="D14" t="inlineStr">
      <is>
        <t>KC15-20-02</t>
      </is>
    </nc>
  </rcc>
  <rcc rId="778" sId="16">
    <oc r="D15" t="inlineStr">
      <is>
        <t>KC15-20-03</t>
      </is>
    </oc>
    <nc r="D15" t="inlineStr">
      <is>
        <t>KC15-20-02</t>
      </is>
    </nc>
  </rcc>
  <rcc rId="779" sId="16" odxf="1" dxf="1">
    <oc r="D18" t="inlineStr">
      <is>
        <t>KC15-20-03</t>
      </is>
    </oc>
    <nc r="D18" t="inlineStr">
      <is>
        <t>KC15-20-02</t>
      </is>
    </nc>
    <ndxf>
      <numFmt numFmtId="0" formatCode="General"/>
      <alignment horizontal="left" vertical="top"/>
    </ndxf>
  </rcc>
  <rcc rId="780" sId="16">
    <oc r="D19" t="inlineStr">
      <is>
        <t>KC15-20-03</t>
      </is>
    </oc>
    <nc r="D19" t="inlineStr">
      <is>
        <t>KC15-20-02</t>
      </is>
    </nc>
  </rcc>
  <rcc rId="781" sId="16">
    <oc r="D20" t="inlineStr">
      <is>
        <t>KC15-20-03</t>
      </is>
    </oc>
    <nc r="D20" t="inlineStr">
      <is>
        <t>KC15-20-02</t>
      </is>
    </nc>
  </rcc>
  <rcc rId="782" sId="16">
    <oc r="D21" t="inlineStr">
      <is>
        <t>KC15-20-03</t>
      </is>
    </oc>
    <nc r="D21" t="inlineStr">
      <is>
        <t>KC15-20-02</t>
      </is>
    </nc>
  </rcc>
  <rcc rId="783" sId="16">
    <oc r="D24" t="inlineStr">
      <is>
        <t>KC15-20-03</t>
      </is>
    </oc>
    <nc r="D24" t="inlineStr">
      <is>
        <t>KC15-20-02</t>
      </is>
    </nc>
  </rcc>
  <rcc rId="784" sId="16">
    <oc r="D25" t="inlineStr">
      <is>
        <t>KC15-20-03</t>
      </is>
    </oc>
    <nc r="D25" t="inlineStr">
      <is>
        <t>KC15-20-02</t>
      </is>
    </nc>
  </rcc>
  <rcc rId="785" sId="16">
    <oc r="D26" t="inlineStr">
      <is>
        <t>KC15-20-03</t>
      </is>
    </oc>
    <nc r="D26" t="inlineStr">
      <is>
        <t>KC15-20-02</t>
      </is>
    </nc>
  </rcc>
  <rcc rId="786" sId="16">
    <oc r="H7" t="inlineStr">
      <is>
        <t>KC15-20-03</t>
      </is>
    </oc>
    <nc r="H7" t="inlineStr">
      <is>
        <t>KC15-20-02</t>
      </is>
    </nc>
  </rcc>
  <rcc rId="787" sId="16">
    <oc r="H8" t="inlineStr">
      <is>
        <t>KC15-20-03</t>
      </is>
    </oc>
    <nc r="H8" t="inlineStr">
      <is>
        <t>KC15-20-02</t>
      </is>
    </nc>
  </rcc>
  <rcc rId="788" sId="16">
    <oc r="H9" t="inlineStr">
      <is>
        <t>KC15-20-03</t>
      </is>
    </oc>
    <nc r="H9" t="inlineStr">
      <is>
        <t>KC15-20-02</t>
      </is>
    </nc>
  </rcc>
  <rfmt sheetId="16" sqref="H10" start="0" length="0">
    <dxf>
      <numFmt numFmtId="30" formatCode="@"/>
      <alignment horizontal="general" vertical="bottom"/>
    </dxf>
  </rfmt>
  <rfmt sheetId="16" sqref="H11" start="0" length="0">
    <dxf>
      <font>
        <u val="none"/>
        <sz val="9"/>
        <color auto="1"/>
        <name val="Arial"/>
        <family val="2"/>
        <scheme val="none"/>
      </font>
      <alignment vertical="top"/>
    </dxf>
  </rfmt>
  <rcc rId="789" sId="16">
    <oc r="H12" t="inlineStr">
      <is>
        <t>KC15-20-03</t>
      </is>
    </oc>
    <nc r="H12" t="inlineStr">
      <is>
        <t>KC15-20-02</t>
      </is>
    </nc>
  </rcc>
  <rcc rId="790" sId="16">
    <oc r="H13" t="inlineStr">
      <is>
        <t>KC15-20-03</t>
      </is>
    </oc>
    <nc r="H13" t="inlineStr">
      <is>
        <t>KC15-20-02</t>
      </is>
    </nc>
  </rcc>
  <rcc rId="791" sId="16">
    <oc r="H14" t="inlineStr">
      <is>
        <t>KC15-20-03</t>
      </is>
    </oc>
    <nc r="H14" t="inlineStr">
      <is>
        <t>KC15-20-02</t>
      </is>
    </nc>
  </rcc>
  <rcc rId="792" sId="16">
    <oc r="H15" t="inlineStr">
      <is>
        <t>KC15-20-03</t>
      </is>
    </oc>
    <nc r="H15" t="inlineStr">
      <is>
        <t>KC15-20-02</t>
      </is>
    </nc>
  </rcc>
  <rfmt sheetId="16" sqref="H17" start="0" length="0">
    <dxf>
      <font>
        <u val="none"/>
        <sz val="9"/>
        <color auto="1"/>
        <name val="Arial"/>
        <family val="2"/>
        <scheme val="none"/>
      </font>
      <numFmt numFmtId="30" formatCode="@"/>
      <alignment horizontal="general"/>
    </dxf>
  </rfmt>
  <rcc rId="793" sId="16">
    <oc r="H18" t="inlineStr">
      <is>
        <t>KC15-20-03</t>
      </is>
    </oc>
    <nc r="H18" t="inlineStr">
      <is>
        <t>KC15-20-02</t>
      </is>
    </nc>
  </rcc>
  <rcc rId="794" sId="16">
    <oc r="H19" t="inlineStr">
      <is>
        <t>KC15-20-03</t>
      </is>
    </oc>
    <nc r="H19" t="inlineStr">
      <is>
        <t>KC15-20-02</t>
      </is>
    </nc>
  </rcc>
  <rcc rId="795" sId="16">
    <oc r="H20" t="inlineStr">
      <is>
        <t>KC15-20-03</t>
      </is>
    </oc>
    <nc r="H20" t="inlineStr">
      <is>
        <t>KC15-20-02</t>
      </is>
    </nc>
  </rcc>
  <rcc rId="796" sId="16">
    <oc r="H21" t="inlineStr">
      <is>
        <t>KC15-20-03</t>
      </is>
    </oc>
    <nc r="H21" t="inlineStr">
      <is>
        <t>KC15-20-02</t>
      </is>
    </nc>
  </rcc>
  <rcc rId="797" sId="16">
    <oc r="H24" t="inlineStr">
      <is>
        <t>KC15-20-03</t>
      </is>
    </oc>
    <nc r="H24" t="inlineStr">
      <is>
        <t>KC15-20-02</t>
      </is>
    </nc>
  </rcc>
  <rcc rId="798" sId="16">
    <oc r="H25" t="inlineStr">
      <is>
        <t>KC15-20-03</t>
      </is>
    </oc>
    <nc r="H25" t="inlineStr">
      <is>
        <t>KC15-20-02</t>
      </is>
    </nc>
  </rcc>
  <rcc rId="799" sId="16">
    <oc r="H26" t="inlineStr">
      <is>
        <t>KC15-20-03</t>
      </is>
    </oc>
    <nc r="H26" t="inlineStr">
      <is>
        <t>KC15-20-02</t>
      </is>
    </nc>
  </rcc>
  <rcc rId="800" sId="16">
    <oc r="L7" t="inlineStr">
      <is>
        <t>KC15-20-03</t>
      </is>
    </oc>
    <nc r="L7" t="inlineStr">
      <is>
        <t>KC15-20-02</t>
      </is>
    </nc>
  </rcc>
  <rcc rId="801" sId="16">
    <oc r="L8" t="inlineStr">
      <is>
        <t>KC15-20-03</t>
      </is>
    </oc>
    <nc r="L8" t="inlineStr">
      <is>
        <t>KC15-20-02</t>
      </is>
    </nc>
  </rcc>
  <rcc rId="802" sId="16">
    <oc r="L9" t="inlineStr">
      <is>
        <t>KC15-20-03</t>
      </is>
    </oc>
    <nc r="L9" t="inlineStr">
      <is>
        <t>KC15-20-02</t>
      </is>
    </nc>
  </rcc>
  <rfmt sheetId="16" sqref="L10" start="0" length="0">
    <dxf>
      <numFmt numFmtId="30" formatCode="@"/>
      <alignment horizontal="general" vertical="bottom"/>
    </dxf>
  </rfmt>
  <rfmt sheetId="16" sqref="L11" start="0" length="0">
    <dxf>
      <font>
        <u val="none"/>
        <sz val="9"/>
        <color auto="1"/>
        <name val="Arial"/>
        <family val="2"/>
        <scheme val="none"/>
      </font>
      <alignment vertical="top"/>
    </dxf>
  </rfmt>
  <rcc rId="803" sId="16">
    <oc r="L12" t="inlineStr">
      <is>
        <t>KC15-20-03</t>
      </is>
    </oc>
    <nc r="L12" t="inlineStr">
      <is>
        <t>KC15-20-02</t>
      </is>
    </nc>
  </rcc>
  <rcc rId="804" sId="16">
    <oc r="L13" t="inlineStr">
      <is>
        <t>KC15-20-03</t>
      </is>
    </oc>
    <nc r="L13" t="inlineStr">
      <is>
        <t>KC15-20-02</t>
      </is>
    </nc>
  </rcc>
  <rcc rId="805" sId="16">
    <oc r="L14" t="inlineStr">
      <is>
        <t>KC15-20-03</t>
      </is>
    </oc>
    <nc r="L14" t="inlineStr">
      <is>
        <t>KC15-20-02</t>
      </is>
    </nc>
  </rcc>
  <rcc rId="806" sId="16">
    <oc r="L15" t="inlineStr">
      <is>
        <t>KC15-20-03</t>
      </is>
    </oc>
    <nc r="L15" t="inlineStr">
      <is>
        <t>KC15-20-02</t>
      </is>
    </nc>
  </rcc>
  <rfmt sheetId="16" sqref="L17" start="0" length="0">
    <dxf>
      <font>
        <u val="none"/>
        <sz val="9"/>
        <color auto="1"/>
        <name val="Arial"/>
        <family val="2"/>
        <scheme val="none"/>
      </font>
      <numFmt numFmtId="30" formatCode="@"/>
      <alignment horizontal="general"/>
    </dxf>
  </rfmt>
  <rcc rId="807" sId="16">
    <oc r="L18" t="inlineStr">
      <is>
        <t>KC15-20-03</t>
      </is>
    </oc>
    <nc r="L18" t="inlineStr">
      <is>
        <t>KC15-20-02</t>
      </is>
    </nc>
  </rcc>
  <rcc rId="808" sId="16">
    <oc r="L19" t="inlineStr">
      <is>
        <t>KC15-20-03</t>
      </is>
    </oc>
    <nc r="L19" t="inlineStr">
      <is>
        <t>KC15-20-02</t>
      </is>
    </nc>
  </rcc>
  <rcc rId="809" sId="16">
    <oc r="L20" t="inlineStr">
      <is>
        <t>KC15-20-03</t>
      </is>
    </oc>
    <nc r="L20" t="inlineStr">
      <is>
        <t>KC15-20-02</t>
      </is>
    </nc>
  </rcc>
  <rcc rId="810" sId="16">
    <oc r="L21" t="inlineStr">
      <is>
        <t>KC15-20-03</t>
      </is>
    </oc>
    <nc r="L21" t="inlineStr">
      <is>
        <t>KC15-20-02</t>
      </is>
    </nc>
  </rcc>
  <rcc rId="811" sId="16">
    <oc r="L24" t="inlineStr">
      <is>
        <t>KC15-20-03</t>
      </is>
    </oc>
    <nc r="L24" t="inlineStr">
      <is>
        <t>KC15-20-02</t>
      </is>
    </nc>
  </rcc>
  <rcc rId="812" sId="16">
    <oc r="L25" t="inlineStr">
      <is>
        <t>KC15-20-03</t>
      </is>
    </oc>
    <nc r="L25" t="inlineStr">
      <is>
        <t>KC15-20-02</t>
      </is>
    </nc>
  </rcc>
  <rcc rId="813" sId="16">
    <oc r="L26" t="inlineStr">
      <is>
        <t>KC15-20-03</t>
      </is>
    </oc>
    <nc r="L26" t="inlineStr">
      <is>
        <t>KC15-20-02</t>
      </is>
    </nc>
  </rcc>
  <rcc rId="814" sId="16">
    <oc r="P7" t="inlineStr">
      <is>
        <t>KC15-20-03</t>
      </is>
    </oc>
    <nc r="P7" t="inlineStr">
      <is>
        <t>KC15-20-02</t>
      </is>
    </nc>
  </rcc>
  <rcc rId="815" sId="16">
    <oc r="P8" t="inlineStr">
      <is>
        <t>KC15-20-03</t>
      </is>
    </oc>
    <nc r="P8" t="inlineStr">
      <is>
        <t>KC15-20-02</t>
      </is>
    </nc>
  </rcc>
  <rcc rId="816" sId="16">
    <oc r="P9" t="inlineStr">
      <is>
        <t>KC15-20-03</t>
      </is>
    </oc>
    <nc r="P9" t="inlineStr">
      <is>
        <t>KC15-20-02</t>
      </is>
    </nc>
  </rcc>
  <rfmt sheetId="16" sqref="P10" start="0" length="0">
    <dxf>
      <numFmt numFmtId="30" formatCode="@"/>
      <alignment horizontal="general" vertical="bottom"/>
    </dxf>
  </rfmt>
  <rfmt sheetId="16" sqref="P11" start="0" length="0">
    <dxf>
      <font>
        <u val="none"/>
        <sz val="9"/>
        <color auto="1"/>
        <name val="Arial"/>
        <family val="2"/>
        <scheme val="none"/>
      </font>
      <alignment vertical="top"/>
    </dxf>
  </rfmt>
  <rcc rId="817" sId="16">
    <oc r="P12" t="inlineStr">
      <is>
        <t>KC15-20-03</t>
      </is>
    </oc>
    <nc r="P12" t="inlineStr">
      <is>
        <t>KC15-20-02</t>
      </is>
    </nc>
  </rcc>
  <rcc rId="818" sId="16">
    <oc r="P13" t="inlineStr">
      <is>
        <t>KC15-20-03</t>
      </is>
    </oc>
    <nc r="P13" t="inlineStr">
      <is>
        <t>KC15-20-02</t>
      </is>
    </nc>
  </rcc>
  <rcc rId="819" sId="16">
    <oc r="P14" t="inlineStr">
      <is>
        <t>KC15-20-03</t>
      </is>
    </oc>
    <nc r="P14" t="inlineStr">
      <is>
        <t>KC15-20-02</t>
      </is>
    </nc>
  </rcc>
  <rcc rId="820" sId="16">
    <oc r="P15" t="inlineStr">
      <is>
        <t>KC15-20-03</t>
      </is>
    </oc>
    <nc r="P15" t="inlineStr">
      <is>
        <t>KC15-20-02</t>
      </is>
    </nc>
  </rcc>
  <rfmt sheetId="16" sqref="P17" start="0" length="0">
    <dxf>
      <font>
        <u val="none"/>
        <sz val="9"/>
        <color auto="1"/>
        <name val="Arial"/>
        <family val="2"/>
        <scheme val="none"/>
      </font>
      <numFmt numFmtId="30" formatCode="@"/>
      <alignment horizontal="general"/>
    </dxf>
  </rfmt>
  <rcc rId="821" sId="16">
    <oc r="P18" t="inlineStr">
      <is>
        <t>KC15-20-03</t>
      </is>
    </oc>
    <nc r="P18" t="inlineStr">
      <is>
        <t>KC15-20-02</t>
      </is>
    </nc>
  </rcc>
  <rcc rId="822" sId="16">
    <oc r="P19" t="inlineStr">
      <is>
        <t>KC15-20-03</t>
      </is>
    </oc>
    <nc r="P19" t="inlineStr">
      <is>
        <t>KC15-20-02</t>
      </is>
    </nc>
  </rcc>
  <rcc rId="823" sId="16">
    <oc r="P20" t="inlineStr">
      <is>
        <t>KC15-20-03</t>
      </is>
    </oc>
    <nc r="P20" t="inlineStr">
      <is>
        <t>KC15-20-02</t>
      </is>
    </nc>
  </rcc>
  <rcc rId="824" sId="16">
    <oc r="P21" t="inlineStr">
      <is>
        <t>KC15-20-03</t>
      </is>
    </oc>
    <nc r="P21" t="inlineStr">
      <is>
        <t>KC15-20-02</t>
      </is>
    </nc>
  </rcc>
  <rcc rId="825" sId="16">
    <oc r="P24" t="inlineStr">
      <is>
        <t>KC15-20-03</t>
      </is>
    </oc>
    <nc r="P24" t="inlineStr">
      <is>
        <t>KC15-20-02</t>
      </is>
    </nc>
  </rcc>
  <rcc rId="826" sId="16">
    <oc r="P25" t="inlineStr">
      <is>
        <t>KC15-20-03</t>
      </is>
    </oc>
    <nc r="P25" t="inlineStr">
      <is>
        <t>KC15-20-02</t>
      </is>
    </nc>
  </rcc>
  <rcc rId="827" sId="16">
    <oc r="P26" t="inlineStr">
      <is>
        <t>KC15-20-03</t>
      </is>
    </oc>
    <nc r="P26" t="inlineStr">
      <is>
        <t>KC15-20-02</t>
      </is>
    </nc>
  </rcc>
  <rcc rId="828" sId="19">
    <oc r="G11" t="inlineStr">
      <is>
        <t>KC15-20-03</t>
      </is>
    </oc>
    <nc r="G11" t="inlineStr">
      <is>
        <t>KC15-20-02</t>
      </is>
    </nc>
  </rcc>
  <rcc rId="829" sId="19">
    <oc r="G14" t="inlineStr">
      <is>
        <t>KC15-20-03</t>
      </is>
    </oc>
    <nc r="G14" t="inlineStr">
      <is>
        <t>KC15-20-02</t>
      </is>
    </nc>
  </rcc>
  <rcc rId="830" sId="19">
    <oc r="G16" t="inlineStr">
      <is>
        <t>KC15-20-03</t>
      </is>
    </oc>
    <nc r="G16" t="inlineStr">
      <is>
        <t>KC15-20-02</t>
      </is>
    </nc>
  </rcc>
  <rcc rId="831" sId="19">
    <oc r="N11" t="inlineStr">
      <is>
        <t>KC15-20-03</t>
      </is>
    </oc>
    <nc r="N11" t="inlineStr">
      <is>
        <t>KC15-20-02</t>
      </is>
    </nc>
  </rcc>
  <rcc rId="832" sId="19">
    <oc r="N14" t="inlineStr">
      <is>
        <t>KC15-20-03</t>
      </is>
    </oc>
    <nc r="N14" t="inlineStr">
      <is>
        <t>KC15-20-02</t>
      </is>
    </nc>
  </rcc>
  <rcc rId="833" sId="19">
    <oc r="N16" t="inlineStr">
      <is>
        <t>KC15-20-03</t>
      </is>
    </oc>
    <nc r="N16" t="inlineStr">
      <is>
        <t>KC15-20-02</t>
      </is>
    </nc>
  </rcc>
  <rcc rId="834" sId="19" odxf="1" dxf="1">
    <oc r="U11" t="inlineStr">
      <is>
        <t>KC15-20-03</t>
      </is>
    </oc>
    <nc r="U11" t="inlineStr">
      <is>
        <t>KC15-20-02</t>
      </is>
    </nc>
    <odxf>
      <border outline="0">
        <right style="thin">
          <color indexed="64"/>
        </right>
      </border>
    </odxf>
    <ndxf>
      <border outline="0">
        <right/>
      </border>
    </ndxf>
  </rcc>
  <rcc rId="835" sId="19" odxf="1" dxf="1">
    <oc r="U14" t="inlineStr">
      <is>
        <t>KC15-20-03</t>
      </is>
    </oc>
    <nc r="U14" t="inlineStr">
      <is>
        <t>KC15-20-02</t>
      </is>
    </nc>
    <odxf>
      <border outline="0">
        <right style="thin">
          <color indexed="64"/>
        </right>
      </border>
    </odxf>
    <ndxf>
      <border outline="0">
        <right/>
      </border>
    </ndxf>
  </rcc>
  <rcc rId="836" sId="19" odxf="1" dxf="1">
    <oc r="U16" t="inlineStr">
      <is>
        <t>KC15-20-03</t>
      </is>
    </oc>
    <nc r="U16" t="inlineStr">
      <is>
        <t>KC15-20-02</t>
      </is>
    </nc>
    <odxf>
      <border outline="0">
        <right style="thin">
          <color indexed="64"/>
        </right>
      </border>
    </odxf>
    <ndxf>
      <border outline="0">
        <right/>
      </border>
    </ndxf>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7" sId="24">
    <oc r="Q8" t="inlineStr">
      <is>
        <t>back-calculated from 2016</t>
      </is>
    </oc>
    <nc r="Q8" t="inlineStr">
      <is>
        <t>back-calculated from 2015</t>
      </is>
    </nc>
  </rcc>
  <rcc rId="838" sId="24">
    <oc r="Q9" t="inlineStr">
      <is>
        <t>back-calculated from 2017</t>
      </is>
    </oc>
    <nc r="Q9" t="inlineStr">
      <is>
        <t>back-calculated from 2015</t>
      </is>
    </nc>
  </rcc>
  <rcc rId="839" sId="24">
    <oc r="Q10" t="inlineStr">
      <is>
        <t>back-calculated from 2018</t>
      </is>
    </oc>
    <nc r="Q10" t="inlineStr">
      <is>
        <t>back-calculated from 2015</t>
      </is>
    </nc>
  </rcc>
  <rcc rId="840" sId="24">
    <oc r="Q11" t="inlineStr">
      <is>
        <t>back-calculated from 2019</t>
      </is>
    </oc>
    <nc r="Q11" t="inlineStr">
      <is>
        <t>back-calculated from 2015</t>
      </is>
    </nc>
  </rcc>
  <rcc rId="841" sId="24">
    <oc r="Q12" t="inlineStr">
      <is>
        <t>back-calculated from 2020</t>
      </is>
    </oc>
    <nc r="Q12" t="inlineStr">
      <is>
        <t>back-calculated from 2015</t>
      </is>
    </nc>
  </rcc>
  <rcc rId="842" sId="24">
    <oc r="I8" t="inlineStr">
      <is>
        <t>back-calculated from 2016</t>
      </is>
    </oc>
    <nc r="I8" t="inlineStr">
      <is>
        <t>back-calculated from 2015</t>
      </is>
    </nc>
  </rcc>
  <rcc rId="843" sId="24">
    <oc r="I9" t="inlineStr">
      <is>
        <t>back-calculated from 2017</t>
      </is>
    </oc>
    <nc r="I9" t="inlineStr">
      <is>
        <t>back-calculated from 2015</t>
      </is>
    </nc>
  </rcc>
  <rcc rId="844" sId="24">
    <oc r="I10" t="inlineStr">
      <is>
        <t>back-calculated from 2018</t>
      </is>
    </oc>
    <nc r="I10" t="inlineStr">
      <is>
        <t>back-calculated from 2015</t>
      </is>
    </nc>
  </rcc>
  <rcc rId="845" sId="24">
    <oc r="I11" t="inlineStr">
      <is>
        <t>back-calculated from 2019</t>
      </is>
    </oc>
    <nc r="I11" t="inlineStr">
      <is>
        <t>back-calculated from 2015</t>
      </is>
    </nc>
  </rcc>
  <rcc rId="846" sId="24">
    <oc r="I12" t="inlineStr">
      <is>
        <t>back-calculated from 2020</t>
      </is>
    </oc>
    <nc r="I12" t="inlineStr">
      <is>
        <t>back-calculated from 2015</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N6">
    <dxf>
      <numFmt numFmtId="183" formatCode="_(* #,##0.000_);_(* \(#,##0.000\);_(* &quot;-&quot;??_);_(@_)"/>
    </dxf>
  </rfmt>
  <rfmt sheetId="9" sqref="N6">
    <dxf>
      <numFmt numFmtId="188" formatCode="_(* #,##0.0000_);_(* \(#,##0.0000\);_(* &quot;-&quot;??_);_(@_)"/>
    </dxf>
  </rfmt>
  <rfmt sheetId="9" sqref="N6">
    <dxf>
      <numFmt numFmtId="183" formatCode="_(* #,##0.000_);_(* \(#,##0.000\);_(* &quot;-&quot;??_);_(@_)"/>
    </dxf>
  </rfmt>
  <rrc rId="847" sId="9" ref="A7:XFD7" action="insertRow"/>
  <rfmt sheetId="9" sqref="A7">
    <dxf>
      <fill>
        <patternFill patternType="none">
          <bgColor auto="1"/>
        </patternFill>
      </fill>
    </dxf>
  </rfmt>
  <rcc rId="848" sId="9" numFmtId="34">
    <nc r="N7">
      <v>52.44</v>
    </nc>
  </rcc>
  <rcc rId="849" sId="9">
    <nc r="O7" t="inlineStr">
      <is>
        <r>
          <t>lbCO</t>
        </r>
        <r>
          <rPr>
            <vertAlign val="subscript"/>
            <sz val="9"/>
            <rFont val="Arial"/>
            <family val="2"/>
          </rPr>
          <t>2</t>
        </r>
        <r>
          <rPr>
            <sz val="9"/>
            <rFont val="Arial"/>
            <family val="2"/>
          </rPr>
          <t>/MWh</t>
        </r>
      </is>
    </nc>
  </rcc>
  <rcc rId="850" sId="9">
    <oc r="O8" t="inlineStr">
      <is>
        <t>tCO2/MWh</t>
      </is>
    </oc>
    <nc r="O8" t="inlineStr">
      <is>
        <r>
          <t>tCO</t>
        </r>
        <r>
          <rPr>
            <vertAlign val="subscript"/>
            <sz val="9"/>
            <rFont val="Arial"/>
            <family val="2"/>
          </rPr>
          <t>2</t>
        </r>
        <r>
          <rPr>
            <sz val="9"/>
            <rFont val="Arial"/>
            <family val="2"/>
          </rPr>
          <t>/MWh</t>
        </r>
      </is>
    </nc>
  </rcc>
  <rm rId="851" sheetId="9" source="Q8" destination="Q7" sourceSheetId="9">
    <rfmt sheetId="9" sqref="Q7" start="0" length="0">
      <dxf>
        <border outline="0">
          <right style="thin">
            <color indexed="64"/>
          </right>
        </border>
      </dxf>
    </rfmt>
  </rm>
  <rm rId="852" sheetId="9" source="P8" destination="P7" sourceSheetId="9"/>
  <rfmt sheetId="9" sqref="L8" start="0" length="0">
    <dxf>
      <fill>
        <patternFill patternType="none">
          <bgColor indexed="65"/>
        </patternFill>
      </fill>
    </dxf>
  </rfmt>
  <rfmt sheetId="9" sqref="M8" start="0" length="0">
    <dxf>
      <numFmt numFmtId="0" formatCode="General"/>
    </dxf>
  </rfmt>
  <rcmt sheetId="9" cell="L8" guid="{00000000-0000-0000-0000-000000000000}" action="delete" alwaysShow="1" author="Andrea Martin"/>
  <rcc rId="853" sId="9">
    <nc r="L7" t="inlineStr">
      <is>
        <t>KC15_65_11</t>
      </is>
    </nc>
  </rcc>
  <rcc rId="854" sId="9" odxf="1" dxf="1">
    <nc r="M7" t="inlineStr">
      <is>
        <t>TCR EF</t>
      </is>
    </nc>
    <odxf>
      <numFmt numFmtId="30" formatCode="@"/>
    </odxf>
    <ndxf>
      <numFmt numFmtId="0" formatCode="General"/>
    </ndxf>
  </rcc>
  <rcc rId="855" sId="9" odxf="1" dxf="1">
    <nc r="K7" t="inlineStr">
      <is>
        <r>
          <t>lbCO</t>
        </r>
        <r>
          <rPr>
            <vertAlign val="subscript"/>
            <sz val="9"/>
            <rFont val="Arial"/>
            <family val="2"/>
          </rPr>
          <t>2</t>
        </r>
        <r>
          <rPr>
            <sz val="9"/>
            <rFont val="Arial"/>
            <family val="2"/>
          </rPr>
          <t>/MWh</t>
        </r>
      </is>
    </nc>
    <odxf>
      <numFmt numFmtId="30" formatCode="@"/>
    </odxf>
    <ndxf>
      <numFmt numFmtId="0" formatCode="General"/>
    </ndxf>
  </rcc>
  <rcc rId="856" sId="9" odxf="1" dxf="1">
    <oc r="K8" t="inlineStr">
      <is>
        <t>tCO2/MWh</t>
      </is>
    </oc>
    <nc r="K8" t="inlineStr">
      <is>
        <r>
          <t>tCO</t>
        </r>
        <r>
          <rPr>
            <vertAlign val="subscript"/>
            <sz val="9"/>
            <rFont val="Arial"/>
            <family val="2"/>
          </rPr>
          <t>2</t>
        </r>
        <r>
          <rPr>
            <sz val="9"/>
            <rFont val="Arial"/>
            <family val="2"/>
          </rPr>
          <t>/MWh</t>
        </r>
      </is>
    </nc>
    <odxf>
      <numFmt numFmtId="30" formatCode="@"/>
    </odxf>
    <ndxf>
      <numFmt numFmtId="0" formatCode="General"/>
    </ndxf>
  </rcc>
  <rcc rId="857" sId="9">
    <oc r="N8">
      <v>1.6528819600000001E-2</v>
    </oc>
    <nc r="N8">
      <f>N7/2000</f>
    </nc>
  </rcc>
  <rcc rId="858" sId="9">
    <oc r="P50" t="inlineStr">
      <is>
        <t>KC15_65_05</t>
      </is>
    </oc>
    <nc r="P50" t="inlineStr">
      <is>
        <t>KC15_65_05, KC15-65-12</t>
      </is>
    </nc>
  </rcc>
  <rcmt sheetId="9" cell="N50" guid="{00000000-0000-0000-0000-000000000000}" action="delete" alwaysShow="1" author="Andrea Martin"/>
  <rfmt sheetId="9" sqref="N50:N54">
    <dxf>
      <numFmt numFmtId="182" formatCode="_(* #,##0.0_);_(* \(#,##0.0\);_(* &quot;-&quot;??_);_(@_)"/>
    </dxf>
  </rfmt>
  <rfmt sheetId="9" sqref="N50:N54">
    <dxf>
      <numFmt numFmtId="181" formatCode="_(* #,##0_);_(* \(#,##0\);_(* &quot;-&quot;??_);_(@_)"/>
    </dxf>
  </rfmt>
  <rcc rId="859" sId="9">
    <nc r="H6" t="inlineStr">
      <is>
        <t>KC15-65-13</t>
      </is>
    </nc>
  </rcc>
  <rm rId="860" sheetId="9" source="F6:H6" destination="F7:H7" sourceSheetId="9">
    <rfmt sheetId="9" s="1" sqref="F7" start="0" length="0">
      <dxf>
        <numFmt numFmtId="35" formatCode="_(* #,##0.00_);_(* \(#,##0.00\);_(* &quot;-&quot;??_);_(@_)"/>
        <alignment horizontal="left"/>
      </dxf>
    </rfmt>
    <rfmt sheetId="9" sqref="G7" start="0" length="0">
      <dxf/>
    </rfmt>
    <rfmt sheetId="9" sqref="H7" start="0" length="0">
      <dxf>
        <numFmt numFmtId="30" formatCode="@"/>
      </dxf>
    </rfmt>
  </rm>
  <rm rId="861" sheetId="9" source="A8" destination="A7" sourceSheetId="9">
    <rfmt sheetId="9" sqref="A7" start="0" length="0">
      <dxf>
        <font>
          <b/>
          <sz val="9"/>
          <color auto="1"/>
          <name val="Arial"/>
          <family val="2"/>
          <scheme val="none"/>
        </font>
        <numFmt numFmtId="30" formatCode="@"/>
        <alignment horizontal="left" vertical="bottom"/>
        <border outline="0">
          <right style="thin">
            <color indexed="64"/>
          </right>
        </border>
      </dxf>
    </rfmt>
  </rm>
  <rcc rId="862" sId="9">
    <nc r="A8" t="inlineStr">
      <is>
        <t>SLC EF in tons</t>
      </is>
    </nc>
  </rcc>
  <rcc rId="863" sId="9" odxf="1" dxf="1">
    <oc r="G7" t="inlineStr">
      <is>
        <t>lbs/MWh</t>
      </is>
    </oc>
    <nc r="G7" t="inlineStr">
      <is>
        <r>
          <t>lbCO</t>
        </r>
        <r>
          <rPr>
            <vertAlign val="subscript"/>
            <sz val="9"/>
            <rFont val="Arial"/>
            <family val="2"/>
          </rPr>
          <t>2</t>
        </r>
        <r>
          <rPr>
            <sz val="9"/>
            <rFont val="Arial"/>
            <family val="2"/>
          </rPr>
          <t>/MWh</t>
        </r>
      </is>
    </nc>
    <odxf/>
    <ndxf/>
  </rcc>
  <rcc rId="864" sId="9" odxf="1" dxf="1">
    <oc r="G8" t="inlineStr">
      <is>
        <t>tCO2/MWh</t>
      </is>
    </oc>
    <nc r="G8" t="inlineStr">
      <is>
        <r>
          <t>tCO</t>
        </r>
        <r>
          <rPr>
            <vertAlign val="subscript"/>
            <sz val="9"/>
            <rFont val="Arial"/>
            <family val="2"/>
          </rPr>
          <t>2</t>
        </r>
        <r>
          <rPr>
            <sz val="9"/>
            <rFont val="Arial"/>
            <family val="2"/>
          </rPr>
          <t>/MWh</t>
        </r>
      </is>
    </nc>
    <odxf>
      <numFmt numFmtId="30" formatCode="@"/>
    </odxf>
    <ndxf>
      <numFmt numFmtId="0" formatCode="General"/>
    </ndxf>
  </rcc>
  <rcc rId="865" sId="9" odxf="1" dxf="1">
    <oc r="C8" t="inlineStr">
      <is>
        <t>tCO2/MWh</t>
      </is>
    </oc>
    <nc r="C8" t="inlineStr">
      <is>
        <r>
          <t>tCO</t>
        </r>
        <r>
          <rPr>
            <vertAlign val="subscript"/>
            <sz val="9"/>
            <rFont val="Arial"/>
            <family val="2"/>
          </rPr>
          <t>2</t>
        </r>
        <r>
          <rPr>
            <sz val="9"/>
            <rFont val="Arial"/>
            <family val="2"/>
          </rPr>
          <t>/MWh</t>
        </r>
      </is>
    </nc>
    <odxf>
      <numFmt numFmtId="30" formatCode="@"/>
    </odxf>
    <ndxf>
      <numFmt numFmtId="0" formatCode="General"/>
    </ndxf>
  </rcc>
  <rcc rId="866" sId="9">
    <nc r="J7" t="inlineStr">
      <is>
        <t>45.57</t>
      </is>
    </nc>
  </rcc>
  <rfmt sheetId="9" sqref="J7">
    <dxf>
      <alignment horizontal="right"/>
    </dxf>
  </rfmt>
  <rcc rId="867" sId="9" odxf="1" s="1" dxf="1" numFmtId="34">
    <oc r="J8">
      <v>2.0670000000000001E-2</v>
    </oc>
    <nc r="J8">
      <f>J7/2000</f>
    </nc>
    <odxf>
      <font>
        <b/>
        <i val="0"/>
        <strike val="0"/>
        <condense val="0"/>
        <extend val="0"/>
        <outline val="0"/>
        <shadow val="0"/>
        <u val="none"/>
        <vertAlign val="baseline"/>
        <sz val="9"/>
        <color auto="1"/>
        <name val="Arial"/>
        <family val="2"/>
        <scheme val="none"/>
      </font>
      <numFmt numFmtId="164" formatCode="#,##0.000"/>
      <fill>
        <patternFill patternType="solid">
          <fgColor indexed="64"/>
          <bgColor theme="9" tint="0.79998168889431442"/>
        </patternFill>
      </fill>
      <alignment horizontal="right" vertical="top" textRotation="0" wrapText="0" indent="0" justifyLastLine="0" shrinkToFit="0" readingOrder="0"/>
      <border diagonalUp="0" diagonalDown="0" outline="0">
        <left/>
        <right/>
        <top/>
        <bottom/>
      </border>
    </odxf>
    <ndxf>
      <numFmt numFmtId="183" formatCode="_(* #,##0.000_);_(* \(#,##0.000\);_(* &quot;-&quot;??_);_(@_)"/>
      <alignment horizontal="left" vertical="bottom"/>
    </ndxf>
  </rcc>
  <rfmt sheetId="9" sqref="N43" start="0" length="0">
    <dxf>
      <alignment relativeIndent="1"/>
    </dxf>
  </rfmt>
  <rfmt sheetId="9" sqref="N43" start="0" length="0">
    <dxf>
      <alignment relativeIndent="-1"/>
    </dxf>
  </rfmt>
  <rfmt sheetId="9" sqref="N43">
    <dxf>
      <numFmt numFmtId="169" formatCode="0.0"/>
    </dxf>
  </rfmt>
  <rfmt sheetId="9" sqref="N43">
    <dxf>
      <numFmt numFmtId="1" formatCode="0"/>
    </dxf>
  </rfmt>
  <rfmt sheetId="9" sqref="N7:N43">
    <dxf>
      <numFmt numFmtId="35" formatCode="_(* #,##0.00_);_(* \(#,##0.00\);_(* &quot;-&quot;??_);_(@_)"/>
    </dxf>
  </rfmt>
  <rfmt sheetId="9" sqref="N7:N43">
    <dxf>
      <numFmt numFmtId="182" formatCode="_(* #,##0.0_);_(* \(#,##0.0\);_(* &quot;-&quot;??_);_(@_)"/>
    </dxf>
  </rfmt>
  <rfmt sheetId="9" sqref="N7:N43">
    <dxf>
      <numFmt numFmtId="181" formatCode="_(* #,##0_);_(* \(#,##0\);_(* &quot;-&quot;??_);_(@_)"/>
    </dxf>
  </rfmt>
  <rfmt sheetId="9" sqref="N7:N8">
    <dxf>
      <numFmt numFmtId="182" formatCode="_(* #,##0.0_);_(* \(#,##0.0\);_(* &quot;-&quot;??_);_(@_)"/>
    </dxf>
  </rfmt>
  <rfmt sheetId="9" sqref="N7:N8">
    <dxf>
      <numFmt numFmtId="35" formatCode="_(* #,##0.00_);_(* \(#,##0.00\);_(* &quot;-&quot;??_);_(@_)"/>
    </dxf>
  </rfmt>
  <rfmt sheetId="9" sqref="N8">
    <dxf>
      <numFmt numFmtId="183" formatCode="_(* #,##0.000_);_(* \(#,##0.000\);_(* &quot;-&quot;??_);_(@_)"/>
    </dxf>
  </rfmt>
  <rfmt sheetId="9" sqref="N15:N16">
    <dxf>
      <numFmt numFmtId="182" formatCode="_(* #,##0.0_);_(* \(#,##0.0\);_(* &quot;-&quot;??_);_(@_)"/>
    </dxf>
  </rfmt>
  <rfmt sheetId="9" sqref="N15:N16">
    <dxf>
      <numFmt numFmtId="35" formatCode="_(* #,##0.00_);_(* \(#,##0.00\);_(* &quot;-&quot;??_);_(@_)"/>
    </dxf>
  </rfmt>
  <rcmt sheetId="14" cell="M105" guid="{00000000-0000-0000-0000-000000000000}" action="delete" alwaysShow="1" author="Andrea Martin"/>
  <rcmt sheetId="14" cell="F105" guid="{00000000-0000-0000-0000-000000000000}" action="delete" alwaysShow="1" author="Andrea Martin"/>
  <rcc rId="868" sId="14">
    <oc r="H105" t="inlineStr">
      <is>
        <t>KC08-21-0_EIA_DistFuel-WA</t>
      </is>
    </oc>
    <nc r="H105" t="inlineStr">
      <is>
        <t>KC08-21-0_EIA</t>
      </is>
    </nc>
  </rcc>
  <rcc rId="869" sId="14">
    <nc r="D105" t="inlineStr">
      <is>
        <t>no call number</t>
      </is>
    </nc>
  </rcc>
  <rcmt sheetId="14" cell="K74" guid="{00000000-0000-0000-0000-000000000000}" action="delete" alwaysShow="1" author="Andrea Martin"/>
  <rcmt sheetId="14" cell="K59" guid="{00000000-0000-0000-0000-000000000000}" action="delete" alwaysShow="1" author="Andrea Martin"/>
  <rcc rId="870" sId="16" numFmtId="34">
    <oc r="F26">
      <v>23918.137999999999</v>
    </oc>
    <nc r="F26">
      <v>31740</v>
    </nc>
  </rcc>
  <rfmt sheetId="16" sqref="F26">
    <dxf>
      <fill>
        <patternFill patternType="none">
          <bgColor auto="1"/>
        </patternFill>
      </fill>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7" sqref="B6">
    <dxf>
      <numFmt numFmtId="35" formatCode="_(* #,##0.00_);_(* \(#,##0.00\);_(* &quot;-&quot;??_);_(@_)"/>
    </dxf>
  </rfmt>
  <rfmt sheetId="17" sqref="B6">
    <dxf>
      <numFmt numFmtId="35" formatCode="_(* #,##0.00_);_(* \(#,##0.00\);_(* &quot;-&quot;??_);_(@_)"/>
    </dxf>
  </rfmt>
  <rfmt sheetId="17" sqref="B6">
    <dxf>
      <numFmt numFmtId="183" formatCode="_(* #,##0.000_);_(* \(#,##0.000\);_(* &quot;-&quot;??_);_(@_)"/>
    </dxf>
  </rfmt>
  <rfmt sheetId="17" sqref="B6">
    <dxf>
      <numFmt numFmtId="188" formatCode="_(* #,##0.0000_);_(* \(#,##0.0000\);_(* &quot;-&quot;??_);_(@_)"/>
    </dxf>
  </rfmt>
  <rfmt sheetId="17" sqref="B6">
    <dxf>
      <numFmt numFmtId="183" formatCode="_(* #,##0.000_);_(* \(#,##0.000\);_(* &quot;-&quot;??_);_(@_)"/>
    </dxf>
  </rfmt>
  <rfmt sheetId="17" sqref="B6">
    <dxf>
      <numFmt numFmtId="35" formatCode="_(* #,##0.00_);_(* \(#,##0.00\);_(* &quot;-&quot;??_);_(@_)"/>
    </dxf>
  </rfmt>
  <rfmt sheetId="17" sqref="B6">
    <dxf>
      <numFmt numFmtId="182" formatCode="_(* #,##0.0_);_(* \(#,##0.0\);_(* &quot;-&quot;??_);_(@_)"/>
    </dxf>
  </rfmt>
  <rfmt sheetId="17" sqref="B6">
    <dxf>
      <numFmt numFmtId="181" formatCode="_(* #,##0_);_(* \(#,##0\);_(* &quot;-&quot;??_);_(@_)"/>
    </dxf>
  </rfmt>
  <rcc rId="871" sId="17">
    <oc r="L6" t="inlineStr">
      <is>
        <t>KC15-40-05</t>
      </is>
    </oc>
    <nc r="L6" t="inlineStr">
      <is>
        <t>KC15-40-04</t>
      </is>
    </nc>
  </rcc>
  <rcc rId="872" sId="17">
    <oc r="H6" t="inlineStr">
      <is>
        <t>KC15-40-05</t>
      </is>
    </oc>
    <nc r="H6" t="inlineStr">
      <is>
        <t>KC15-40-04</t>
      </is>
    </nc>
  </rcc>
  <rcc rId="873" sId="17">
    <oc r="D6" t="inlineStr">
      <is>
        <t>KC15-40-05</t>
      </is>
    </oc>
    <nc r="D6" t="inlineStr">
      <is>
        <t>KC15-40-04</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4" sId="17" numFmtId="34">
    <oc r="J6">
      <v>174499999.99999997</v>
    </oc>
    <nc r="J6">
      <v>166200000</v>
    </nc>
  </rcc>
  <rcc rId="875" sId="17" numFmtId="4">
    <oc r="F6">
      <v>157000000</v>
    </oc>
    <nc r="F6">
      <v>141200000</v>
    </nc>
  </rcc>
  <rcc rId="876" sId="17" numFmtId="4">
    <oc r="B6">
      <v>130500000</v>
    </oc>
    <nc r="B6">
      <v>99700000</v>
    </nc>
  </rcc>
  <rcc rId="877" sId="17">
    <oc r="I6" t="inlineStr">
      <is>
        <t>2010 National fugitive gas emisions except SF6</t>
      </is>
    </oc>
    <nc r="I6" t="inlineStr">
      <is>
        <t>2010 National refridgerants</t>
      </is>
    </nc>
  </rcc>
  <rcc rId="878" sId="17">
    <oc r="E6" t="inlineStr">
      <is>
        <t>2005 National fugitive gas emisions except SF6</t>
      </is>
    </oc>
    <nc r="E6" t="inlineStr">
      <is>
        <t>2005 National refridgerants</t>
      </is>
    </nc>
  </rcc>
  <rcc rId="879" sId="17">
    <oc r="M6" t="inlineStr">
      <is>
        <t>2014 (newest) National fugitive gas emisions except SF6</t>
      </is>
    </oc>
    <nc r="M6" t="inlineStr">
      <is>
        <t>2014 (newest) national refridgerants</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9" sqref="B24:B27">
    <dxf>
      <numFmt numFmtId="182" formatCode="_(* #,##0.0_);_(* \(#,##0.0\);_(* &quot;-&quot;??_);_(@_)"/>
    </dxf>
  </rfmt>
  <rfmt sheetId="19" sqref="B35:B38">
    <dxf>
      <numFmt numFmtId="182" formatCode="_(* #,##0.0_);_(* \(#,##0.0\);_(* &quot;-&quot;??_);_(@_)"/>
    </dxf>
  </rfmt>
  <rcc rId="880" sId="19">
    <oc r="D24" t="inlineStr">
      <is>
        <t>cost unavailable, ratio of 2003 to 2015 sailings</t>
      </is>
    </oc>
    <nc r="D24" t="inlineStr">
      <is>
        <t>cost unavailable, ratio of FY2003 to FY2015 sailings</t>
      </is>
    </nc>
  </rcc>
  <rcc rId="881" sId="19">
    <oc r="D25" t="inlineStr">
      <is>
        <t>cost unavailable, ratio of 2003 to 2015 sailings</t>
      </is>
    </oc>
    <nc r="D25" t="inlineStr">
      <is>
        <t>cost unavailable, ratio of FY2003 to FY2015 sailings</t>
      </is>
    </nc>
  </rcc>
  <rcc rId="882" sId="19" odxf="1" dxf="1">
    <oc r="D26" t="inlineStr">
      <is>
        <t>cost unavailable, ratio of 2003 to 2015 sailings</t>
      </is>
    </oc>
    <nc r="D26" t="inlineStr">
      <is>
        <t>cost unavailable, ratio of FY2003 to FY2015 sailings</t>
      </is>
    </nc>
    <odxf/>
    <ndxf/>
  </rcc>
  <rcc rId="883" sId="19" odxf="1" dxf="1">
    <oc r="D27" t="inlineStr">
      <is>
        <t>cost unavailable, ratio of 2003 to 2015 sailings</t>
      </is>
    </oc>
    <nc r="D27" t="inlineStr">
      <is>
        <t>cost unavailable, ratio of FY2003 to FY2015 sailings</t>
      </is>
    </nc>
    <odxf/>
    <ndxf/>
  </rcc>
  <rfmt sheetId="19" sqref="L24:L27">
    <dxf>
      <numFmt numFmtId="35" formatCode="_(* #,##0.00_);_(* \(#,##0.00\);_(* &quot;-&quot;??_);_(@_)"/>
    </dxf>
  </rfmt>
  <rfmt sheetId="19" sqref="L24:L27">
    <dxf>
      <numFmt numFmtId="183" formatCode="_(* #,##0.000_);_(* \(#,##0.000\);_(* &quot;-&quot;??_);_(@_)"/>
    </dxf>
  </rfmt>
  <rfmt sheetId="19" sqref="L24:L27">
    <dxf>
      <numFmt numFmtId="188" formatCode="_(* #,##0.0000_);_(* \(#,##0.0000\);_(* &quot;-&quot;??_);_(@_)"/>
    </dxf>
  </rfmt>
  <rfmt sheetId="19" sqref="L24:L27">
    <dxf>
      <numFmt numFmtId="183" formatCode="_(* #,##0.000_);_(* \(#,##0.000\);_(* &quot;-&quot;??_);_(@_)"/>
    </dxf>
  </rfmt>
  <rfmt sheetId="19" sqref="L24:L27">
    <dxf>
      <numFmt numFmtId="35" formatCode="_(* #,##0.00_);_(* \(#,##0.00\);_(* &quot;-&quot;??_);_(@_)"/>
    </dxf>
  </rfmt>
  <rfmt sheetId="19" sqref="L24:L27">
    <dxf>
      <numFmt numFmtId="182" formatCode="_(* #,##0.0_);_(* \(#,##0.0\);_(* &quot;-&quot;??_);_(@_)"/>
    </dxf>
  </rfmt>
  <rfmt sheetId="19" sqref="L24:L27">
    <dxf>
      <numFmt numFmtId="181" formatCode="_(* #,##0_);_(* \(#,##0\);_(* &quot;-&quot;??_);_(@_)"/>
    </dxf>
  </rfmt>
  <rfmt sheetId="19" sqref="S24:S27">
    <dxf>
      <numFmt numFmtId="35" formatCode="_(* #,##0.00_);_(* \(#,##0.00\);_(* &quot;-&quot;??_);_(@_)"/>
    </dxf>
  </rfmt>
  <rfmt sheetId="19" sqref="S24:S27">
    <dxf>
      <numFmt numFmtId="182" formatCode="_(* #,##0.0_);_(* \(#,##0.0\);_(* &quot;-&quot;??_);_(@_)"/>
    </dxf>
  </rfmt>
  <rfmt sheetId="19" sqref="S24:S27">
    <dxf>
      <numFmt numFmtId="181" formatCode="_(* #,##0_);_(* \(#,##0\);_(* &quot;-&quot;??_);_(@_)"/>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 sId="8" eol="1" ref="A4:XFD4" action="insertRow"/>
  <rcc rId="12" sId="8">
    <nc r="A4" t="inlineStr">
      <is>
        <t>Electricity</t>
      </is>
    </nc>
  </rcc>
  <rcc rId="13" sId="8">
    <nc r="B4" t="inlineStr">
      <is>
        <t>Andrea M</t>
      </is>
    </nc>
  </rcc>
  <rcc rId="14" sId="8" odxf="1" dxf="1" numFmtId="19">
    <nc r="C4">
      <v>42871</v>
    </nc>
    <odxf>
      <numFmt numFmtId="0" formatCode="General"/>
    </odxf>
    <ndxf>
      <numFmt numFmtId="19" formatCode="m/d/yyyy"/>
    </ndxf>
  </rcc>
  <rcc rId="15" sId="8">
    <nc r="D4" t="inlineStr">
      <is>
        <t>QC complete</t>
      </is>
    </nc>
  </rcc>
  <rrc rId="16" sId="8" ref="D1:D1048576" action="insertCol"/>
  <rcc rId="17" sId="8">
    <nc r="D3" t="inlineStr">
      <is>
        <t>Comments Addressed?</t>
      </is>
    </nc>
  </rc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4" sId="9" numFmtId="34">
    <oc r="N13">
      <f>94464035+252421+50701853+10513063+8479+1726569+18927740+3683243049+90883314+226433+258285595</f>
    </oc>
    <nc r="N13">
      <v>4209232551</v>
    </nc>
  </rcc>
  <rfmt sheetId="20" sqref="T41" start="0" length="2147483647">
    <dxf>
      <font>
        <b/>
        <family val="2"/>
      </font>
    </dxf>
  </rfmt>
  <rcc rId="885" sId="9">
    <nc r="Q13" t="inlineStr">
      <is>
        <t>cell F50</t>
      </is>
    </nc>
  </rcc>
  <rcc rId="886" sId="9">
    <nc r="Q14" t="inlineStr">
      <is>
        <t>cell F51</t>
      </is>
    </nc>
  </rcc>
  <rcc rId="887" sId="9" numFmtId="34">
    <oc r="N14">
      <f>4334176+16775+6395331+840941115+151915694</f>
    </oc>
    <nc r="N14">
      <v>1003603091.684</v>
    </nc>
  </rcc>
  <rcmt sheetId="9" cell="N13" guid="{00000000-0000-0000-0000-000000000000}" action="delete" alwaysShow="1" author="Andrea Martin"/>
  <rcc rId="888" sId="9">
    <oc r="N45">
      <f>SUM(N38+N33+N28)</f>
    </oc>
    <nc r="N45">
      <f>SUM(N38+N33+N28)</f>
    </nc>
  </rcc>
  <rcmt sheetId="14" cell="A1" guid="{1A73C66F-CFC4-48CB-9252-6ECCB37C2B65}" alwaysShow="1" author="Andrea Martin" oldLength="163" newLength="14"/>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9" sId="14">
    <oc r="A6" t="inlineStr">
      <is>
        <t>Natural gas</t>
      </is>
    </oc>
    <nc r="A6" t="inlineStr">
      <is>
        <t>Natural gas (note that these are accounted for in the overall PSE-derived natural gas amounts)</t>
      </is>
    </nc>
  </rcc>
  <rcc rId="890" sId="17" quotePrefix="1">
    <oc r="E6" t="inlineStr">
      <is>
        <t>2005 National refridgerants</t>
      </is>
    </oc>
    <nc r="E6" t="inlineStr">
      <is>
        <t>2005 National refrigerants</t>
      </is>
    </nc>
  </rcc>
  <rcc rId="891" sId="17" quotePrefix="1">
    <oc r="I6" t="inlineStr">
      <is>
        <t>2010 National refridgerants</t>
      </is>
    </oc>
    <nc r="I6" t="inlineStr">
      <is>
        <t>2010 National refrigerants</t>
      </is>
    </nc>
  </rcc>
  <rcc rId="892" sId="17" quotePrefix="1">
    <oc r="M6" t="inlineStr">
      <is>
        <t>2014 (newest) national refridgerants</t>
      </is>
    </oc>
    <nc r="M6" t="inlineStr">
      <is>
        <t>2014 (newest) national refrigerants</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3" sId="8" xfDxf="1" dxf="1">
    <nc r="A12" t="inlineStr">
      <is>
        <t>Ind- Fug. Gases</t>
      </is>
    </nc>
  </rcc>
  <rcc rId="894" sId="8">
    <nc r="B12" t="inlineStr">
      <is>
        <t>Andrea M</t>
      </is>
    </nc>
  </rcc>
  <rcc rId="895" sId="8" odxf="1" dxf="1" numFmtId="19">
    <nc r="C12">
      <v>42873</v>
    </nc>
    <odxf>
      <numFmt numFmtId="0" formatCode="General"/>
    </odxf>
    <ndxf>
      <numFmt numFmtId="19" formatCode="m/d/yyyy"/>
    </ndxf>
  </rcc>
  <rcc rId="896" sId="8">
    <nc r="E11" t="inlineStr">
      <is>
        <t>QC complete</t>
      </is>
    </nc>
  </rcc>
  <rcc rId="897" sId="8">
    <nc r="E12" t="inlineStr">
      <is>
        <t>Need final QC based on answers to comments</t>
      </is>
    </nc>
  </rcc>
  <rcmt sheetId="17" cell="D6" guid="{76294782-3198-4042-A6DC-2EC57A48DD08}" alwaysShow="1" author="Andrea Martin" newLength="82"/>
  <rcmt sheetId="17" cell="B8" guid="{C567D5A7-4329-4222-94F6-416D17DE9130}" alwaysShow="1" author="Andrea Martin" newLength="109"/>
  <rcmt sheetId="17" cell="J15" guid="{EEDF6155-5C12-4C22-B137-7211D61481B5}" alwaysShow="1" author="Andrea Martin" newLength="115"/>
  <rcmt sheetId="17" cell="I24" guid="{DD4AAD2F-1D06-4360-B8D0-3DEA4E4B88F0}" alwaysShow="1" author="Andrea Martin" newLength="81"/>
  <rcmt sheetId="17" cell="M24" guid="{B648E422-D396-44E6-83EC-77290A9D69BF}" alwaysShow="1" author="Andrea Martin" newLength="79"/>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0" sqref="I22" start="0" length="2147483647">
    <dxf>
      <font>
        <b/>
        <family val="2"/>
      </font>
    </dxf>
  </rfmt>
  <rcmt sheetId="19" cell="A20" guid="{3EB97B4F-271D-4088-9BA6-40E18DF2FB00}" alwaysShow="1" author="Andrea Martin" newLength="97"/>
  <rcmt sheetId="20" cell="I1" guid="{104EC307-E8A2-410C-9533-6FE50597676F}" alwaysShow="1" author="Andrea Martin" newLength="85"/>
  <rcmt sheetId="20" cell="AD6" guid="{85087B48-D200-402A-9FC0-E0BE1B637C34}" alwaysShow="1" author="Andrea Martin" newLength="117"/>
  <rcmt sheetId="20" cell="L20" guid="{F424EBF4-EAE3-490B-A1E1-F05851B186A0}" alwaysShow="1" author="Andrea Martin" newLength="68"/>
  <rcmt sheetId="20" cell="K21" guid="{6729190D-92AD-4F79-9391-71BF95A62590}" alwaysShow="1" author="Andrea Martin" newLength="69"/>
  <rcmt sheetId="20" cell="I25" guid="{8EEB3465-EE53-469E-BEE1-D5E5F85CD613}" alwaysShow="1" author="Andrea Martin" newLength="76"/>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8" sId="8" xfDxf="1" dxf="1">
    <nc r="A13" t="inlineStr">
      <is>
        <t>Trans-Rail</t>
      </is>
    </nc>
  </rcc>
  <rcc rId="909" sId="8">
    <nc r="B13" t="inlineStr">
      <is>
        <t>Andrea M</t>
      </is>
    </nc>
  </rcc>
  <rcc rId="910" sId="8" odxf="1" dxf="1" numFmtId="19">
    <nc r="C13">
      <v>42873</v>
    </nc>
    <odxf>
      <numFmt numFmtId="0" formatCode="General"/>
    </odxf>
    <ndxf>
      <numFmt numFmtId="19" formatCode="m/d/yyyy"/>
    </ndxf>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1" sId="8">
    <nc r="E13" t="inlineStr">
      <is>
        <t>QC complete</t>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2" sId="19">
    <oc r="G34" t="inlineStr">
      <is>
        <t>Wast</t>
      </is>
    </oc>
    <nc r="G34"/>
  </rcc>
  <rcmt sheetId="19" cell="G34" guid="{00000000-0000-0000-0000-000000000000}" action="delete" alwaysShow="1" author="Andrea Martin"/>
  <rcc rId="913" sId="19">
    <nc r="D37" t="inlineStr">
      <is>
        <t>proportion based on 3-way path between Vashon, Southworth, Seattle</t>
      </is>
    </nc>
  </rcc>
  <rcc rId="914" sId="19" odxf="1" dxf="1">
    <nc r="O37" t="inlineStr">
      <is>
        <t>proportion based on 3-way path between Vashon, Southworth, Seattle</t>
      </is>
    </nc>
    <odxf>
      <font>
        <b/>
        <family val="2"/>
      </font>
      <alignment horizontal="general" vertical="bottom"/>
    </odxf>
    <ndxf>
      <font>
        <b val="0"/>
        <sz val="9"/>
        <color auto="1"/>
        <name val="Arial"/>
        <family val="2"/>
        <scheme val="none"/>
      </font>
      <alignment horizontal="left" vertical="top"/>
    </ndxf>
  </rcc>
  <rcc rId="915" sId="19" odxf="1" dxf="1">
    <nc r="V37" t="inlineStr">
      <is>
        <t>proportion based on 3-way path between Vashon, Southworth, Seattle</t>
      </is>
    </nc>
    <odxf>
      <font>
        <b/>
        <family val="2"/>
      </font>
      <alignment horizontal="general" vertical="bottom"/>
    </odxf>
    <ndxf>
      <font>
        <b val="0"/>
        <sz val="9"/>
        <color auto="1"/>
        <name val="Arial"/>
        <family val="2"/>
        <scheme val="none"/>
      </font>
      <alignment horizontal="left" vertical="top"/>
    </ndxf>
  </rcc>
  <rcmt sheetId="19" cell="B37" guid="{00000000-0000-0000-0000-000000000000}" action="delete" alwaysShow="1" author="Andrea Martin"/>
  <rcc rId="916" sId="20">
    <oc r="I30">
      <f>I6*tonTOMg</f>
    </oc>
    <nc r="I30"/>
  </rcc>
  <rcc rId="917" sId="20">
    <oc r="J30" t="inlineStr">
      <is>
        <r>
          <t>MgCO</t>
        </r>
        <r>
          <rPr>
            <vertAlign val="subscript"/>
            <sz val="9"/>
            <rFont val="Arial"/>
            <family val="2"/>
          </rPr>
          <t>2</t>
        </r>
        <r>
          <rPr>
            <sz val="9"/>
            <rFont val="Arial"/>
            <family val="2"/>
          </rPr>
          <t>e</t>
        </r>
      </is>
    </oc>
    <nc r="J30"/>
  </rcc>
  <rcc rId="918" sId="20">
    <oc r="I31">
      <f>I7*tonTOMg</f>
    </oc>
    <nc r="I31"/>
  </rcc>
  <rcc rId="919" sId="20">
    <oc r="J31" t="inlineStr">
      <is>
        <r>
          <t>MgCO</t>
        </r>
        <r>
          <rPr>
            <vertAlign val="subscript"/>
            <sz val="9"/>
            <rFont val="Arial"/>
            <family val="2"/>
          </rPr>
          <t>2</t>
        </r>
        <r>
          <rPr>
            <sz val="9"/>
            <rFont val="Arial"/>
            <family val="2"/>
          </rPr>
          <t>e</t>
        </r>
      </is>
    </oc>
    <nc r="J31"/>
  </rcc>
  <rcc rId="920" sId="20">
    <oc r="I32">
      <f>I8*tonTOMg</f>
    </oc>
    <nc r="I32"/>
  </rcc>
  <rcc rId="921" sId="20">
    <oc r="J32" t="inlineStr">
      <is>
        <r>
          <t>MgCO</t>
        </r>
        <r>
          <rPr>
            <vertAlign val="subscript"/>
            <sz val="9"/>
            <rFont val="Arial"/>
            <family val="2"/>
          </rPr>
          <t>2</t>
        </r>
        <r>
          <rPr>
            <sz val="9"/>
            <rFont val="Arial"/>
            <family val="2"/>
          </rPr>
          <t>e</t>
        </r>
      </is>
    </oc>
    <nc r="J32"/>
  </rcc>
  <rcc rId="922" sId="20">
    <oc r="I33">
      <f>I9*tonTOMg</f>
    </oc>
    <nc r="I33"/>
  </rcc>
  <rcc rId="923" sId="20">
    <oc r="J33" t="inlineStr">
      <is>
        <r>
          <t>MgCO</t>
        </r>
        <r>
          <rPr>
            <vertAlign val="subscript"/>
            <sz val="9"/>
            <rFont val="Arial"/>
            <family val="2"/>
          </rPr>
          <t>2</t>
        </r>
        <r>
          <rPr>
            <sz val="9"/>
            <rFont val="Arial"/>
            <family val="2"/>
          </rPr>
          <t>e</t>
        </r>
      </is>
    </oc>
    <nc r="J33"/>
  </rcc>
  <rcc rId="924" sId="20">
    <oc r="I34">
      <f>SUM(I30:I31)</f>
    </oc>
    <nc r="I34"/>
  </rcc>
  <rcc rId="925" sId="20">
    <oc r="J34" t="inlineStr">
      <is>
        <r>
          <t>MgCO</t>
        </r>
        <r>
          <rPr>
            <vertAlign val="subscript"/>
            <sz val="9"/>
            <rFont val="Arial"/>
            <family val="2"/>
          </rPr>
          <t>2</t>
        </r>
        <r>
          <rPr>
            <sz val="9"/>
            <rFont val="Arial"/>
            <family val="2"/>
          </rPr>
          <t>e</t>
        </r>
      </is>
    </oc>
    <nc r="J34"/>
  </rcc>
  <rcc rId="926" sId="20">
    <oc r="I35">
      <f>I33-SUM(I30:I32)</f>
    </oc>
    <nc r="I35"/>
  </rcc>
  <rcc rId="927" sId="20">
    <oc r="J35" t="inlineStr">
      <is>
        <r>
          <t>MgCO</t>
        </r>
        <r>
          <rPr>
            <vertAlign val="subscript"/>
            <sz val="9"/>
            <rFont val="Arial"/>
            <family val="2"/>
          </rPr>
          <t>2</t>
        </r>
        <r>
          <rPr>
            <sz val="9"/>
            <rFont val="Arial"/>
            <family val="2"/>
          </rPr>
          <t>e</t>
        </r>
      </is>
    </oc>
    <nc r="J35"/>
  </rcc>
  <rcc rId="928" sId="20">
    <oc r="I38">
      <f>I34</f>
    </oc>
    <nc r="I38"/>
  </rcc>
  <rcc rId="929" sId="20">
    <oc r="I39">
      <f>I32</f>
    </oc>
    <nc r="I39"/>
  </rcc>
  <rcc rId="930" sId="20">
    <oc r="I40">
      <f>I35</f>
    </oc>
    <nc r="I40"/>
  </rcc>
  <rcc rId="931" sId="20">
    <oc r="I41">
      <f>SUM(I38:I40)</f>
    </oc>
    <nc r="I41"/>
  </rcc>
  <rcc rId="932" sId="20">
    <oc r="J41" t="inlineStr">
      <is>
        <r>
          <t>MgCO</t>
        </r>
        <r>
          <rPr>
            <b/>
            <vertAlign val="subscript"/>
            <sz val="9"/>
            <color theme="1"/>
            <rFont val="Arial"/>
            <family val="2"/>
          </rPr>
          <t>2</t>
        </r>
        <r>
          <rPr>
            <b/>
            <sz val="9"/>
            <color theme="1"/>
            <rFont val="Arial"/>
            <family val="2"/>
          </rPr>
          <t>e</t>
        </r>
      </is>
    </oc>
    <nc r="J41"/>
  </rcc>
  <rcc rId="933" sId="20">
    <oc r="I1">
      <v>2005</v>
    </oc>
    <nc r="I1" t="inlineStr">
      <is>
        <t>Tonnages</t>
      </is>
    </nc>
  </rcc>
  <rcc rId="934" sId="17">
    <nc r="I24" t="inlineStr">
      <is>
        <t>Table ES-2</t>
      </is>
    </nc>
  </rcc>
  <rcmt sheetId="17" cell="I24" guid="{00000000-0000-0000-0000-000000000000}" action="delete" alwaysShow="1" author="Andrea Martin"/>
  <rcc rId="935" sId="17">
    <nc r="M24" t="inlineStr">
      <is>
        <t>Table ES-2</t>
      </is>
    </nc>
  </rcc>
  <rcmt sheetId="17" cell="M24" guid="{00000000-0000-0000-0000-000000000000}" action="delete" alwaysShow="1" author="Andrea Martin"/>
  <rcc rId="936" sId="17" quotePrefix="1">
    <oc r="E6" t="inlineStr">
      <is>
        <t>2005 National refrigerants</t>
      </is>
    </oc>
    <nc r="E6" t="inlineStr">
      <is>
        <t>2005 National refrigerants, HFC- substitution of ozone depleting substances</t>
      </is>
    </nc>
  </rcc>
  <rcc rId="937" sId="17" quotePrefix="1">
    <oc r="I6" t="inlineStr">
      <is>
        <t>2010 National refrigerants</t>
      </is>
    </oc>
    <nc r="I6" t="inlineStr">
      <is>
        <t>2010 National refrigerants, HFC- substitution of ozone depleting substances</t>
      </is>
    </nc>
  </rcc>
  <rcc rId="938" sId="17" quotePrefix="1">
    <oc r="M6" t="inlineStr">
      <is>
        <t>2014 (newest) national refrigerants</t>
      </is>
    </oc>
    <nc r="M6" t="inlineStr">
      <is>
        <t>2014 (newest) national refrigerants, HFC- substitution of ozone depleting substances</t>
      </is>
    </nc>
  </rcc>
  <rcmt sheetId="17" cell="D6" guid="{00000000-0000-0000-0000-000000000000}" action="delete" alwaysShow="1" author="Andrea Martin"/>
  <rm rId="939" sheetId="17" source="L15" destination="L14" sourceSheetId="17">
    <rfmt sheetId="17" sqref="L14" start="0" length="0">
      <dxf>
        <numFmt numFmtId="30" formatCode="@"/>
        <alignment horizontal="left"/>
      </dxf>
    </rfmt>
  </rm>
  <rcc rId="940" sId="17" numFmtId="34">
    <nc r="J14">
      <v>0.12285699999999999</v>
    </nc>
  </rcc>
  <rcc rId="941" sId="17">
    <oc r="J15">
      <v>122.857</v>
    </oc>
    <nc r="J15">
      <f>J14*MgTOton*2000</f>
    </nc>
  </rcc>
  <rcc rId="942" sId="17">
    <nc r="K14" t="inlineStr">
      <is>
        <r>
          <t>MgSF</t>
        </r>
        <r>
          <rPr>
            <vertAlign val="subscript"/>
            <sz val="9"/>
            <rFont val="Arial"/>
            <family val="2"/>
          </rPr>
          <t>6</t>
        </r>
      </is>
    </nc>
  </rcc>
  <rfmt sheetId="17" sqref="J14">
    <dxf>
      <numFmt numFmtId="182" formatCode="_(* #,##0.0_);_(* \(#,##0.0\);_(* &quot;-&quot;??_);_(@_)"/>
    </dxf>
  </rfmt>
  <rfmt sheetId="17" sqref="J14">
    <dxf>
      <numFmt numFmtId="35" formatCode="_(* #,##0.00_);_(* \(#,##0.00\);_(* &quot;-&quot;??_);_(@_)"/>
    </dxf>
  </rfmt>
  <rfmt sheetId="17" sqref="J14">
    <dxf>
      <numFmt numFmtId="183" formatCode="_(* #,##0.000_);_(* \(#,##0.000\);_(* &quot;-&quot;??_);_(@_)"/>
    </dxf>
  </rfmt>
  <rcc rId="943" sId="17" odxf="1" dxf="1">
    <oc r="K18" t="inlineStr">
      <is>
        <t>Mg</t>
      </is>
    </oc>
    <nc r="K18" t="inlineStr">
      <is>
        <r>
          <t>MgSF</t>
        </r>
        <r>
          <rPr>
            <vertAlign val="subscript"/>
            <sz val="9"/>
            <rFont val="Arial"/>
            <family val="2"/>
          </rPr>
          <t>6</t>
        </r>
      </is>
    </nc>
    <odxf/>
    <ndxf/>
  </rcc>
  <rcc rId="944" sId="17" odxf="1" dxf="1">
    <oc r="G18" t="inlineStr">
      <is>
        <t>Mg</t>
      </is>
    </oc>
    <nc r="G18" t="inlineStr">
      <is>
        <r>
          <t>MgSF</t>
        </r>
        <r>
          <rPr>
            <vertAlign val="subscript"/>
            <sz val="9"/>
            <rFont val="Arial"/>
            <family val="2"/>
          </rPr>
          <t>6</t>
        </r>
      </is>
    </nc>
    <odxf/>
    <ndxf/>
  </rcc>
  <rcc rId="945" sId="17" odxf="1" dxf="1">
    <oc r="C18" t="inlineStr">
      <is>
        <t>Mg</t>
      </is>
    </oc>
    <nc r="C18" t="inlineStr">
      <is>
        <r>
          <t>MgSF</t>
        </r>
        <r>
          <rPr>
            <vertAlign val="subscript"/>
            <sz val="9"/>
            <rFont val="Arial"/>
            <family val="2"/>
          </rPr>
          <t>6</t>
        </r>
      </is>
    </nc>
    <odxf/>
    <ndxf/>
  </rcc>
  <rcc rId="946" sId="17">
    <oc r="C15" t="inlineStr">
      <is>
        <t>lbs</t>
      </is>
    </oc>
    <nc r="C15" t="inlineStr">
      <is>
        <r>
          <t>lbs SF</t>
        </r>
        <r>
          <rPr>
            <vertAlign val="subscript"/>
            <sz val="9"/>
            <rFont val="Arial"/>
            <family val="2"/>
          </rPr>
          <t>6</t>
        </r>
      </is>
    </nc>
  </rcc>
  <rcc rId="947" sId="17">
    <oc r="G15" t="inlineStr">
      <is>
        <t>lbs</t>
      </is>
    </oc>
    <nc r="G15" t="inlineStr">
      <is>
        <r>
          <t>lbs SF</t>
        </r>
        <r>
          <rPr>
            <vertAlign val="subscript"/>
            <sz val="9"/>
            <rFont val="Arial"/>
            <family val="2"/>
          </rPr>
          <t>6</t>
        </r>
      </is>
    </nc>
  </rcc>
  <rcc rId="948" sId="17">
    <oc r="K15" t="inlineStr">
      <is>
        <t>lbs</t>
      </is>
    </oc>
    <nc r="K15" t="inlineStr">
      <is>
        <r>
          <t>lbs SF</t>
        </r>
        <r>
          <rPr>
            <vertAlign val="subscript"/>
            <sz val="9"/>
            <rFont val="Arial"/>
            <family val="2"/>
          </rPr>
          <t>6</t>
        </r>
      </is>
    </nc>
  </rcc>
  <rcc rId="949" sId="17" odxf="1" dxf="1">
    <oc r="K24" t="inlineStr">
      <is>
        <t>Mg Sf6</t>
      </is>
    </oc>
    <nc r="K24" t="inlineStr">
      <is>
        <r>
          <t>MgSF</t>
        </r>
        <r>
          <rPr>
            <vertAlign val="subscript"/>
            <sz val="9"/>
            <rFont val="Arial"/>
            <family val="2"/>
          </rPr>
          <t>6</t>
        </r>
      </is>
    </nc>
    <odxf/>
    <ndxf/>
  </rcc>
  <rcc rId="950" sId="17" odxf="1" dxf="1">
    <oc r="G24" t="inlineStr">
      <is>
        <t>Mg Sf6</t>
      </is>
    </oc>
    <nc r="G24" t="inlineStr">
      <is>
        <r>
          <t>MgSF</t>
        </r>
        <r>
          <rPr>
            <vertAlign val="subscript"/>
            <sz val="9"/>
            <rFont val="Arial"/>
            <family val="2"/>
          </rPr>
          <t>6</t>
        </r>
      </is>
    </nc>
    <odxf/>
    <ndxf/>
  </rcc>
  <rcmt sheetId="17" cell="J15" guid="{00000000-0000-0000-0000-000000000000}" action="delete" alwaysShow="1" author="Andrea Martin"/>
  <rfmt sheetId="17" sqref="F14" start="0" length="0">
    <dxf>
      <numFmt numFmtId="183" formatCode="_(* #,##0.000_);_(* \(#,##0.000\);_(* &quot;-&quot;??_);_(@_)"/>
    </dxf>
  </rfmt>
  <rcc rId="951" sId="17" odxf="1" dxf="1" numFmtId="4">
    <oc r="F15">
      <v>0</v>
    </oc>
    <nc r="F15">
      <f>F14*MgTOton*2000</f>
    </nc>
    <odxf>
      <numFmt numFmtId="0" formatCode="General"/>
    </odxf>
    <ndxf>
      <numFmt numFmtId="1" formatCode="0"/>
    </ndxf>
  </rcc>
  <rcc rId="952" sId="17" numFmtId="34">
    <nc r="F14">
      <v>0</v>
    </nc>
  </rcc>
  <rcc rId="953" sId="17">
    <nc r="G14" t="inlineStr">
      <is>
        <r>
          <t>MgSF</t>
        </r>
        <r>
          <rPr>
            <vertAlign val="subscript"/>
            <sz val="9"/>
            <rFont val="Arial"/>
            <family val="2"/>
          </rPr>
          <t>6</t>
        </r>
      </is>
    </nc>
  </rcc>
  <rm rId="954" sheetId="17" source="H15" destination="H14" sourceSheetId="17">
    <rfmt sheetId="17" sqref="H14" start="0" length="0">
      <dxf>
        <numFmt numFmtId="30" formatCode="@"/>
        <alignment horizontal="left"/>
      </dxf>
    </rfmt>
  </rm>
  <rcc rId="955" sId="25">
    <oc r="G121">
      <f>thermTOBtu*10^-6</f>
    </oc>
    <nc r="G121"/>
  </rcc>
  <rcc rId="956" sId="25">
    <oc r="A112" t="inlineStr">
      <is>
        <t>Facility Combustion</t>
      </is>
    </oc>
    <nc r="A112" t="inlineStr">
      <is>
        <t>Facility Combustion (non-biogenic)</t>
      </is>
    </nc>
  </rcc>
  <rcmt sheetId="14" cell="A1" guid="{00000000-0000-0000-0000-000000000000}" action="delete" alwaysShow="1" author="Andrea Martin"/>
  <rcc rId="957" sId="14">
    <oc r="B112">
      <f>B110+B100+B83+B68+B51+B39</f>
    </oc>
    <nc r="B112">
      <f>B110+B100+B83+B68</f>
    </nc>
  </rcc>
  <rcc rId="958" sId="14">
    <oc r="F112">
      <f>F110+F100+F83+F68+F51+F39</f>
    </oc>
    <nc r="F112">
      <f>F110+F100+F83+F68</f>
    </nc>
  </rcc>
  <rcc rId="959" sId="14">
    <oc r="K112">
      <f>K110+K100+K83+K68+K51+K39</f>
    </oc>
    <nc r="K112">
      <f>K110+K100+K83+K68</f>
    </nc>
  </rcc>
  <rcc rId="960" sId="14">
    <oc r="A91" t="inlineStr">
      <is>
        <t xml:space="preserve">Other Industrial </t>
      </is>
    </oc>
    <nc r="A91" t="inlineStr">
      <is>
        <t>Non-point source industrial</t>
      </is>
    </nc>
  </rcc>
  <rcmt sheetId="15" cell="M11" guid="{00000000-0000-0000-0000-000000000000}" action="delete" alwaysShow="1" author="Andrea Martin"/>
  <rcc rId="961" sId="15">
    <oc r="M11" t="inlineStr">
      <is>
        <t>in 2010 MRR</t>
      </is>
    </oc>
    <nc r="M11"/>
  </rcc>
  <rcc rId="962" sId="15">
    <oc r="M13" t="inlineStr">
      <is>
        <t>in 2010 MRR, not in 2015, last reported in 2012 as 0 (also 2011 and 2010 as 0)</t>
      </is>
    </oc>
    <nc r="M13"/>
  </rcc>
  <rcmt sheetId="15" cell="L35" guid="{00000000-0000-0000-0000-000000000000}" action="delete" alwaysShow="1" author="Andrea Martin"/>
  <rcc rId="963" sId="15">
    <oc r="J52">
      <f>J47*$F$45*CO2.C/1000</f>
    </oc>
    <nc r="J52">
      <f>J47*$J$45*CO2.C/1000</f>
    </nc>
  </rcc>
  <rcmt sheetId="15" cell="J52" guid="{00000000-0000-0000-0000-000000000000}" action="delete" alwaysShow="1" author="Andrea Martin"/>
  <rcc rId="964" sId="15">
    <oc r="J55">
      <f>J54*$F$42*(1-$F$43)</f>
    </oc>
    <nc r="J55">
      <f>J54*$J$42*(1-$J$43)</f>
    </nc>
  </rcc>
  <rcmt sheetId="15" cell="J55" guid="{00000000-0000-0000-0000-000000000000}" action="delete" alwaysShow="1" author="Andrea Martin"/>
  <rcc rId="965" sId="15">
    <oc r="J48">
      <f>J34*tonTOMg</f>
    </oc>
    <nc r="J48"/>
  </rcc>
  <rcc rId="966" sId="15" numFmtId="4">
    <oc r="J34">
      <v>0</v>
    </oc>
    <nc r="J34"/>
  </rcc>
  <rcc rId="967" sId="15" odxf="1" dxf="1">
    <nc r="M48" t="inlineStr">
      <is>
        <t>Changed name to Star Forge in 2016, no longer operating at PSCAA threshold</t>
      </is>
    </nc>
    <odxf>
      <fill>
        <patternFill patternType="none">
          <bgColor indexed="65"/>
        </patternFill>
      </fill>
      <alignment wrapText="1"/>
      <border outline="0">
        <right style="thin">
          <color indexed="64"/>
        </right>
      </border>
    </odxf>
    <ndxf>
      <fill>
        <patternFill patternType="solid">
          <bgColor theme="6" tint="0.79998168889431442"/>
        </patternFill>
      </fill>
      <alignment wrapText="0"/>
      <border outline="0">
        <right/>
      </border>
    </ndxf>
  </rcc>
  <rcc rId="968" sId="15">
    <oc r="M34" t="inlineStr">
      <is>
        <t>row 92</t>
      </is>
    </oc>
    <nc r="M34" t="inlineStr">
      <is>
        <t>row 92, Changed name to Star Forge in 2016, no longer operating at PSCAA threshold</t>
      </is>
    </nc>
  </rcc>
  <rfmt sheetId="15" sqref="M34">
    <dxf>
      <alignment wrapText="0"/>
    </dxf>
  </rfmt>
  <rfmt sheetId="15" sqref="L48" start="0" length="0">
    <dxf>
      <fill>
        <patternFill patternType="solid">
          <bgColor theme="6" tint="0.79998168889431442"/>
        </patternFill>
      </fill>
    </dxf>
  </rfmt>
  <rcmt sheetId="15" cell="J48" guid="{00000000-0000-0000-0000-000000000000}" action="delete" alwaysShow="1" author="Andrea Martin"/>
  <rfmt sheetId="15" sqref="L32:M56">
    <dxf>
      <fill>
        <patternFill patternType="none">
          <bgColor auto="1"/>
        </patternFill>
      </fill>
    </dxf>
  </rfmt>
  <rfmt sheetId="15" sqref="K7:M17">
    <dxf>
      <fill>
        <patternFill patternType="none">
          <bgColor auto="1"/>
        </patternFill>
      </fill>
    </dxf>
  </rfmt>
  <rfmt sheetId="14" sqref="D7:H88">
    <dxf>
      <fill>
        <patternFill patternType="none">
          <bgColor auto="1"/>
        </patternFill>
      </fill>
    </dxf>
  </rfmt>
  <rfmt sheetId="14" sqref="M95:M107">
    <dxf>
      <fill>
        <patternFill patternType="none">
          <bgColor auto="1"/>
        </patternFill>
      </fill>
    </dxf>
  </rfmt>
  <rfmt sheetId="14" sqref="M9:M88">
    <dxf>
      <fill>
        <patternFill patternType="none">
          <bgColor auto="1"/>
        </patternFill>
      </fill>
    </dxf>
  </rfmt>
  <rcc rId="969" sId="16">
    <oc r="A5" t="inlineStr">
      <is>
        <t>Fuel Consumption, MOVES 2014 NONROAD output)</t>
      </is>
    </oc>
    <nc r="A5" t="inlineStr">
      <is>
        <t>Fuel Consumption, MOVES 2014 NONROAD output</t>
      </is>
    </nc>
  </rcc>
  <rcc rId="970" sId="12">
    <oc r="A4" t="inlineStr">
      <is>
        <t>Fuel Consumption, MOVES 2014 NONROAD output)</t>
      </is>
    </oc>
    <nc r="A4" t="inlineStr">
      <is>
        <t>Fuel Consumption, MOVES 2014 NONROAD output</t>
      </is>
    </nc>
  </rcc>
  <rcmt sheetId="16" cell="B25" guid="{00000000-0000-0000-0000-000000000000}" action="delete" alwaysShow="1" author="Andrea Martin"/>
  <rcmt sheetId="16" cell="F26" guid="{00000000-0000-0000-0000-000000000000}" action="delete" alwaysShow="1" author="Andrea Martin"/>
  <rcmt sheetId="16" cell="A5" guid="{00000000-0000-0000-0000-000000000000}" action="delete" alwaysShow="1" author="Andrea Martin"/>
  <rfmt sheetId="17" sqref="L13:M26">
    <dxf>
      <fill>
        <patternFill patternType="none">
          <bgColor auto="1"/>
        </patternFill>
      </fill>
    </dxf>
  </rfmt>
  <rfmt sheetId="18" sqref="R6:R23 R29:R33 R43:R61 R76:R79">
    <dxf>
      <fill>
        <patternFill patternType="none">
          <bgColor auto="1"/>
        </patternFill>
      </fill>
    </dxf>
  </rfmt>
  <rfmt sheetId="22" sqref="D6:D16 H6:H16 M5:M17 Q5:Q16">
    <dxf>
      <fill>
        <patternFill patternType="none">
          <bgColor auto="1"/>
        </patternFill>
      </fill>
    </dxf>
  </rfmt>
  <rfmt sheetId="24" sqref="B79" start="0" length="2147483647">
    <dxf>
      <font>
        <b/>
        <family val="2"/>
      </font>
    </dxf>
  </rfmt>
  <rcc rId="971" sId="26">
    <oc r="L140" t="inlineStr">
      <is>
        <t>TgCO2e</t>
      </is>
    </oc>
    <nc r="L140" t="inlineStr">
      <is>
        <r>
          <t>MgCO</t>
        </r>
        <r>
          <rPr>
            <vertAlign val="subscript"/>
            <sz val="9"/>
            <rFont val="Calibri"/>
            <family val="2"/>
          </rPr>
          <t>2</t>
        </r>
        <r>
          <rPr>
            <sz val="9"/>
            <rFont val="Calibri"/>
            <family val="2"/>
          </rPr>
          <t>e</t>
        </r>
      </is>
    </nc>
  </rcc>
  <rcc rId="972" sId="26">
    <oc r="L142" t="inlineStr">
      <is>
        <t>TgCO2e</t>
      </is>
    </oc>
    <nc r="L142" t="inlineStr">
      <is>
        <r>
          <t>MgCO</t>
        </r>
        <r>
          <rPr>
            <vertAlign val="subscript"/>
            <sz val="9"/>
            <rFont val="Calibri"/>
            <family val="2"/>
          </rPr>
          <t>2</t>
        </r>
        <r>
          <rPr>
            <sz val="9"/>
            <rFont val="Calibri"/>
            <family val="2"/>
          </rPr>
          <t>e</t>
        </r>
      </is>
    </nc>
  </rcc>
  <rcc rId="973" sId="26">
    <oc r="L143" t="inlineStr">
      <is>
        <t>TgCO2e</t>
      </is>
    </oc>
    <nc r="L143" t="inlineStr">
      <is>
        <r>
          <t>MgCO</t>
        </r>
        <r>
          <rPr>
            <vertAlign val="subscript"/>
            <sz val="9"/>
            <rFont val="Calibri"/>
            <family val="2"/>
          </rPr>
          <t>2</t>
        </r>
        <r>
          <rPr>
            <sz val="9"/>
            <rFont val="Calibri"/>
            <family val="2"/>
          </rPr>
          <t>e</t>
        </r>
      </is>
    </nc>
  </rcc>
  <rcc rId="974" sId="26">
    <oc r="L144" t="inlineStr">
      <is>
        <t>TgCO2e</t>
      </is>
    </oc>
    <nc r="L144" t="inlineStr">
      <is>
        <r>
          <t>MgCO</t>
        </r>
        <r>
          <rPr>
            <vertAlign val="subscript"/>
            <sz val="9"/>
            <rFont val="Calibri"/>
            <family val="2"/>
          </rPr>
          <t>2</t>
        </r>
        <r>
          <rPr>
            <sz val="9"/>
            <rFont val="Calibri"/>
            <family val="2"/>
          </rPr>
          <t>e</t>
        </r>
      </is>
    </nc>
  </rcc>
  <rcc rId="975" sId="26">
    <oc r="L147" t="inlineStr">
      <is>
        <t>TgCO2e</t>
      </is>
    </oc>
    <nc r="L147" t="inlineStr">
      <is>
        <r>
          <t>MgCO</t>
        </r>
        <r>
          <rPr>
            <vertAlign val="subscript"/>
            <sz val="9"/>
            <rFont val="Calibri"/>
            <family val="2"/>
          </rPr>
          <t>2</t>
        </r>
        <r>
          <rPr>
            <sz val="9"/>
            <rFont val="Calibri"/>
            <family val="2"/>
          </rPr>
          <t>e</t>
        </r>
      </is>
    </nc>
  </rcc>
  <rcc rId="976" sId="26">
    <oc r="L148" t="inlineStr">
      <is>
        <t>TgCO2e</t>
      </is>
    </oc>
    <nc r="L148" t="inlineStr">
      <is>
        <r>
          <t>MgCO</t>
        </r>
        <r>
          <rPr>
            <vertAlign val="subscript"/>
            <sz val="9"/>
            <rFont val="Calibri"/>
            <family val="2"/>
          </rPr>
          <t>2</t>
        </r>
        <r>
          <rPr>
            <sz val="9"/>
            <rFont val="Calibri"/>
            <family val="2"/>
          </rPr>
          <t>e</t>
        </r>
      </is>
    </nc>
  </rcc>
  <rcc rId="977" sId="26">
    <oc r="L149" t="inlineStr">
      <is>
        <t>TgCO2e</t>
      </is>
    </oc>
    <nc r="L149" t="inlineStr">
      <is>
        <r>
          <t>MgCO</t>
        </r>
        <r>
          <rPr>
            <vertAlign val="subscript"/>
            <sz val="9"/>
            <rFont val="Calibri"/>
            <family val="2"/>
          </rPr>
          <t>2</t>
        </r>
        <r>
          <rPr>
            <sz val="9"/>
            <rFont val="Calibri"/>
            <family val="2"/>
          </rPr>
          <t>e</t>
        </r>
      </is>
    </nc>
  </rcc>
  <rcc rId="978" sId="26" odxf="1" dxf="1">
    <oc r="L150" t="inlineStr">
      <is>
        <t>MgCO2e</t>
      </is>
    </oc>
    <nc r="L150" t="inlineStr">
      <is>
        <r>
          <t>MgCO</t>
        </r>
        <r>
          <rPr>
            <vertAlign val="subscript"/>
            <sz val="9"/>
            <rFont val="Calibri"/>
            <family val="2"/>
          </rPr>
          <t>2</t>
        </r>
        <r>
          <rPr>
            <sz val="9"/>
            <rFont val="Calibri"/>
            <family val="2"/>
          </rPr>
          <t>e</t>
        </r>
      </is>
    </nc>
    <odxf>
      <font>
        <b/>
        <color theme="3" tint="0.39997558519241921"/>
        <name val="Calibri"/>
        <family val="2"/>
        <scheme val="minor"/>
      </font>
    </odxf>
    <ndxf>
      <font>
        <b val="0"/>
        <color theme="3" tint="0.39997558519241921"/>
        <name val="Calibri"/>
        <family val="2"/>
        <scheme val="minor"/>
      </font>
    </ndxf>
  </rcc>
  <rfmt sheetId="26" sqref="L150" start="0" length="2147483647">
    <dxf>
      <font>
        <b/>
        <family val="2"/>
      </font>
    </dxf>
  </rfmt>
  <rfmt sheetId="26" sqref="L150" start="0" length="2147483647">
    <dxf>
      <font>
        <color theme="3" tint="0.39997558519241921"/>
        <family val="2"/>
      </font>
    </dxf>
  </rfmt>
  <rcc rId="979" sId="26">
    <oc r="G140" t="inlineStr">
      <is>
        <t>TgCO2e</t>
      </is>
    </oc>
    <nc r="G140" t="inlineStr">
      <is>
        <r>
          <t>MgCO</t>
        </r>
        <r>
          <rPr>
            <vertAlign val="subscript"/>
            <sz val="9"/>
            <rFont val="Calibri"/>
            <family val="2"/>
          </rPr>
          <t>2</t>
        </r>
        <r>
          <rPr>
            <sz val="9"/>
            <rFont val="Calibri"/>
            <family val="2"/>
          </rPr>
          <t>e</t>
        </r>
      </is>
    </nc>
  </rcc>
  <rcc rId="980" sId="26">
    <oc r="G142" t="inlineStr">
      <is>
        <t>TgCO2e</t>
      </is>
    </oc>
    <nc r="G142" t="inlineStr">
      <is>
        <r>
          <t>MgCO</t>
        </r>
        <r>
          <rPr>
            <vertAlign val="subscript"/>
            <sz val="9"/>
            <rFont val="Calibri"/>
            <family val="2"/>
          </rPr>
          <t>2</t>
        </r>
        <r>
          <rPr>
            <sz val="9"/>
            <rFont val="Calibri"/>
            <family val="2"/>
          </rPr>
          <t>e</t>
        </r>
      </is>
    </nc>
  </rcc>
  <rcc rId="981" sId="26">
    <oc r="G143" t="inlineStr">
      <is>
        <t>TgCO2e</t>
      </is>
    </oc>
    <nc r="G143" t="inlineStr">
      <is>
        <r>
          <t>MgCO</t>
        </r>
        <r>
          <rPr>
            <vertAlign val="subscript"/>
            <sz val="9"/>
            <rFont val="Calibri"/>
            <family val="2"/>
          </rPr>
          <t>2</t>
        </r>
        <r>
          <rPr>
            <sz val="9"/>
            <rFont val="Calibri"/>
            <family val="2"/>
          </rPr>
          <t>e</t>
        </r>
      </is>
    </nc>
  </rcc>
  <rcc rId="982" sId="26">
    <oc r="G144" t="inlineStr">
      <is>
        <t>TgCO2e</t>
      </is>
    </oc>
    <nc r="G144" t="inlineStr">
      <is>
        <r>
          <t>MgCO</t>
        </r>
        <r>
          <rPr>
            <vertAlign val="subscript"/>
            <sz val="9"/>
            <rFont val="Calibri"/>
            <family val="2"/>
          </rPr>
          <t>2</t>
        </r>
        <r>
          <rPr>
            <sz val="9"/>
            <rFont val="Calibri"/>
            <family val="2"/>
          </rPr>
          <t>e</t>
        </r>
      </is>
    </nc>
  </rcc>
  <rcc rId="983" sId="26">
    <oc r="G147" t="inlineStr">
      <is>
        <t>TgCO2e</t>
      </is>
    </oc>
    <nc r="G147" t="inlineStr">
      <is>
        <r>
          <t>MgCO</t>
        </r>
        <r>
          <rPr>
            <vertAlign val="subscript"/>
            <sz val="9"/>
            <rFont val="Calibri"/>
            <family val="2"/>
          </rPr>
          <t>2</t>
        </r>
        <r>
          <rPr>
            <sz val="9"/>
            <rFont val="Calibri"/>
            <family val="2"/>
          </rPr>
          <t>e</t>
        </r>
      </is>
    </nc>
  </rcc>
  <rcc rId="984" sId="26">
    <oc r="G148" t="inlineStr">
      <is>
        <t>TgCO2e</t>
      </is>
    </oc>
    <nc r="G148" t="inlineStr">
      <is>
        <r>
          <t>MgCO</t>
        </r>
        <r>
          <rPr>
            <vertAlign val="subscript"/>
            <sz val="9"/>
            <rFont val="Calibri"/>
            <family val="2"/>
          </rPr>
          <t>2</t>
        </r>
        <r>
          <rPr>
            <sz val="9"/>
            <rFont val="Calibri"/>
            <family val="2"/>
          </rPr>
          <t>e</t>
        </r>
      </is>
    </nc>
  </rcc>
  <rcc rId="985" sId="26">
    <oc r="G149" t="inlineStr">
      <is>
        <t>TgCO2e</t>
      </is>
    </oc>
    <nc r="G149" t="inlineStr">
      <is>
        <r>
          <t>MgCO</t>
        </r>
        <r>
          <rPr>
            <vertAlign val="subscript"/>
            <sz val="9"/>
            <rFont val="Calibri"/>
            <family val="2"/>
          </rPr>
          <t>2</t>
        </r>
        <r>
          <rPr>
            <sz val="9"/>
            <rFont val="Calibri"/>
            <family val="2"/>
          </rPr>
          <t>e</t>
        </r>
      </is>
    </nc>
  </rcc>
  <rcc rId="986" sId="26">
    <oc r="G150" t="inlineStr">
      <is>
        <t>MgCO2e</t>
      </is>
    </oc>
    <nc r="G150" t="inlineStr">
      <is>
        <r>
          <t>MgCO</t>
        </r>
        <r>
          <rPr>
            <b/>
            <vertAlign val="subscript"/>
            <sz val="9"/>
            <color theme="3" tint="0.39997558519241921"/>
            <rFont val="Calibri"/>
            <family val="2"/>
          </rPr>
          <t>2</t>
        </r>
        <r>
          <rPr>
            <b/>
            <sz val="9"/>
            <color theme="3" tint="0.39997558519241921"/>
            <rFont val="Calibri"/>
            <family val="2"/>
          </rPr>
          <t>e</t>
        </r>
      </is>
    </nc>
  </rcc>
  <rcc rId="987" sId="26">
    <oc r="C140" t="inlineStr">
      <is>
        <t>TgCO2e</t>
      </is>
    </oc>
    <nc r="C140" t="inlineStr">
      <is>
        <r>
          <t>MgCO</t>
        </r>
        <r>
          <rPr>
            <vertAlign val="subscript"/>
            <sz val="9"/>
            <rFont val="Calibri"/>
            <family val="2"/>
          </rPr>
          <t>2</t>
        </r>
        <r>
          <rPr>
            <sz val="9"/>
            <rFont val="Calibri"/>
            <family val="2"/>
          </rPr>
          <t>e</t>
        </r>
      </is>
    </nc>
  </rcc>
  <rcc rId="988" sId="26">
    <oc r="C142" t="inlineStr">
      <is>
        <t>TgCO2e</t>
      </is>
    </oc>
    <nc r="C142" t="inlineStr">
      <is>
        <r>
          <t>MgCO</t>
        </r>
        <r>
          <rPr>
            <vertAlign val="subscript"/>
            <sz val="9"/>
            <rFont val="Calibri"/>
            <family val="2"/>
          </rPr>
          <t>2</t>
        </r>
        <r>
          <rPr>
            <sz val="9"/>
            <rFont val="Calibri"/>
            <family val="2"/>
          </rPr>
          <t>e</t>
        </r>
      </is>
    </nc>
  </rcc>
  <rcc rId="989" sId="26">
    <oc r="C143" t="inlineStr">
      <is>
        <t>TgCO2e</t>
      </is>
    </oc>
    <nc r="C143" t="inlineStr">
      <is>
        <r>
          <t>MgCO</t>
        </r>
        <r>
          <rPr>
            <vertAlign val="subscript"/>
            <sz val="9"/>
            <rFont val="Calibri"/>
            <family val="2"/>
          </rPr>
          <t>2</t>
        </r>
        <r>
          <rPr>
            <sz val="9"/>
            <rFont val="Calibri"/>
            <family val="2"/>
          </rPr>
          <t>e</t>
        </r>
      </is>
    </nc>
  </rcc>
  <rcc rId="990" sId="26">
    <oc r="C144" t="inlineStr">
      <is>
        <t>TgCO2e</t>
      </is>
    </oc>
    <nc r="C144" t="inlineStr">
      <is>
        <r>
          <t>MgCO</t>
        </r>
        <r>
          <rPr>
            <vertAlign val="subscript"/>
            <sz val="9"/>
            <rFont val="Calibri"/>
            <family val="2"/>
          </rPr>
          <t>2</t>
        </r>
        <r>
          <rPr>
            <sz val="9"/>
            <rFont val="Calibri"/>
            <family val="2"/>
          </rPr>
          <t>e</t>
        </r>
      </is>
    </nc>
  </rcc>
  <rcc rId="991" sId="26">
    <oc r="C147" t="inlineStr">
      <is>
        <t>TgCO2e</t>
      </is>
    </oc>
    <nc r="C147" t="inlineStr">
      <is>
        <r>
          <t>MgCO</t>
        </r>
        <r>
          <rPr>
            <vertAlign val="subscript"/>
            <sz val="9"/>
            <rFont val="Calibri"/>
            <family val="2"/>
          </rPr>
          <t>2</t>
        </r>
        <r>
          <rPr>
            <sz val="9"/>
            <rFont val="Calibri"/>
            <family val="2"/>
          </rPr>
          <t>e</t>
        </r>
      </is>
    </nc>
  </rcc>
  <rcc rId="992" sId="26">
    <oc r="C148" t="inlineStr">
      <is>
        <t>TgCO2e</t>
      </is>
    </oc>
    <nc r="C148" t="inlineStr">
      <is>
        <r>
          <t>MgCO</t>
        </r>
        <r>
          <rPr>
            <vertAlign val="subscript"/>
            <sz val="9"/>
            <rFont val="Calibri"/>
            <family val="2"/>
          </rPr>
          <t>2</t>
        </r>
        <r>
          <rPr>
            <sz val="9"/>
            <rFont val="Calibri"/>
            <family val="2"/>
          </rPr>
          <t>e</t>
        </r>
      </is>
    </nc>
  </rcc>
  <rcc rId="993" sId="26">
    <oc r="C149" t="inlineStr">
      <is>
        <t>TgCO2e</t>
      </is>
    </oc>
    <nc r="C149" t="inlineStr">
      <is>
        <r>
          <t>MgCO</t>
        </r>
        <r>
          <rPr>
            <vertAlign val="subscript"/>
            <sz val="9"/>
            <rFont val="Calibri"/>
            <family val="2"/>
          </rPr>
          <t>2</t>
        </r>
        <r>
          <rPr>
            <sz val="9"/>
            <rFont val="Calibri"/>
            <family val="2"/>
          </rPr>
          <t>e</t>
        </r>
      </is>
    </nc>
  </rcc>
  <rcc rId="994" sId="26">
    <oc r="C150" t="inlineStr">
      <is>
        <t>MgCO2e</t>
      </is>
    </oc>
    <nc r="C150" t="inlineStr">
      <is>
        <r>
          <t>MgCO</t>
        </r>
        <r>
          <rPr>
            <b/>
            <vertAlign val="subscript"/>
            <sz val="9"/>
            <color theme="3" tint="0.39997558519241921"/>
            <rFont val="Calibri"/>
            <family val="2"/>
          </rPr>
          <t>2</t>
        </r>
        <r>
          <rPr>
            <b/>
            <sz val="9"/>
            <color theme="3" tint="0.39997558519241921"/>
            <rFont val="Calibri"/>
            <family val="2"/>
          </rPr>
          <t>e</t>
        </r>
      </is>
    </nc>
  </rcc>
  <rcc rId="995" sId="26">
    <oc r="C153" t="inlineStr">
      <is>
        <t>MgCO2e</t>
      </is>
    </oc>
    <nc r="C153" t="inlineStr">
      <is>
        <r>
          <t>MgCO</t>
        </r>
        <r>
          <rPr>
            <b/>
            <vertAlign val="subscript"/>
            <sz val="9"/>
            <rFont val="Calibri"/>
            <family val="2"/>
          </rPr>
          <t>2</t>
        </r>
        <r>
          <rPr>
            <b/>
            <sz val="9"/>
            <rFont val="Calibri"/>
            <family val="2"/>
          </rPr>
          <t>e</t>
        </r>
      </is>
    </nc>
  </rcc>
  <rcc rId="996" sId="26">
    <oc r="G153" t="inlineStr">
      <is>
        <t>MgCO2e</t>
      </is>
    </oc>
    <nc r="G153" t="inlineStr">
      <is>
        <r>
          <t>MgCO</t>
        </r>
        <r>
          <rPr>
            <b/>
            <vertAlign val="subscript"/>
            <sz val="9"/>
            <rFont val="Calibri"/>
            <family val="2"/>
          </rPr>
          <t>2</t>
        </r>
        <r>
          <rPr>
            <b/>
            <sz val="9"/>
            <rFont val="Calibri"/>
            <family val="2"/>
          </rPr>
          <t>e</t>
        </r>
      </is>
    </nc>
  </rcc>
  <rcc rId="997" sId="26">
    <oc r="L153" t="inlineStr">
      <is>
        <t>MgCO2e</t>
      </is>
    </oc>
    <nc r="L153" t="inlineStr">
      <is>
        <r>
          <t>MgCO</t>
        </r>
        <r>
          <rPr>
            <b/>
            <vertAlign val="subscript"/>
            <sz val="9"/>
            <rFont val="Calibri"/>
            <family val="2"/>
          </rPr>
          <t>2</t>
        </r>
        <r>
          <rPr>
            <b/>
            <sz val="9"/>
            <rFont val="Calibri"/>
            <family val="2"/>
          </rPr>
          <t>e</t>
        </r>
      </is>
    </nc>
  </rcc>
  <rcc rId="998" sId="26">
    <oc r="C131" t="inlineStr">
      <is>
        <t>MgCO2e</t>
      </is>
    </oc>
    <nc r="C131" t="inlineStr">
      <is>
        <r>
          <t>MgCO</t>
        </r>
        <r>
          <rPr>
            <b/>
            <vertAlign val="subscript"/>
            <sz val="9"/>
            <color theme="3" tint="0.39997558519241921"/>
            <rFont val="Calibri"/>
            <family val="2"/>
          </rPr>
          <t>2</t>
        </r>
        <r>
          <rPr>
            <b/>
            <sz val="9"/>
            <color theme="3" tint="0.39997558519241921"/>
            <rFont val="Calibri"/>
            <family val="2"/>
          </rPr>
          <t>e</t>
        </r>
      </is>
    </nc>
  </rcc>
  <rcc rId="999" sId="26">
    <oc r="C119" t="inlineStr">
      <is>
        <t>kgN2O</t>
      </is>
    </oc>
    <nc r="C119" t="inlineStr">
      <is>
        <r>
          <t>kgN</t>
        </r>
        <r>
          <rPr>
            <vertAlign val="subscript"/>
            <sz val="9"/>
            <rFont val="Calibri"/>
            <family val="2"/>
          </rPr>
          <t>2</t>
        </r>
        <r>
          <rPr>
            <sz val="9"/>
            <rFont val="Calibri"/>
            <family val="2"/>
          </rPr>
          <t>O</t>
        </r>
      </is>
    </nc>
  </rcc>
  <rcc rId="1000" sId="26" quotePrefix="1">
    <oc r="C128" t="inlineStr">
      <is>
        <t>kgN2O</t>
      </is>
    </oc>
    <nc r="C128" t="inlineStr">
      <is>
        <r>
          <t>kgN</t>
        </r>
        <r>
          <rPr>
            <b/>
            <vertAlign val="subscript"/>
            <sz val="9"/>
            <rFont val="Calibri"/>
            <family val="2"/>
          </rPr>
          <t>2</t>
        </r>
        <r>
          <rPr>
            <b/>
            <sz val="9"/>
            <rFont val="Calibri"/>
            <family val="2"/>
          </rPr>
          <t>O</t>
        </r>
      </is>
    </nc>
  </rcc>
  <rcc rId="1001" sId="26">
    <oc r="C129" t="inlineStr">
      <is>
        <t>MgN2O</t>
      </is>
    </oc>
    <nc r="C129" t="inlineStr">
      <is>
        <r>
          <t>MgN</t>
        </r>
        <r>
          <rPr>
            <b/>
            <vertAlign val="subscript"/>
            <sz val="9"/>
            <rFont val="Calibri"/>
            <family val="2"/>
          </rPr>
          <t>2</t>
        </r>
        <r>
          <rPr>
            <b/>
            <sz val="9"/>
            <rFont val="Calibri"/>
            <family val="2"/>
          </rPr>
          <t>O</t>
        </r>
      </is>
    </nc>
  </rcc>
  <rcc rId="1002" sId="26">
    <oc r="C120" t="inlineStr">
      <is>
        <t>kgN2O</t>
      </is>
    </oc>
    <nc r="C120" t="inlineStr">
      <is>
        <r>
          <t>kgN</t>
        </r>
        <r>
          <rPr>
            <vertAlign val="subscript"/>
            <sz val="9"/>
            <rFont val="Calibri"/>
            <family val="2"/>
          </rPr>
          <t>2</t>
        </r>
        <r>
          <rPr>
            <sz val="9"/>
            <rFont val="Calibri"/>
            <family val="2"/>
          </rPr>
          <t>O</t>
        </r>
      </is>
    </nc>
  </rcc>
  <rcc rId="1003" sId="26">
    <oc r="C121" t="inlineStr">
      <is>
        <t>kgN2O</t>
      </is>
    </oc>
    <nc r="C121" t="inlineStr">
      <is>
        <r>
          <t>kgN</t>
        </r>
        <r>
          <rPr>
            <vertAlign val="subscript"/>
            <sz val="9"/>
            <rFont val="Calibri"/>
            <family val="2"/>
          </rPr>
          <t>2</t>
        </r>
        <r>
          <rPr>
            <sz val="9"/>
            <rFont val="Calibri"/>
            <family val="2"/>
          </rPr>
          <t>O</t>
        </r>
      </is>
    </nc>
  </rcc>
  <rcc rId="1004" sId="26">
    <oc r="C122" t="inlineStr">
      <is>
        <t>kgN2O</t>
      </is>
    </oc>
    <nc r="C122" t="inlineStr">
      <is>
        <r>
          <t>kgN</t>
        </r>
        <r>
          <rPr>
            <vertAlign val="subscript"/>
            <sz val="9"/>
            <rFont val="Calibri"/>
            <family val="2"/>
          </rPr>
          <t>2</t>
        </r>
        <r>
          <rPr>
            <sz val="9"/>
            <rFont val="Calibri"/>
            <family val="2"/>
          </rPr>
          <t>O</t>
        </r>
      </is>
    </nc>
  </rcc>
  <rcc rId="1005" sId="26">
    <oc r="C123" t="inlineStr">
      <is>
        <t>kgN2O</t>
      </is>
    </oc>
    <nc r="C123" t="inlineStr">
      <is>
        <r>
          <t>kgN</t>
        </r>
        <r>
          <rPr>
            <vertAlign val="subscript"/>
            <sz val="9"/>
            <rFont val="Calibri"/>
            <family val="2"/>
          </rPr>
          <t>2</t>
        </r>
        <r>
          <rPr>
            <sz val="9"/>
            <rFont val="Calibri"/>
            <family val="2"/>
          </rPr>
          <t>O</t>
        </r>
      </is>
    </nc>
  </rcc>
  <rcc rId="1006" sId="26">
    <oc r="C124" t="inlineStr">
      <is>
        <t>kgN2O</t>
      </is>
    </oc>
    <nc r="C124" t="inlineStr">
      <is>
        <r>
          <t>kgN</t>
        </r>
        <r>
          <rPr>
            <vertAlign val="subscript"/>
            <sz val="9"/>
            <rFont val="Calibri"/>
            <family val="2"/>
          </rPr>
          <t>2</t>
        </r>
        <r>
          <rPr>
            <sz val="9"/>
            <rFont val="Calibri"/>
            <family val="2"/>
          </rPr>
          <t>O</t>
        </r>
      </is>
    </nc>
  </rcc>
  <rcc rId="1007" sId="26">
    <oc r="C125" t="inlineStr">
      <is>
        <t>kgN2O</t>
      </is>
    </oc>
    <nc r="C125" t="inlineStr">
      <is>
        <r>
          <t>kgN</t>
        </r>
        <r>
          <rPr>
            <vertAlign val="subscript"/>
            <sz val="9"/>
            <rFont val="Calibri"/>
            <family val="2"/>
          </rPr>
          <t>2</t>
        </r>
        <r>
          <rPr>
            <sz val="9"/>
            <rFont val="Calibri"/>
            <family val="2"/>
          </rPr>
          <t>O</t>
        </r>
      </is>
    </nc>
  </rcc>
  <rcc rId="1008" sId="26">
    <oc r="C126" t="inlineStr">
      <is>
        <t>kgN2O</t>
      </is>
    </oc>
    <nc r="C126" t="inlineStr">
      <is>
        <r>
          <t>kgN</t>
        </r>
        <r>
          <rPr>
            <vertAlign val="subscript"/>
            <sz val="9"/>
            <rFont val="Calibri"/>
            <family val="2"/>
          </rPr>
          <t>2</t>
        </r>
        <r>
          <rPr>
            <sz val="9"/>
            <rFont val="Calibri"/>
            <family val="2"/>
          </rPr>
          <t>O</t>
        </r>
      </is>
    </nc>
  </rcc>
  <rcc rId="1009" sId="26">
    <oc r="C127" t="inlineStr">
      <is>
        <t>kgN2O</t>
      </is>
    </oc>
    <nc r="C127" t="inlineStr">
      <is>
        <r>
          <t>kgN</t>
        </r>
        <r>
          <rPr>
            <vertAlign val="subscript"/>
            <sz val="9"/>
            <rFont val="Calibri"/>
            <family val="2"/>
          </rPr>
          <t>2</t>
        </r>
        <r>
          <rPr>
            <sz val="9"/>
            <rFont val="Calibri"/>
            <family val="2"/>
          </rPr>
          <t>O</t>
        </r>
      </is>
    </nc>
  </rcc>
  <rcc rId="1010" sId="26">
    <oc r="G119" t="inlineStr">
      <is>
        <t>kgN2O</t>
      </is>
    </oc>
    <nc r="G119" t="inlineStr">
      <is>
        <r>
          <t>kgN</t>
        </r>
        <r>
          <rPr>
            <vertAlign val="subscript"/>
            <sz val="9"/>
            <rFont val="Calibri"/>
            <family val="2"/>
          </rPr>
          <t>2</t>
        </r>
        <r>
          <rPr>
            <sz val="9"/>
            <rFont val="Calibri"/>
            <family val="2"/>
          </rPr>
          <t>O</t>
        </r>
      </is>
    </nc>
  </rcc>
  <rcc rId="1011" sId="26">
    <oc r="G120" t="inlineStr">
      <is>
        <t>kgN2O</t>
      </is>
    </oc>
    <nc r="G120" t="inlineStr">
      <is>
        <r>
          <t>kgN</t>
        </r>
        <r>
          <rPr>
            <vertAlign val="subscript"/>
            <sz val="9"/>
            <rFont val="Calibri"/>
            <family val="2"/>
          </rPr>
          <t>2</t>
        </r>
        <r>
          <rPr>
            <sz val="9"/>
            <rFont val="Calibri"/>
            <family val="2"/>
          </rPr>
          <t>O</t>
        </r>
      </is>
    </nc>
  </rcc>
  <rcc rId="1012" sId="26">
    <oc r="G121" t="inlineStr">
      <is>
        <t>kgN2O</t>
      </is>
    </oc>
    <nc r="G121" t="inlineStr">
      <is>
        <r>
          <t>kgN</t>
        </r>
        <r>
          <rPr>
            <vertAlign val="subscript"/>
            <sz val="9"/>
            <rFont val="Calibri"/>
            <family val="2"/>
          </rPr>
          <t>2</t>
        </r>
        <r>
          <rPr>
            <sz val="9"/>
            <rFont val="Calibri"/>
            <family val="2"/>
          </rPr>
          <t>O</t>
        </r>
      </is>
    </nc>
  </rcc>
  <rcc rId="1013" sId="26">
    <oc r="G122" t="inlineStr">
      <is>
        <t>kgN2O</t>
      </is>
    </oc>
    <nc r="G122" t="inlineStr">
      <is>
        <r>
          <t>kgN</t>
        </r>
        <r>
          <rPr>
            <vertAlign val="subscript"/>
            <sz val="9"/>
            <rFont val="Calibri"/>
            <family val="2"/>
          </rPr>
          <t>2</t>
        </r>
        <r>
          <rPr>
            <sz val="9"/>
            <rFont val="Calibri"/>
            <family val="2"/>
          </rPr>
          <t>O</t>
        </r>
      </is>
    </nc>
  </rcc>
  <rcc rId="1014" sId="26">
    <oc r="G123" t="inlineStr">
      <is>
        <t>kgN2O</t>
      </is>
    </oc>
    <nc r="G123" t="inlineStr">
      <is>
        <r>
          <t>kgN</t>
        </r>
        <r>
          <rPr>
            <vertAlign val="subscript"/>
            <sz val="9"/>
            <rFont val="Calibri"/>
            <family val="2"/>
          </rPr>
          <t>2</t>
        </r>
        <r>
          <rPr>
            <sz val="9"/>
            <rFont val="Calibri"/>
            <family val="2"/>
          </rPr>
          <t>O</t>
        </r>
      </is>
    </nc>
  </rcc>
  <rcc rId="1015" sId="26">
    <oc r="G124" t="inlineStr">
      <is>
        <t>kgN2O</t>
      </is>
    </oc>
    <nc r="G124" t="inlineStr">
      <is>
        <r>
          <t>kgN</t>
        </r>
        <r>
          <rPr>
            <vertAlign val="subscript"/>
            <sz val="9"/>
            <rFont val="Calibri"/>
            <family val="2"/>
          </rPr>
          <t>2</t>
        </r>
        <r>
          <rPr>
            <sz val="9"/>
            <rFont val="Calibri"/>
            <family val="2"/>
          </rPr>
          <t>O</t>
        </r>
      </is>
    </nc>
  </rcc>
  <rcc rId="1016" sId="26">
    <oc r="G125" t="inlineStr">
      <is>
        <t>kgN2O</t>
      </is>
    </oc>
    <nc r="G125" t="inlineStr">
      <is>
        <r>
          <t>kgN</t>
        </r>
        <r>
          <rPr>
            <vertAlign val="subscript"/>
            <sz val="9"/>
            <rFont val="Calibri"/>
            <family val="2"/>
          </rPr>
          <t>2</t>
        </r>
        <r>
          <rPr>
            <sz val="9"/>
            <rFont val="Calibri"/>
            <family val="2"/>
          </rPr>
          <t>O</t>
        </r>
      </is>
    </nc>
  </rcc>
  <rcc rId="1017" sId="26">
    <oc r="G126" t="inlineStr">
      <is>
        <t>kgN2O</t>
      </is>
    </oc>
    <nc r="G126" t="inlineStr">
      <is>
        <r>
          <t>kgN</t>
        </r>
        <r>
          <rPr>
            <vertAlign val="subscript"/>
            <sz val="9"/>
            <rFont val="Calibri"/>
            <family val="2"/>
          </rPr>
          <t>2</t>
        </r>
        <r>
          <rPr>
            <sz val="9"/>
            <rFont val="Calibri"/>
            <family val="2"/>
          </rPr>
          <t>O</t>
        </r>
      </is>
    </nc>
  </rcc>
  <rcc rId="1018" sId="26">
    <oc r="G127" t="inlineStr">
      <is>
        <t>kgN2O</t>
      </is>
    </oc>
    <nc r="G127" t="inlineStr">
      <is>
        <r>
          <t>kgN</t>
        </r>
        <r>
          <rPr>
            <vertAlign val="subscript"/>
            <sz val="9"/>
            <rFont val="Calibri"/>
            <family val="2"/>
          </rPr>
          <t>2</t>
        </r>
        <r>
          <rPr>
            <sz val="9"/>
            <rFont val="Calibri"/>
            <family val="2"/>
          </rPr>
          <t>O</t>
        </r>
      </is>
    </nc>
  </rcc>
  <rcc rId="1019" sId="26" quotePrefix="1">
    <oc r="G128" t="inlineStr">
      <is>
        <t>kgN2O</t>
      </is>
    </oc>
    <nc r="G128" t="inlineStr">
      <is>
        <r>
          <t>kgN</t>
        </r>
        <r>
          <rPr>
            <b/>
            <vertAlign val="subscript"/>
            <sz val="9"/>
            <rFont val="Calibri"/>
            <family val="2"/>
          </rPr>
          <t>2</t>
        </r>
        <r>
          <rPr>
            <b/>
            <sz val="9"/>
            <rFont val="Calibri"/>
            <family val="2"/>
          </rPr>
          <t>O</t>
        </r>
      </is>
    </nc>
  </rcc>
  <rcc rId="1020" sId="26">
    <oc r="G129" t="inlineStr">
      <is>
        <t>MgN2O</t>
      </is>
    </oc>
    <nc r="G129" t="inlineStr">
      <is>
        <r>
          <t>MgN</t>
        </r>
        <r>
          <rPr>
            <b/>
            <vertAlign val="subscript"/>
            <sz val="9"/>
            <rFont val="Calibri"/>
            <family val="2"/>
          </rPr>
          <t>2</t>
        </r>
        <r>
          <rPr>
            <b/>
            <sz val="9"/>
            <rFont val="Calibri"/>
            <family val="2"/>
          </rPr>
          <t>O</t>
        </r>
      </is>
    </nc>
  </rcc>
  <rcc rId="1021" sId="26">
    <oc r="G131" t="inlineStr">
      <is>
        <t>MgCO2e</t>
      </is>
    </oc>
    <nc r="G131" t="inlineStr">
      <is>
        <r>
          <t>MgCO</t>
        </r>
        <r>
          <rPr>
            <b/>
            <vertAlign val="subscript"/>
            <sz val="9"/>
            <color theme="3" tint="0.39997558519241921"/>
            <rFont val="Calibri"/>
            <family val="2"/>
          </rPr>
          <t>2</t>
        </r>
        <r>
          <rPr>
            <b/>
            <sz val="9"/>
            <color theme="3" tint="0.39997558519241921"/>
            <rFont val="Calibri"/>
            <family val="2"/>
          </rPr>
          <t>e</t>
        </r>
      </is>
    </nc>
  </rcc>
  <rcc rId="1022" sId="26">
    <oc r="L119" t="inlineStr">
      <is>
        <t>kgN2O</t>
      </is>
    </oc>
    <nc r="L119" t="inlineStr">
      <is>
        <r>
          <t>kgN</t>
        </r>
        <r>
          <rPr>
            <vertAlign val="subscript"/>
            <sz val="9"/>
            <rFont val="Calibri"/>
            <family val="2"/>
          </rPr>
          <t>2</t>
        </r>
        <r>
          <rPr>
            <sz val="9"/>
            <rFont val="Calibri"/>
            <family val="2"/>
          </rPr>
          <t>O</t>
        </r>
      </is>
    </nc>
  </rcc>
  <rcc rId="1023" sId="26">
    <oc r="L120" t="inlineStr">
      <is>
        <t>kgN2O</t>
      </is>
    </oc>
    <nc r="L120" t="inlineStr">
      <is>
        <r>
          <t>kgN</t>
        </r>
        <r>
          <rPr>
            <vertAlign val="subscript"/>
            <sz val="9"/>
            <rFont val="Calibri"/>
            <family val="2"/>
          </rPr>
          <t>2</t>
        </r>
        <r>
          <rPr>
            <sz val="9"/>
            <rFont val="Calibri"/>
            <family val="2"/>
          </rPr>
          <t>O</t>
        </r>
      </is>
    </nc>
  </rcc>
  <rcc rId="1024" sId="26">
    <oc r="L121" t="inlineStr">
      <is>
        <t>kgN2O</t>
      </is>
    </oc>
    <nc r="L121" t="inlineStr">
      <is>
        <r>
          <t>kgN</t>
        </r>
        <r>
          <rPr>
            <vertAlign val="subscript"/>
            <sz val="9"/>
            <rFont val="Calibri"/>
            <family val="2"/>
          </rPr>
          <t>2</t>
        </r>
        <r>
          <rPr>
            <sz val="9"/>
            <rFont val="Calibri"/>
            <family val="2"/>
          </rPr>
          <t>O</t>
        </r>
      </is>
    </nc>
  </rcc>
  <rcc rId="1025" sId="26">
    <oc r="L122" t="inlineStr">
      <is>
        <t>kgN2O</t>
      </is>
    </oc>
    <nc r="L122" t="inlineStr">
      <is>
        <r>
          <t>kgN</t>
        </r>
        <r>
          <rPr>
            <vertAlign val="subscript"/>
            <sz val="9"/>
            <rFont val="Calibri"/>
            <family val="2"/>
          </rPr>
          <t>2</t>
        </r>
        <r>
          <rPr>
            <sz val="9"/>
            <rFont val="Calibri"/>
            <family val="2"/>
          </rPr>
          <t>O</t>
        </r>
      </is>
    </nc>
  </rcc>
  <rcc rId="1026" sId="26">
    <oc r="L123" t="inlineStr">
      <is>
        <t>kgN2O</t>
      </is>
    </oc>
    <nc r="L123" t="inlineStr">
      <is>
        <r>
          <t>kgN</t>
        </r>
        <r>
          <rPr>
            <vertAlign val="subscript"/>
            <sz val="9"/>
            <rFont val="Calibri"/>
            <family val="2"/>
          </rPr>
          <t>2</t>
        </r>
        <r>
          <rPr>
            <sz val="9"/>
            <rFont val="Calibri"/>
            <family val="2"/>
          </rPr>
          <t>O</t>
        </r>
      </is>
    </nc>
  </rcc>
  <rcc rId="1027" sId="26">
    <oc r="L124" t="inlineStr">
      <is>
        <t>kgN2O</t>
      </is>
    </oc>
    <nc r="L124" t="inlineStr">
      <is>
        <r>
          <t>kgN</t>
        </r>
        <r>
          <rPr>
            <vertAlign val="subscript"/>
            <sz val="9"/>
            <rFont val="Calibri"/>
            <family val="2"/>
          </rPr>
          <t>2</t>
        </r>
        <r>
          <rPr>
            <sz val="9"/>
            <rFont val="Calibri"/>
            <family val="2"/>
          </rPr>
          <t>O</t>
        </r>
      </is>
    </nc>
  </rcc>
  <rcc rId="1028" sId="26">
    <oc r="L125" t="inlineStr">
      <is>
        <t>kgN2O</t>
      </is>
    </oc>
    <nc r="L125" t="inlineStr">
      <is>
        <r>
          <t>kgN</t>
        </r>
        <r>
          <rPr>
            <vertAlign val="subscript"/>
            <sz val="9"/>
            <rFont val="Calibri"/>
            <family val="2"/>
          </rPr>
          <t>2</t>
        </r>
        <r>
          <rPr>
            <sz val="9"/>
            <rFont val="Calibri"/>
            <family val="2"/>
          </rPr>
          <t>O</t>
        </r>
      </is>
    </nc>
  </rcc>
  <rcc rId="1029" sId="26">
    <oc r="L126" t="inlineStr">
      <is>
        <t>kgN2O</t>
      </is>
    </oc>
    <nc r="L126" t="inlineStr">
      <is>
        <r>
          <t>kgN</t>
        </r>
        <r>
          <rPr>
            <vertAlign val="subscript"/>
            <sz val="9"/>
            <rFont val="Calibri"/>
            <family val="2"/>
          </rPr>
          <t>2</t>
        </r>
        <r>
          <rPr>
            <sz val="9"/>
            <rFont val="Calibri"/>
            <family val="2"/>
          </rPr>
          <t>O</t>
        </r>
      </is>
    </nc>
  </rcc>
  <rcc rId="1030" sId="26">
    <oc r="L127" t="inlineStr">
      <is>
        <t>kgN2O</t>
      </is>
    </oc>
    <nc r="L127" t="inlineStr">
      <is>
        <r>
          <t>kgN</t>
        </r>
        <r>
          <rPr>
            <vertAlign val="subscript"/>
            <sz val="9"/>
            <rFont val="Calibri"/>
            <family val="2"/>
          </rPr>
          <t>2</t>
        </r>
        <r>
          <rPr>
            <sz val="9"/>
            <rFont val="Calibri"/>
            <family val="2"/>
          </rPr>
          <t>O</t>
        </r>
      </is>
    </nc>
  </rcc>
  <rcc rId="1031" sId="26" quotePrefix="1">
    <oc r="L128" t="inlineStr">
      <is>
        <t>kgN2O</t>
      </is>
    </oc>
    <nc r="L128" t="inlineStr">
      <is>
        <r>
          <t>kgN</t>
        </r>
        <r>
          <rPr>
            <b/>
            <vertAlign val="subscript"/>
            <sz val="9"/>
            <rFont val="Calibri"/>
            <family val="2"/>
          </rPr>
          <t>2</t>
        </r>
        <r>
          <rPr>
            <b/>
            <sz val="9"/>
            <rFont val="Calibri"/>
            <family val="2"/>
          </rPr>
          <t>O</t>
        </r>
      </is>
    </nc>
  </rcc>
  <rcc rId="1032" sId="26">
    <oc r="L129" t="inlineStr">
      <is>
        <t>MgN2O</t>
      </is>
    </oc>
    <nc r="L129" t="inlineStr">
      <is>
        <r>
          <t>MgN</t>
        </r>
        <r>
          <rPr>
            <b/>
            <vertAlign val="subscript"/>
            <sz val="9"/>
            <rFont val="Calibri"/>
            <family val="2"/>
          </rPr>
          <t>2</t>
        </r>
        <r>
          <rPr>
            <b/>
            <sz val="9"/>
            <rFont val="Calibri"/>
            <family val="2"/>
          </rPr>
          <t>O</t>
        </r>
      </is>
    </nc>
  </rcc>
  <rcc rId="1033" sId="26">
    <oc r="L131" t="inlineStr">
      <is>
        <t>MgCO2e</t>
      </is>
    </oc>
    <nc r="L131" t="inlineStr">
      <is>
        <r>
          <t>MgCO</t>
        </r>
        <r>
          <rPr>
            <b/>
            <vertAlign val="subscript"/>
            <sz val="9"/>
            <color theme="3" tint="0.39997558519241921"/>
            <rFont val="Calibri"/>
            <family val="2"/>
          </rPr>
          <t>2</t>
        </r>
        <r>
          <rPr>
            <b/>
            <sz val="9"/>
            <color theme="3" tint="0.39997558519241921"/>
            <rFont val="Calibri"/>
            <family val="2"/>
          </rPr>
          <t>e</t>
        </r>
      </is>
    </nc>
  </rcc>
  <rcc rId="1034" sId="26">
    <oc r="L105" t="inlineStr">
      <is>
        <t>kgCH4</t>
      </is>
    </oc>
    <nc r="L105" t="inlineStr">
      <is>
        <r>
          <t>kgCH</t>
        </r>
        <r>
          <rPr>
            <b/>
            <vertAlign val="subscript"/>
            <sz val="9"/>
            <rFont val="Calibri"/>
            <family val="2"/>
          </rPr>
          <t>4</t>
        </r>
      </is>
    </nc>
  </rcc>
  <rcc rId="1035" sId="26">
    <oc r="L106" t="inlineStr">
      <is>
        <t>MgCH4</t>
      </is>
    </oc>
    <nc r="L106" t="inlineStr">
      <is>
        <r>
          <t>MgCH</t>
        </r>
        <r>
          <rPr>
            <b/>
            <vertAlign val="subscript"/>
            <sz val="9"/>
            <rFont val="Calibri"/>
            <family val="2"/>
          </rPr>
          <t>4</t>
        </r>
      </is>
    </nc>
  </rcc>
  <rcc rId="1036" sId="26">
    <oc r="L96" t="inlineStr">
      <is>
        <t>kgCH4</t>
      </is>
    </oc>
    <nc r="L96" t="inlineStr">
      <is>
        <r>
          <t>kgCH</t>
        </r>
        <r>
          <rPr>
            <vertAlign val="subscript"/>
            <sz val="9"/>
            <rFont val="Calibri"/>
            <family val="2"/>
          </rPr>
          <t>4</t>
        </r>
      </is>
    </nc>
  </rcc>
  <rcc rId="1037" sId="26">
    <oc r="L97" t="inlineStr">
      <is>
        <t>kgCH4</t>
      </is>
    </oc>
    <nc r="L97" t="inlineStr">
      <is>
        <r>
          <t>kgCH</t>
        </r>
        <r>
          <rPr>
            <vertAlign val="subscript"/>
            <sz val="9"/>
            <rFont val="Calibri"/>
            <family val="2"/>
          </rPr>
          <t>4</t>
        </r>
      </is>
    </nc>
  </rcc>
  <rcc rId="1038" sId="26">
    <oc r="L98" t="inlineStr">
      <is>
        <t>kgCH4</t>
      </is>
    </oc>
    <nc r="L98" t="inlineStr">
      <is>
        <r>
          <t>kgCH</t>
        </r>
        <r>
          <rPr>
            <vertAlign val="subscript"/>
            <sz val="9"/>
            <rFont val="Calibri"/>
            <family val="2"/>
          </rPr>
          <t>4</t>
        </r>
        <r>
          <rPr>
            <sz val="11"/>
            <color theme="1"/>
            <rFont val="Calibri"/>
            <family val="2"/>
          </rPr>
          <t/>
        </r>
      </is>
    </nc>
  </rcc>
  <rcc rId="1039" sId="26">
    <oc r="L99" t="inlineStr">
      <is>
        <t>kgCH4</t>
      </is>
    </oc>
    <nc r="L99" t="inlineStr">
      <is>
        <r>
          <t>kgCH</t>
        </r>
        <r>
          <rPr>
            <vertAlign val="subscript"/>
            <sz val="9"/>
            <rFont val="Calibri"/>
            <family val="2"/>
          </rPr>
          <t>4</t>
        </r>
        <r>
          <rPr>
            <sz val="11"/>
            <color theme="1"/>
            <rFont val="Calibri"/>
            <family val="2"/>
          </rPr>
          <t/>
        </r>
      </is>
    </nc>
  </rcc>
  <rcc rId="1040" sId="26">
    <oc r="L100" t="inlineStr">
      <is>
        <t>kgCH4</t>
      </is>
    </oc>
    <nc r="L100" t="inlineStr">
      <is>
        <r>
          <t>kgCH</t>
        </r>
        <r>
          <rPr>
            <vertAlign val="subscript"/>
            <sz val="9"/>
            <rFont val="Calibri"/>
            <family val="2"/>
          </rPr>
          <t>4</t>
        </r>
        <r>
          <rPr>
            <sz val="11"/>
            <color theme="1"/>
            <rFont val="Calibri"/>
            <family val="2"/>
          </rPr>
          <t/>
        </r>
      </is>
    </nc>
  </rcc>
  <rcc rId="1041" sId="26">
    <oc r="L101" t="inlineStr">
      <is>
        <t>kgCH4</t>
      </is>
    </oc>
    <nc r="L101" t="inlineStr">
      <is>
        <r>
          <t>kgCH</t>
        </r>
        <r>
          <rPr>
            <vertAlign val="subscript"/>
            <sz val="9"/>
            <rFont val="Calibri"/>
            <family val="2"/>
          </rPr>
          <t>4</t>
        </r>
        <r>
          <rPr>
            <sz val="11"/>
            <color theme="1"/>
            <rFont val="Calibri"/>
            <family val="2"/>
          </rPr>
          <t/>
        </r>
      </is>
    </nc>
  </rcc>
  <rcc rId="1042" sId="26">
    <oc r="L102" t="inlineStr">
      <is>
        <t>kgCH4</t>
      </is>
    </oc>
    <nc r="L102" t="inlineStr">
      <is>
        <r>
          <t>kgCH</t>
        </r>
        <r>
          <rPr>
            <vertAlign val="subscript"/>
            <sz val="9"/>
            <rFont val="Calibri"/>
            <family val="2"/>
          </rPr>
          <t>4</t>
        </r>
        <r>
          <rPr>
            <sz val="11"/>
            <color theme="1"/>
            <rFont val="Calibri"/>
            <family val="2"/>
          </rPr>
          <t/>
        </r>
      </is>
    </nc>
  </rcc>
  <rcc rId="1043" sId="26">
    <oc r="L103" t="inlineStr">
      <is>
        <t>kgCH4</t>
      </is>
    </oc>
    <nc r="L103" t="inlineStr">
      <is>
        <r>
          <t>kgCH</t>
        </r>
        <r>
          <rPr>
            <vertAlign val="subscript"/>
            <sz val="9"/>
            <rFont val="Calibri"/>
            <family val="2"/>
          </rPr>
          <t>4</t>
        </r>
        <r>
          <rPr>
            <sz val="11"/>
            <color theme="1"/>
            <rFont val="Calibri"/>
            <family val="2"/>
          </rPr>
          <t/>
        </r>
      </is>
    </nc>
  </rcc>
  <rcc rId="1044" sId="26">
    <oc r="L104" t="inlineStr">
      <is>
        <t>kgCH4</t>
      </is>
    </oc>
    <nc r="L104" t="inlineStr">
      <is>
        <r>
          <t>kgCH</t>
        </r>
        <r>
          <rPr>
            <vertAlign val="subscript"/>
            <sz val="9"/>
            <rFont val="Calibri"/>
            <family val="2"/>
          </rPr>
          <t>4</t>
        </r>
        <r>
          <rPr>
            <sz val="11"/>
            <color theme="1"/>
            <rFont val="Calibri"/>
            <family val="2"/>
          </rPr>
          <t/>
        </r>
      </is>
    </nc>
  </rcc>
  <rcc rId="1045" sId="26">
    <oc r="G96" t="inlineStr">
      <is>
        <t>kgCH4</t>
      </is>
    </oc>
    <nc r="G96" t="inlineStr">
      <is>
        <r>
          <t>kgCH</t>
        </r>
        <r>
          <rPr>
            <vertAlign val="subscript"/>
            <sz val="9"/>
            <rFont val="Calibri"/>
            <family val="2"/>
          </rPr>
          <t>4</t>
        </r>
      </is>
    </nc>
  </rcc>
  <rcc rId="1046" sId="26">
    <oc r="G97" t="inlineStr">
      <is>
        <t>kgCH4</t>
      </is>
    </oc>
    <nc r="G97" t="inlineStr">
      <is>
        <r>
          <t>kgCH</t>
        </r>
        <r>
          <rPr>
            <vertAlign val="subscript"/>
            <sz val="9"/>
            <rFont val="Calibri"/>
            <family val="2"/>
          </rPr>
          <t>4</t>
        </r>
      </is>
    </nc>
  </rcc>
  <rcc rId="1047" sId="26">
    <oc r="G98" t="inlineStr">
      <is>
        <t>kgCH4</t>
      </is>
    </oc>
    <nc r="G98" t="inlineStr">
      <is>
        <r>
          <t>kgCH</t>
        </r>
        <r>
          <rPr>
            <vertAlign val="subscript"/>
            <sz val="9"/>
            <rFont val="Calibri"/>
            <family val="2"/>
          </rPr>
          <t>4</t>
        </r>
        <r>
          <rPr>
            <sz val="11"/>
            <color theme="1"/>
            <rFont val="Calibri"/>
            <family val="2"/>
          </rPr>
          <t/>
        </r>
      </is>
    </nc>
  </rcc>
  <rcc rId="1048" sId="26">
    <oc r="G99" t="inlineStr">
      <is>
        <t>kgCH4</t>
      </is>
    </oc>
    <nc r="G99" t="inlineStr">
      <is>
        <r>
          <t>kgCH</t>
        </r>
        <r>
          <rPr>
            <vertAlign val="subscript"/>
            <sz val="9"/>
            <rFont val="Calibri"/>
            <family val="2"/>
          </rPr>
          <t>4</t>
        </r>
        <r>
          <rPr>
            <sz val="11"/>
            <color theme="1"/>
            <rFont val="Calibri"/>
            <family val="2"/>
          </rPr>
          <t/>
        </r>
      </is>
    </nc>
  </rcc>
  <rcc rId="1049" sId="26">
    <oc r="G100" t="inlineStr">
      <is>
        <t>kgCH4</t>
      </is>
    </oc>
    <nc r="G100" t="inlineStr">
      <is>
        <r>
          <t>kgCH</t>
        </r>
        <r>
          <rPr>
            <vertAlign val="subscript"/>
            <sz val="9"/>
            <rFont val="Calibri"/>
            <family val="2"/>
          </rPr>
          <t>4</t>
        </r>
        <r>
          <rPr>
            <sz val="11"/>
            <color theme="1"/>
            <rFont val="Calibri"/>
            <family val="2"/>
          </rPr>
          <t/>
        </r>
      </is>
    </nc>
  </rcc>
  <rcc rId="1050" sId="26">
    <oc r="G101" t="inlineStr">
      <is>
        <t>kgCH4</t>
      </is>
    </oc>
    <nc r="G101" t="inlineStr">
      <is>
        <r>
          <t>kgCH</t>
        </r>
        <r>
          <rPr>
            <vertAlign val="subscript"/>
            <sz val="9"/>
            <rFont val="Calibri"/>
            <family val="2"/>
          </rPr>
          <t>4</t>
        </r>
        <r>
          <rPr>
            <sz val="11"/>
            <color theme="1"/>
            <rFont val="Calibri"/>
            <family val="2"/>
          </rPr>
          <t/>
        </r>
      </is>
    </nc>
  </rcc>
  <rcc rId="1051" sId="26">
    <oc r="G102" t="inlineStr">
      <is>
        <t>kgCH4</t>
      </is>
    </oc>
    <nc r="G102" t="inlineStr">
      <is>
        <r>
          <t>kgCH</t>
        </r>
        <r>
          <rPr>
            <vertAlign val="subscript"/>
            <sz val="9"/>
            <rFont val="Calibri"/>
            <family val="2"/>
          </rPr>
          <t>4</t>
        </r>
        <r>
          <rPr>
            <sz val="11"/>
            <color theme="1"/>
            <rFont val="Calibri"/>
            <family val="2"/>
          </rPr>
          <t/>
        </r>
      </is>
    </nc>
  </rcc>
  <rcc rId="1052" sId="26">
    <oc r="G103" t="inlineStr">
      <is>
        <t>kgCH4</t>
      </is>
    </oc>
    <nc r="G103" t="inlineStr">
      <is>
        <r>
          <t>kgCH</t>
        </r>
        <r>
          <rPr>
            <vertAlign val="subscript"/>
            <sz val="9"/>
            <rFont val="Calibri"/>
            <family val="2"/>
          </rPr>
          <t>4</t>
        </r>
        <r>
          <rPr>
            <sz val="11"/>
            <color theme="1"/>
            <rFont val="Calibri"/>
            <family val="2"/>
          </rPr>
          <t/>
        </r>
      </is>
    </nc>
  </rcc>
  <rcc rId="1053" sId="26">
    <oc r="G104" t="inlineStr">
      <is>
        <t>kgCH4</t>
      </is>
    </oc>
    <nc r="G104" t="inlineStr">
      <is>
        <r>
          <t>kgCH</t>
        </r>
        <r>
          <rPr>
            <vertAlign val="subscript"/>
            <sz val="9"/>
            <rFont val="Calibri"/>
            <family val="2"/>
          </rPr>
          <t>4</t>
        </r>
        <r>
          <rPr>
            <sz val="11"/>
            <color theme="1"/>
            <rFont val="Calibri"/>
            <family val="2"/>
          </rPr>
          <t/>
        </r>
      </is>
    </nc>
  </rcc>
  <rcc rId="1054" sId="26">
    <oc r="G105" t="inlineStr">
      <is>
        <t>kgCH4</t>
      </is>
    </oc>
    <nc r="G105" t="inlineStr">
      <is>
        <r>
          <t>kgCH</t>
        </r>
        <r>
          <rPr>
            <b/>
            <vertAlign val="subscript"/>
            <sz val="9"/>
            <rFont val="Calibri"/>
            <family val="2"/>
          </rPr>
          <t>4</t>
        </r>
      </is>
    </nc>
  </rcc>
  <rcc rId="1055" sId="26">
    <oc r="G106" t="inlineStr">
      <is>
        <t>MgCH4</t>
      </is>
    </oc>
    <nc r="G106" t="inlineStr">
      <is>
        <r>
          <t>MgCH</t>
        </r>
        <r>
          <rPr>
            <b/>
            <vertAlign val="subscript"/>
            <sz val="9"/>
            <rFont val="Calibri"/>
            <family val="2"/>
          </rPr>
          <t>4</t>
        </r>
      </is>
    </nc>
  </rcc>
  <rcc rId="1056" sId="26">
    <oc r="C96" t="inlineStr">
      <is>
        <t>kgCH4</t>
      </is>
    </oc>
    <nc r="C96" t="inlineStr">
      <is>
        <r>
          <t>kgCH</t>
        </r>
        <r>
          <rPr>
            <vertAlign val="subscript"/>
            <sz val="9"/>
            <rFont val="Calibri"/>
            <family val="2"/>
          </rPr>
          <t>4</t>
        </r>
      </is>
    </nc>
  </rcc>
  <rcc rId="1057" sId="26">
    <oc r="C97" t="inlineStr">
      <is>
        <t>kgCH4</t>
      </is>
    </oc>
    <nc r="C97" t="inlineStr">
      <is>
        <r>
          <t>kgCH</t>
        </r>
        <r>
          <rPr>
            <vertAlign val="subscript"/>
            <sz val="9"/>
            <rFont val="Calibri"/>
            <family val="2"/>
          </rPr>
          <t>4</t>
        </r>
      </is>
    </nc>
  </rcc>
  <rcc rId="1058" sId="26">
    <oc r="C98" t="inlineStr">
      <is>
        <t>kgCH4</t>
      </is>
    </oc>
    <nc r="C98" t="inlineStr">
      <is>
        <r>
          <t>kgCH</t>
        </r>
        <r>
          <rPr>
            <vertAlign val="subscript"/>
            <sz val="9"/>
            <rFont val="Calibri"/>
            <family val="2"/>
          </rPr>
          <t>4</t>
        </r>
        <r>
          <rPr>
            <sz val="11"/>
            <color theme="1"/>
            <rFont val="Calibri"/>
            <family val="2"/>
          </rPr>
          <t/>
        </r>
      </is>
    </nc>
  </rcc>
  <rcc rId="1059" sId="26">
    <oc r="C99" t="inlineStr">
      <is>
        <t>kgCH4</t>
      </is>
    </oc>
    <nc r="C99" t="inlineStr">
      <is>
        <r>
          <t>kgCH</t>
        </r>
        <r>
          <rPr>
            <vertAlign val="subscript"/>
            <sz val="9"/>
            <rFont val="Calibri"/>
            <family val="2"/>
          </rPr>
          <t>4</t>
        </r>
        <r>
          <rPr>
            <sz val="11"/>
            <color theme="1"/>
            <rFont val="Calibri"/>
            <family val="2"/>
          </rPr>
          <t/>
        </r>
      </is>
    </nc>
  </rcc>
  <rcc rId="1060" sId="26">
    <oc r="C100" t="inlineStr">
      <is>
        <t>kgCH4</t>
      </is>
    </oc>
    <nc r="C100" t="inlineStr">
      <is>
        <r>
          <t>kgCH</t>
        </r>
        <r>
          <rPr>
            <vertAlign val="subscript"/>
            <sz val="9"/>
            <rFont val="Calibri"/>
            <family val="2"/>
          </rPr>
          <t>4</t>
        </r>
        <r>
          <rPr>
            <sz val="11"/>
            <color theme="1"/>
            <rFont val="Calibri"/>
            <family val="2"/>
          </rPr>
          <t/>
        </r>
      </is>
    </nc>
  </rcc>
  <rcc rId="1061" sId="26">
    <oc r="C101" t="inlineStr">
      <is>
        <t>kgCH4</t>
      </is>
    </oc>
    <nc r="C101" t="inlineStr">
      <is>
        <r>
          <t>kgCH</t>
        </r>
        <r>
          <rPr>
            <vertAlign val="subscript"/>
            <sz val="9"/>
            <rFont val="Calibri"/>
            <family val="2"/>
          </rPr>
          <t>4</t>
        </r>
        <r>
          <rPr>
            <sz val="11"/>
            <color theme="1"/>
            <rFont val="Calibri"/>
            <family val="2"/>
          </rPr>
          <t/>
        </r>
      </is>
    </nc>
  </rcc>
  <rcc rId="1062" sId="26">
    <oc r="C102" t="inlineStr">
      <is>
        <t>kgCH4</t>
      </is>
    </oc>
    <nc r="C102" t="inlineStr">
      <is>
        <r>
          <t>kgCH</t>
        </r>
        <r>
          <rPr>
            <vertAlign val="subscript"/>
            <sz val="9"/>
            <rFont val="Calibri"/>
            <family val="2"/>
          </rPr>
          <t>4</t>
        </r>
        <r>
          <rPr>
            <sz val="11"/>
            <color theme="1"/>
            <rFont val="Calibri"/>
            <family val="2"/>
          </rPr>
          <t/>
        </r>
      </is>
    </nc>
  </rcc>
  <rcc rId="1063" sId="26">
    <oc r="C103" t="inlineStr">
      <is>
        <t>kgCH4</t>
      </is>
    </oc>
    <nc r="C103" t="inlineStr">
      <is>
        <r>
          <t>kgCH</t>
        </r>
        <r>
          <rPr>
            <vertAlign val="subscript"/>
            <sz val="9"/>
            <rFont val="Calibri"/>
            <family val="2"/>
          </rPr>
          <t>4</t>
        </r>
        <r>
          <rPr>
            <sz val="11"/>
            <color theme="1"/>
            <rFont val="Calibri"/>
            <family val="2"/>
          </rPr>
          <t/>
        </r>
      </is>
    </nc>
  </rcc>
  <rcc rId="1064" sId="26">
    <oc r="C104" t="inlineStr">
      <is>
        <t>kgCH4</t>
      </is>
    </oc>
    <nc r="C104" t="inlineStr">
      <is>
        <r>
          <t>kgCH</t>
        </r>
        <r>
          <rPr>
            <vertAlign val="subscript"/>
            <sz val="9"/>
            <rFont val="Calibri"/>
            <family val="2"/>
          </rPr>
          <t>4</t>
        </r>
        <r>
          <rPr>
            <sz val="11"/>
            <color theme="1"/>
            <rFont val="Calibri"/>
            <family val="2"/>
          </rPr>
          <t/>
        </r>
      </is>
    </nc>
  </rcc>
  <rcc rId="1065" sId="26">
    <oc r="C105" t="inlineStr">
      <is>
        <t>kgCH4</t>
      </is>
    </oc>
    <nc r="C105" t="inlineStr">
      <is>
        <r>
          <t>kgCH</t>
        </r>
        <r>
          <rPr>
            <b/>
            <vertAlign val="subscript"/>
            <sz val="9"/>
            <rFont val="Calibri"/>
            <family val="2"/>
          </rPr>
          <t>4</t>
        </r>
      </is>
    </nc>
  </rcc>
  <rcc rId="1066" sId="26">
    <oc r="C106" t="inlineStr">
      <is>
        <t>MgCH4</t>
      </is>
    </oc>
    <nc r="C106" t="inlineStr">
      <is>
        <r>
          <t>MgCH</t>
        </r>
        <r>
          <rPr>
            <b/>
            <vertAlign val="subscript"/>
            <sz val="9"/>
            <rFont val="Calibri"/>
            <family val="2"/>
          </rPr>
          <t>4</t>
        </r>
      </is>
    </nc>
  </rcc>
  <rcc rId="1067" sId="26" odxf="1" dxf="1">
    <oc r="C29" t="inlineStr">
      <is>
        <t>kgCH4</t>
      </is>
    </oc>
    <nc r="C29" t="inlineStr">
      <is>
        <r>
          <t>kgCH</t>
        </r>
        <r>
          <rPr>
            <vertAlign val="subscript"/>
            <sz val="9"/>
            <rFont val="Calibri"/>
            <family val="2"/>
          </rPr>
          <t>4</t>
        </r>
      </is>
    </nc>
    <odxf>
      <alignment horizontal="left" vertical="top"/>
    </odxf>
    <ndxf>
      <alignment horizontal="general" vertical="bottom"/>
    </ndxf>
  </rcc>
  <rcc rId="1068" sId="26" odxf="1" dxf="1">
    <oc r="C30" t="inlineStr">
      <is>
        <t>kgCH4</t>
      </is>
    </oc>
    <nc r="C30" t="inlineStr">
      <is>
        <r>
          <t>kgCH</t>
        </r>
        <r>
          <rPr>
            <vertAlign val="subscript"/>
            <sz val="9"/>
            <rFont val="Calibri"/>
            <family val="2"/>
          </rPr>
          <t>4</t>
        </r>
      </is>
    </nc>
    <odxf>
      <alignment horizontal="left" vertical="top"/>
    </odxf>
    <ndxf>
      <alignment horizontal="general" vertical="bottom"/>
    </ndxf>
  </rcc>
  <rcc rId="1069" sId="26" odxf="1" dxf="1">
    <oc r="C31" t="inlineStr">
      <is>
        <t>kgCH4</t>
      </is>
    </oc>
    <nc r="C31"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0" sId="26" odxf="1" dxf="1">
    <oc r="C32" t="inlineStr">
      <is>
        <t>kgCH4</t>
      </is>
    </oc>
    <nc r="C32"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1" sId="26" odxf="1" dxf="1">
    <oc r="C33" t="inlineStr">
      <is>
        <t>kgCH4</t>
      </is>
    </oc>
    <nc r="C33"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2" sId="26" odxf="1" dxf="1">
    <oc r="C34" t="inlineStr">
      <is>
        <t>kgCH4</t>
      </is>
    </oc>
    <nc r="C34"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3" sId="26" odxf="1" dxf="1">
    <oc r="C35" t="inlineStr">
      <is>
        <t>kgCH4</t>
      </is>
    </oc>
    <nc r="C35"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4" sId="26" odxf="1" dxf="1">
    <oc r="C36" t="inlineStr">
      <is>
        <t>kgCH4</t>
      </is>
    </oc>
    <nc r="C36"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75" sId="26" odxf="1" dxf="1">
    <oc r="C37" t="inlineStr">
      <is>
        <t>kgCH4</t>
      </is>
    </oc>
    <nc r="C37" t="inlineStr">
      <is>
        <r>
          <t>kgCH</t>
        </r>
        <r>
          <rPr>
            <vertAlign val="subscript"/>
            <sz val="9"/>
            <rFont val="Calibri"/>
            <family val="2"/>
          </rPr>
          <t>4</t>
        </r>
        <r>
          <rPr>
            <sz val="11"/>
            <color theme="1"/>
            <rFont val="Calibri"/>
            <family val="2"/>
          </rPr>
          <t/>
        </r>
      </is>
    </nc>
    <odxf>
      <font>
        <b/>
        <name val="Calibri"/>
        <family val="2"/>
        <scheme val="minor"/>
      </font>
      <alignment horizontal="left" vertical="top"/>
    </odxf>
    <ndxf>
      <font>
        <b val="0"/>
        <name val="Calibri"/>
        <family val="2"/>
        <scheme val="minor"/>
      </font>
      <alignment horizontal="general" vertical="bottom"/>
    </ndxf>
  </rcc>
  <rfmt sheetId="26" sqref="C38" start="0" length="0">
    <dxf>
      <font>
        <b/>
        <name val="Calibri"/>
        <family val="2"/>
        <scheme val="minor"/>
      </font>
      <alignment horizontal="general" vertical="bottom"/>
    </dxf>
  </rfmt>
  <rfmt sheetId="26" sqref="C39" start="0" length="0">
    <dxf>
      <font>
        <color theme="4"/>
        <name val="Calibri"/>
        <family val="2"/>
        <scheme val="minor"/>
      </font>
    </dxf>
  </rfmt>
  <rfmt sheetId="26" sqref="C37" start="0" length="2147483647">
    <dxf>
      <font>
        <b/>
        <family val="2"/>
      </font>
    </dxf>
  </rfmt>
  <rcc rId="1076" sId="26" odxf="1" dxf="1">
    <oc r="C38" t="inlineStr">
      <is>
        <t>kgCO2e</t>
      </is>
    </oc>
    <nc r="C38" t="inlineStr">
      <is>
        <r>
          <t>kgCO</t>
        </r>
        <r>
          <rPr>
            <vertAlign val="subscript"/>
            <sz val="9"/>
            <rFont val="Calibri"/>
            <family val="2"/>
          </rPr>
          <t>2</t>
        </r>
        <r>
          <rPr>
            <sz val="9"/>
            <rFont val="Calibri"/>
            <family val="2"/>
          </rPr>
          <t>e</t>
        </r>
      </is>
    </nc>
    <ndxf>
      <font>
        <b val="0"/>
        <name val="Calibri"/>
        <family val="2"/>
        <scheme val="minor"/>
      </font>
      <alignment horizontal="left" vertical="top"/>
    </ndxf>
  </rcc>
  <rcc rId="1077" sId="26" odxf="1" dxf="1">
    <oc r="C39" t="inlineStr">
      <is>
        <t>MgCO2e</t>
      </is>
    </oc>
    <nc r="C39" t="inlineStr">
      <is>
        <r>
          <t>MgCO</t>
        </r>
        <r>
          <rPr>
            <b/>
            <vertAlign val="subscript"/>
            <sz val="9"/>
            <color theme="4"/>
            <rFont val="Calibri"/>
            <family val="2"/>
          </rPr>
          <t>2</t>
        </r>
        <r>
          <rPr>
            <b/>
            <sz val="9"/>
            <color theme="4"/>
            <rFont val="Calibri"/>
            <family val="2"/>
          </rPr>
          <t>e</t>
        </r>
      </is>
    </nc>
    <ndxf>
      <font>
        <color theme="4"/>
        <name val="Calibri"/>
        <family val="2"/>
        <scheme val="minor"/>
      </font>
    </ndxf>
  </rcc>
  <rcc rId="1078" sId="26" odxf="1" dxf="1">
    <oc r="G29" t="inlineStr">
      <is>
        <t>kgCH4</t>
      </is>
    </oc>
    <nc r="G29" t="inlineStr">
      <is>
        <r>
          <t>kgCH</t>
        </r>
        <r>
          <rPr>
            <vertAlign val="subscript"/>
            <sz val="9"/>
            <rFont val="Calibri"/>
            <family val="2"/>
          </rPr>
          <t>4</t>
        </r>
      </is>
    </nc>
    <odxf>
      <alignment horizontal="left" vertical="top"/>
    </odxf>
    <ndxf>
      <alignment horizontal="general" vertical="bottom"/>
    </ndxf>
  </rcc>
  <rcc rId="1079" sId="26" odxf="1" dxf="1">
    <oc r="G30" t="inlineStr">
      <is>
        <t>kgCH4</t>
      </is>
    </oc>
    <nc r="G30" t="inlineStr">
      <is>
        <r>
          <t>kgCH</t>
        </r>
        <r>
          <rPr>
            <vertAlign val="subscript"/>
            <sz val="9"/>
            <rFont val="Calibri"/>
            <family val="2"/>
          </rPr>
          <t>4</t>
        </r>
      </is>
    </nc>
    <odxf>
      <alignment horizontal="left" vertical="top"/>
    </odxf>
    <ndxf>
      <alignment horizontal="general" vertical="bottom"/>
    </ndxf>
  </rcc>
  <rcc rId="1080" sId="26" odxf="1" dxf="1">
    <oc r="G31" t="inlineStr">
      <is>
        <t>kgCH4</t>
      </is>
    </oc>
    <nc r="G31"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1" sId="26" odxf="1" dxf="1">
    <oc r="G32" t="inlineStr">
      <is>
        <t>kgCH4</t>
      </is>
    </oc>
    <nc r="G32"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2" sId="26" odxf="1" dxf="1">
    <oc r="G33" t="inlineStr">
      <is>
        <t>kgCH4</t>
      </is>
    </oc>
    <nc r="G33"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3" sId="26" odxf="1" dxf="1">
    <oc r="G34" t="inlineStr">
      <is>
        <t>kgCH4</t>
      </is>
    </oc>
    <nc r="G34"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4" sId="26" odxf="1" dxf="1">
    <oc r="G35" t="inlineStr">
      <is>
        <t>kgCH4</t>
      </is>
    </oc>
    <nc r="G35"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5" sId="26" odxf="1" dxf="1">
    <oc r="G36" t="inlineStr">
      <is>
        <t>kgCH4</t>
      </is>
    </oc>
    <nc r="G36"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86" sId="26" odxf="1" dxf="1">
    <oc r="G37" t="inlineStr">
      <is>
        <t>kgCH4</t>
      </is>
    </oc>
    <nc r="G37" t="inlineStr">
      <is>
        <r>
          <t>kgCH</t>
        </r>
        <r>
          <rPr>
            <b/>
            <vertAlign val="subscript"/>
            <sz val="9"/>
            <rFont val="Calibri"/>
            <family val="2"/>
          </rPr>
          <t>4</t>
        </r>
        <r>
          <rPr>
            <sz val="11"/>
            <color theme="1"/>
            <rFont val="Calibri"/>
            <family val="2"/>
          </rPr>
          <t/>
        </r>
      </is>
    </nc>
    <odxf>
      <alignment horizontal="left" vertical="top"/>
    </odxf>
    <ndxf>
      <alignment horizontal="general" vertical="bottom"/>
    </ndxf>
  </rcc>
  <rcc rId="1087" sId="26">
    <oc r="G38" t="inlineStr">
      <is>
        <t>kgCO2e</t>
      </is>
    </oc>
    <nc r="G38" t="inlineStr">
      <is>
        <r>
          <t>kgCO</t>
        </r>
        <r>
          <rPr>
            <vertAlign val="subscript"/>
            <sz val="9"/>
            <rFont val="Calibri"/>
            <family val="2"/>
          </rPr>
          <t>2</t>
        </r>
        <r>
          <rPr>
            <sz val="9"/>
            <rFont val="Calibri"/>
            <family val="2"/>
          </rPr>
          <t>e</t>
        </r>
      </is>
    </nc>
  </rcc>
  <rcc rId="1088" sId="26">
    <oc r="G39" t="inlineStr">
      <is>
        <t>MgCO2e</t>
      </is>
    </oc>
    <nc r="G39" t="inlineStr">
      <is>
        <r>
          <t>MgCO</t>
        </r>
        <r>
          <rPr>
            <b/>
            <vertAlign val="subscript"/>
            <sz val="9"/>
            <color theme="4"/>
            <rFont val="Calibri"/>
            <family val="2"/>
          </rPr>
          <t>2</t>
        </r>
        <r>
          <rPr>
            <b/>
            <sz val="9"/>
            <color theme="4"/>
            <rFont val="Calibri"/>
            <family val="2"/>
          </rPr>
          <t>e</t>
        </r>
      </is>
    </nc>
  </rcc>
  <rcc rId="1089" sId="26" odxf="1" dxf="1">
    <oc r="L29" t="inlineStr">
      <is>
        <t>kgCH4</t>
      </is>
    </oc>
    <nc r="L29" t="inlineStr">
      <is>
        <r>
          <t>kgCH</t>
        </r>
        <r>
          <rPr>
            <vertAlign val="subscript"/>
            <sz val="9"/>
            <rFont val="Calibri"/>
            <family val="2"/>
          </rPr>
          <t>4</t>
        </r>
      </is>
    </nc>
    <odxf>
      <alignment horizontal="left" vertical="top"/>
    </odxf>
    <ndxf>
      <alignment horizontal="general" vertical="bottom"/>
    </ndxf>
  </rcc>
  <rcc rId="1090" sId="26" odxf="1" dxf="1">
    <oc r="L30" t="inlineStr">
      <is>
        <t>kgCH4</t>
      </is>
    </oc>
    <nc r="L30" t="inlineStr">
      <is>
        <r>
          <t>kgCH</t>
        </r>
        <r>
          <rPr>
            <vertAlign val="subscript"/>
            <sz val="9"/>
            <rFont val="Calibri"/>
            <family val="2"/>
          </rPr>
          <t>4</t>
        </r>
      </is>
    </nc>
    <odxf>
      <alignment horizontal="left" vertical="top"/>
    </odxf>
    <ndxf>
      <alignment horizontal="general" vertical="bottom"/>
    </ndxf>
  </rcc>
  <rcc rId="1091" sId="26" odxf="1" dxf="1">
    <oc r="L31" t="inlineStr">
      <is>
        <t>kgCH4</t>
      </is>
    </oc>
    <nc r="L31"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2" sId="26" odxf="1" dxf="1">
    <oc r="L32" t="inlineStr">
      <is>
        <t>kgCH4</t>
      </is>
    </oc>
    <nc r="L32"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3" sId="26" odxf="1" dxf="1">
    <oc r="L33" t="inlineStr">
      <is>
        <t>kgCH4</t>
      </is>
    </oc>
    <nc r="L33"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4" sId="26" odxf="1" dxf="1">
    <oc r="L34" t="inlineStr">
      <is>
        <t>kgCH4</t>
      </is>
    </oc>
    <nc r="L34"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5" sId="26" odxf="1" dxf="1">
    <oc r="L35" t="inlineStr">
      <is>
        <t>kgCH4</t>
      </is>
    </oc>
    <nc r="L35"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6" sId="26" odxf="1" dxf="1">
    <oc r="L36" t="inlineStr">
      <is>
        <t>kgCH4</t>
      </is>
    </oc>
    <nc r="L36" t="inlineStr">
      <is>
        <r>
          <t>kgCH</t>
        </r>
        <r>
          <rPr>
            <vertAlign val="subscript"/>
            <sz val="9"/>
            <rFont val="Calibri"/>
            <family val="2"/>
          </rPr>
          <t>4</t>
        </r>
        <r>
          <rPr>
            <sz val="11"/>
            <color theme="1"/>
            <rFont val="Calibri"/>
            <family val="2"/>
          </rPr>
          <t/>
        </r>
      </is>
    </nc>
    <odxf>
      <alignment horizontal="left" vertical="top"/>
    </odxf>
    <ndxf>
      <alignment horizontal="general" vertical="bottom"/>
    </ndxf>
  </rcc>
  <rcc rId="1097" sId="26" odxf="1" dxf="1">
    <oc r="L37" t="inlineStr">
      <is>
        <t>kgCH4</t>
      </is>
    </oc>
    <nc r="L37" t="inlineStr">
      <is>
        <r>
          <t>kgCH</t>
        </r>
        <r>
          <rPr>
            <b/>
            <vertAlign val="subscript"/>
            <sz val="9"/>
            <rFont val="Calibri"/>
            <family val="2"/>
          </rPr>
          <t>4</t>
        </r>
        <r>
          <rPr>
            <sz val="11"/>
            <color theme="1"/>
            <rFont val="Calibri"/>
            <family val="2"/>
          </rPr>
          <t/>
        </r>
      </is>
    </nc>
    <odxf>
      <alignment horizontal="left" vertical="top"/>
    </odxf>
    <ndxf>
      <alignment horizontal="general" vertical="bottom"/>
    </ndxf>
  </rcc>
  <rcc rId="1098" sId="26">
    <oc r="L38" t="inlineStr">
      <is>
        <t>kgCO2e</t>
      </is>
    </oc>
    <nc r="L38" t="inlineStr">
      <is>
        <r>
          <t>kgCO</t>
        </r>
        <r>
          <rPr>
            <vertAlign val="subscript"/>
            <sz val="9"/>
            <rFont val="Calibri"/>
            <family val="2"/>
          </rPr>
          <t>2</t>
        </r>
        <r>
          <rPr>
            <sz val="9"/>
            <rFont val="Calibri"/>
            <family val="2"/>
          </rPr>
          <t>e</t>
        </r>
      </is>
    </nc>
  </rcc>
  <rcc rId="1099" sId="26">
    <oc r="L39" t="inlineStr">
      <is>
        <t>MgCO2e</t>
      </is>
    </oc>
    <nc r="L39" t="inlineStr">
      <is>
        <r>
          <t>MgCO</t>
        </r>
        <r>
          <rPr>
            <b/>
            <vertAlign val="subscript"/>
            <sz val="9"/>
            <color theme="4"/>
            <rFont val="Calibri"/>
            <family val="2"/>
          </rPr>
          <t>2</t>
        </r>
        <r>
          <rPr>
            <b/>
            <sz val="9"/>
            <color theme="4"/>
            <rFont val="Calibri"/>
            <family val="2"/>
          </rPr>
          <t>e</t>
        </r>
      </is>
    </nc>
  </rcc>
  <rfmt sheetId="27" sqref="L6:M29">
    <dxf>
      <fill>
        <patternFill patternType="none">
          <bgColor auto="1"/>
        </patternFill>
      </fill>
    </dxf>
  </rfmt>
  <rcc rId="1100" sId="15">
    <oc r="L11" t="inlineStr">
      <is>
        <t>KC15_40_04</t>
      </is>
    </oc>
    <nc r="L11" t="inlineStr">
      <is>
        <t>KC15_40_02</t>
      </is>
    </nc>
  </rcc>
  <rcc rId="1101" sId="15">
    <oc r="L33" t="inlineStr">
      <is>
        <t>KC15_40_04</t>
      </is>
    </oc>
    <nc r="L33" t="inlineStr">
      <is>
        <t>KC15_40_02</t>
      </is>
    </nc>
  </rcc>
  <rcc rId="1102" sId="15">
    <oc r="L34" t="inlineStr">
      <is>
        <t>Changed name to Star Forge in 2016, no longer operating at PSCAA threshold</t>
      </is>
    </oc>
    <nc r="L34" t="inlineStr">
      <is>
        <t>KC15_40_02</t>
      </is>
    </nc>
  </rcc>
  <rcc rId="1103" sId="15">
    <nc r="L48" t="inlineStr">
      <is>
        <t>KC15_40_02</t>
      </is>
    </nc>
  </rcc>
  <rcmt sheetId="15" cell="J11" guid="{00000000-0000-0000-0000-000000000000}" action="delete" alwaysShow="1" author="Andrea Martin"/>
  <rcc rId="1104" sId="15">
    <oc r="D11" t="inlineStr">
      <is>
        <t>KC08-40-1_00-08ProcessData</t>
      </is>
    </oc>
    <nc r="D11" t="inlineStr">
      <is>
        <t>KC08-40-1_08</t>
      </is>
    </nc>
  </rcc>
  <rcc rId="1105" sId="15">
    <oc r="D13" t="inlineStr">
      <is>
        <t>KC08-40-1_00-08ProcessData</t>
      </is>
    </oc>
    <nc r="D13" t="inlineStr">
      <is>
        <t>KC08-40-1_08</t>
      </is>
    </nc>
  </rcc>
  <rcc rId="1106" sId="15">
    <oc r="D33" t="inlineStr">
      <is>
        <t>KC08-40-1_00-08ProcessData</t>
      </is>
    </oc>
    <nc r="D33" t="inlineStr">
      <is>
        <t>KC08-40-1_08</t>
      </is>
    </nc>
  </rcc>
  <rcc rId="1107" sId="15">
    <oc r="D34" t="inlineStr">
      <is>
        <t>KC08-40-1_00-08ProcessData</t>
      </is>
    </oc>
    <nc r="D34" t="inlineStr">
      <is>
        <t>KC08-40-1_08</t>
      </is>
    </nc>
  </rcc>
  <rcc rId="1108" sId="15">
    <oc r="D38" t="inlineStr">
      <is>
        <t>KC08-40-1_00-08ProcessData</t>
      </is>
    </oc>
    <nc r="D38" t="inlineStr">
      <is>
        <t>KC08-40-1_08</t>
      </is>
    </nc>
  </rcc>
  <rcc rId="1109" sId="15">
    <oc r="D39" t="inlineStr">
      <is>
        <t>KC08-40-1_00-08ProcessData</t>
      </is>
    </oc>
    <nc r="D39" t="inlineStr">
      <is>
        <t>KC08-40-1_08</t>
      </is>
    </nc>
  </rcc>
  <rcc rId="1110" sId="15">
    <oc r="D40" t="inlineStr">
      <is>
        <t>KC08-40-1_00-08ProcessData</t>
      </is>
    </oc>
    <nc r="D40" t="inlineStr">
      <is>
        <t>KC08-40-1_08</t>
      </is>
    </nc>
  </rcc>
  <rcc rId="1111" sId="15">
    <oc r="D41" t="inlineStr">
      <is>
        <t>KC08-40-1_00-08ProcessData</t>
      </is>
    </oc>
    <nc r="D41" t="inlineStr">
      <is>
        <t>KC08-40-1_08</t>
      </is>
    </nc>
  </rcc>
  <rcc rId="1112" sId="15">
    <oc r="H34" t="inlineStr">
      <is>
        <t>KC08-40-1_00-08ProcessData</t>
      </is>
    </oc>
    <nc r="H34" t="inlineStr">
      <is>
        <t>KC08-40-1_08</t>
      </is>
    </nc>
  </rcc>
  <rcc rId="1113" sId="15">
    <oc r="H33" t="inlineStr">
      <is>
        <t>KC08-40-1_00-08ProcessData</t>
      </is>
    </oc>
    <nc r="H33" t="inlineStr">
      <is>
        <t>KC08-40-1_08</t>
      </is>
    </nc>
  </rcc>
  <rcc rId="1114" sId="15">
    <oc r="H11" t="inlineStr">
      <is>
        <t>KC08-40-1_00-08ProcessData</t>
      </is>
    </oc>
    <nc r="H11" t="inlineStr">
      <is>
        <t>KC08-40-1_08</t>
      </is>
    </nc>
  </rcc>
  <rcc rId="1115" sId="15">
    <oc r="H13" t="inlineStr">
      <is>
        <t>KC08-40-1_00-08ProcessData</t>
      </is>
    </oc>
    <nc r="H13" t="inlineStr">
      <is>
        <t>KC08-40-1_08</t>
      </is>
    </nc>
  </rcc>
  <rcc rId="1116" sId="15">
    <oc r="H43" t="inlineStr">
      <is>
        <t>KC08-40-3_RecyMatKC</t>
      </is>
    </oc>
    <nc r="H43" t="inlineStr">
      <is>
        <t>KC08-40-03</t>
      </is>
    </nc>
  </rcc>
  <rcc rId="1117" sId="15">
    <oc r="H42" t="inlineStr">
      <is>
        <t>KC08-40-2_IPCCGuide-MinIndust</t>
      </is>
    </oc>
    <nc r="H42" t="inlineStr">
      <is>
        <t>KC08-40-02</t>
      </is>
    </nc>
  </rcc>
  <rcc rId="1118" sId="15">
    <oc r="L42" t="inlineStr">
      <is>
        <t>KC08-40-2_IPCCGuide-MinIndust</t>
      </is>
    </oc>
    <nc r="L42" t="inlineStr">
      <is>
        <t>KC08-40-02</t>
      </is>
    </nc>
  </rcc>
  <rcc rId="1119" sId="15">
    <oc r="L43" t="inlineStr">
      <is>
        <t>KC08-40-3_RecyMatKC</t>
      </is>
    </oc>
    <nc r="L43" t="inlineStr">
      <is>
        <t>KC08-40-03</t>
      </is>
    </nc>
  </rcc>
  <rcc rId="1120" sId="15">
    <oc r="H55" t="inlineStr">
      <is>
        <t>KC08-40-2_IPCCGuide-MinIndust</t>
      </is>
    </oc>
    <nc r="H55" t="inlineStr">
      <is>
        <t>KC08-40-02</t>
      </is>
    </nc>
  </rcc>
  <rcc rId="1121" sId="15">
    <oc r="L55" t="inlineStr">
      <is>
        <t>KC08-40-2_IPCCGuide-MinIndust</t>
      </is>
    </oc>
    <nc r="L55" t="inlineStr">
      <is>
        <t>KC08-40-02</t>
      </is>
    </nc>
  </rcc>
  <rcmt sheetId="15" cell="L38" guid="{00000000-0000-0000-0000-000000000000}" action="delete" alwaysShow="1" author="Andrea Martin"/>
  <rcc rId="1122" sId="10">
    <oc r="H21" t="inlineStr">
      <is>
        <t>KC08-21-0_EIA_DistFuel-WA</t>
      </is>
    </oc>
    <nc r="H21" t="inlineStr">
      <is>
        <t>KC08-21-0</t>
      </is>
    </nc>
  </rcc>
  <rcc rId="1123" sId="10">
    <oc r="H22" t="inlineStr">
      <is>
        <t>KC08-20-1_ACS08HeatFuel</t>
      </is>
    </oc>
    <nc r="H22" t="inlineStr">
      <is>
        <t>KC08-20-1</t>
      </is>
    </nc>
  </rcc>
  <rcc rId="1124" sId="10">
    <oc r="H24" t="inlineStr">
      <is>
        <t>KC08-20-1_ACS08HeatFuel</t>
      </is>
    </oc>
    <nc r="H24" t="inlineStr">
      <is>
        <t>KC08-20-1</t>
      </is>
    </nc>
  </rcc>
  <rcc rId="1125" sId="10">
    <oc r="H8" t="inlineStr">
      <is>
        <t>KC08-61-1_PSE08</t>
      </is>
    </oc>
    <nc r="H8" t="inlineStr">
      <is>
        <t>KC08-61-1</t>
      </is>
    </nc>
  </rcc>
  <rcc rId="1126" sId="10">
    <oc r="L8" t="inlineStr">
      <is>
        <t>KC08-65-1_PSE10</t>
      </is>
    </oc>
    <nc r="L8" t="inlineStr">
      <is>
        <t>KC08-65-1</t>
      </is>
    </nc>
  </rcc>
  <rcc rId="1127" sId="10">
    <oc r="L21" t="inlineStr">
      <is>
        <t>KC08-21-0_EIA_DistFuel-WA</t>
      </is>
    </oc>
    <nc r="L21" t="inlineStr">
      <is>
        <t>KC08-21-0</t>
      </is>
    </nc>
  </rcc>
  <rcc rId="1128" sId="10">
    <oc r="L22" t="inlineStr">
      <is>
        <t>KC08-23-0_ACS10HeatFuel</t>
      </is>
    </oc>
    <nc r="L22" t="inlineStr">
      <is>
        <t>KC08-23-0</t>
      </is>
    </nc>
  </rcc>
  <rcc rId="1129" sId="10">
    <oc r="L24" t="inlineStr">
      <is>
        <t>KC08-23-0_ACS10HeatFuel</t>
      </is>
    </oc>
    <nc r="L24" t="inlineStr">
      <is>
        <t>KC08-23-0</t>
      </is>
    </nc>
  </rcc>
  <rcc rId="1130" sId="10">
    <oc r="D8" t="inlineStr">
      <is>
        <t>KC08-61-2_PSE03</t>
      </is>
    </oc>
    <nc r="D8" t="inlineStr">
      <is>
        <t>KC08-61-2</t>
      </is>
    </nc>
  </rcc>
  <rcc rId="1131" sId="10">
    <oc r="D21" t="inlineStr">
      <is>
        <t>KC08-21-0_EIA_DistFuel-WA</t>
      </is>
    </oc>
    <nc r="D21" t="inlineStr">
      <is>
        <t>KC08-21-0</t>
      </is>
    </nc>
  </rcc>
  <rcc rId="1132" sId="10">
    <oc r="D22" t="inlineStr">
      <is>
        <t>KC08-20-2_ACS03HeatFuel</t>
      </is>
    </oc>
    <nc r="D22" t="inlineStr">
      <is>
        <t>KC08-20-2</t>
      </is>
    </nc>
  </rcc>
  <rcc rId="1133" sId="10">
    <oc r="D24" t="inlineStr">
      <is>
        <t>KC08-20-2_ACS03HeatFuel</t>
      </is>
    </oc>
    <nc r="D24" t="inlineStr">
      <is>
        <t>KC08-20-2</t>
      </is>
    </nc>
  </rcc>
  <rcc rId="1134" sId="9">
    <oc r="D50" t="inlineStr">
      <is>
        <t>KC08-61-2_PSE03</t>
      </is>
    </oc>
    <nc r="D50" t="inlineStr">
      <is>
        <t>KC08-61-2</t>
      </is>
    </nc>
  </rcc>
  <rcc rId="1135" sId="9">
    <oc r="D51" t="inlineStr">
      <is>
        <t>KC08-61-2_PSE03</t>
      </is>
    </oc>
    <nc r="D51" t="inlineStr">
      <is>
        <t>KC08-61-2</t>
      </is>
    </nc>
  </rcc>
  <rcc rId="1136" sId="9">
    <oc r="D52" t="inlineStr">
      <is>
        <t>KC08-61-2_PSE03</t>
      </is>
    </oc>
    <nc r="D52" t="inlineStr">
      <is>
        <t>KC08-61-2</t>
      </is>
    </nc>
  </rcc>
  <rcc rId="1137" sId="9">
    <oc r="D53" t="inlineStr">
      <is>
        <t>KC08-61-2_PSE03</t>
      </is>
    </oc>
    <nc r="D53" t="inlineStr">
      <is>
        <t>KC08-61-2</t>
      </is>
    </nc>
  </rcc>
  <rcc rId="1138" sId="9">
    <oc r="D54" t="inlineStr">
      <is>
        <t>KC08-61-2_PSE03</t>
      </is>
    </oc>
    <nc r="D54" t="inlineStr">
      <is>
        <t>KC08-61-2</t>
      </is>
    </nc>
  </rcc>
  <rcc rId="1139" sId="9">
    <oc r="D18" t="inlineStr">
      <is>
        <t>KC08-60-1_SCLkWh95-08</t>
      </is>
    </oc>
    <nc r="D18" t="inlineStr">
      <is>
        <t>KC08-60-1</t>
      </is>
    </nc>
  </rcc>
  <rcc rId="1140" sId="9">
    <oc r="D19" t="inlineStr">
      <is>
        <t>KC08-60-1_SCLkWh95-08</t>
      </is>
    </oc>
    <nc r="D19" t="inlineStr">
      <is>
        <t>KC08-60-1</t>
      </is>
    </nc>
  </rcc>
  <rcc rId="1141" sId="9">
    <oc r="H18" t="inlineStr">
      <is>
        <t>KC08-60-1_SCLkWh95-08</t>
      </is>
    </oc>
    <nc r="H18" t="inlineStr">
      <is>
        <t>KC08-60-1</t>
      </is>
    </nc>
  </rcc>
  <rcc rId="1142" sId="9">
    <oc r="H19" t="inlineStr">
      <is>
        <t>KC08-60-1_SCLkWh95-08</t>
      </is>
    </oc>
    <nc r="H19" t="inlineStr">
      <is>
        <t>KC08-60-1</t>
      </is>
    </nc>
  </rcc>
  <rcc rId="1143" sId="9">
    <oc r="H13" t="inlineStr">
      <is>
        <t>08-60-4 - Data missing</t>
      </is>
    </oc>
    <nc r="H13" t="inlineStr">
      <is>
        <t>KC08-60-4 - Data missing</t>
      </is>
    </nc>
  </rcc>
  <rcc rId="1144" sId="9">
    <oc r="H14" t="inlineStr">
      <is>
        <t>08-60-4 - Data missing</t>
      </is>
    </oc>
    <nc r="H14" t="inlineStr">
      <is>
        <t>KC08-60-4 - Data missing</t>
      </is>
    </nc>
  </rcc>
  <rcc rId="1145" sId="9">
    <oc r="H15" t="inlineStr">
      <is>
        <t>08-60-4 - Data missing</t>
      </is>
    </oc>
    <nc r="H15" t="inlineStr">
      <is>
        <t>KC08-60-4 - Data missing</t>
      </is>
    </nc>
  </rcc>
  <rcc rId="1146" sId="9">
    <oc r="H16" t="inlineStr">
      <is>
        <t>08-60-4 - Data missing</t>
      </is>
    </oc>
    <nc r="H16" t="inlineStr">
      <is>
        <t>KC08-60-4 - Data missing</t>
      </is>
    </nc>
  </rcc>
  <rcc rId="1147" sId="9">
    <oc r="H50" t="inlineStr">
      <is>
        <t>KC08-61-1_PSE08</t>
      </is>
    </oc>
    <nc r="H50" t="inlineStr">
      <is>
        <t>KC08-61-1</t>
      </is>
    </nc>
  </rcc>
  <rcc rId="1148" sId="9">
    <oc r="H51" t="inlineStr">
      <is>
        <t>KC08-61-1_PSE08</t>
      </is>
    </oc>
    <nc r="H51" t="inlineStr">
      <is>
        <t>KC08-61-1</t>
      </is>
    </nc>
  </rcc>
  <rcc rId="1149" sId="9">
    <oc r="H52" t="inlineStr">
      <is>
        <t>KC08-61-1_PSE08</t>
      </is>
    </oc>
    <nc r="H52" t="inlineStr">
      <is>
        <t>KC08-61-1</t>
      </is>
    </nc>
  </rcc>
  <rcc rId="1150" sId="9">
    <oc r="H53" t="inlineStr">
      <is>
        <t>KC08-61-1_PSE08</t>
      </is>
    </oc>
    <nc r="H53" t="inlineStr">
      <is>
        <t>KC08-61-1</t>
      </is>
    </nc>
  </rcc>
  <rcc rId="1151" sId="15">
    <oc r="H38" t="inlineStr">
      <is>
        <t>KC08-40-1_00-08ProcessData</t>
      </is>
    </oc>
    <nc r="H38" t="inlineStr">
      <is>
        <t>KC08-40-1_08</t>
      </is>
    </nc>
  </rcc>
  <rcc rId="1152" sId="15">
    <oc r="H39" t="inlineStr">
      <is>
        <t>KC08-40-1_00-08ProcessData</t>
      </is>
    </oc>
    <nc r="H39" t="inlineStr">
      <is>
        <t>KC08-40-1_08</t>
      </is>
    </nc>
  </rcc>
  <rcc rId="1153" sId="15">
    <oc r="H40" t="inlineStr">
      <is>
        <t>KC08-40-1_00-08ProcessData</t>
      </is>
    </oc>
    <nc r="H40" t="inlineStr">
      <is>
        <t>KC08-40-1_08</t>
      </is>
    </nc>
  </rcc>
  <rcc rId="1154" sId="15">
    <oc r="H41" t="inlineStr">
      <is>
        <t>KC08-40-1_00-08ProcessData</t>
      </is>
    </oc>
    <nc r="H41" t="inlineStr">
      <is>
        <t>KC08-40-1_08</t>
      </is>
    </nc>
  </rcc>
  <rcc rId="1155" sId="19">
    <oc r="G58" t="inlineStr">
      <is>
        <t>KC08-12-2_POS-Tonnage</t>
      </is>
    </oc>
    <nc r="G58" t="inlineStr">
      <is>
        <t>KC08-12-2</t>
      </is>
    </nc>
  </rcc>
  <rcc rId="1156" sId="19">
    <oc r="G60" t="inlineStr">
      <is>
        <t>KC08-12-2_POS-Tonnage</t>
      </is>
    </oc>
    <nc r="G60" t="inlineStr">
      <is>
        <t>KC08-12-2</t>
      </is>
    </nc>
  </rcc>
  <rcc rId="1157" sId="19">
    <oc r="G61" t="inlineStr">
      <is>
        <t>KC08-12-2_POS-Tonnage</t>
      </is>
    </oc>
    <nc r="G61" t="inlineStr">
      <is>
        <t>KC08-12-2</t>
      </is>
    </nc>
  </rcc>
  <rcc rId="1158" sId="19">
    <oc r="N61" t="inlineStr">
      <is>
        <t>KC08-12-2_POS-Tonnage</t>
      </is>
    </oc>
    <nc r="N61" t="inlineStr">
      <is>
        <t>KC08-12-2</t>
      </is>
    </nc>
  </rcc>
  <rcc rId="1159" sId="19">
    <oc r="G84" t="inlineStr">
      <is>
        <t>KC08-12-2_POS-Tonnage</t>
      </is>
    </oc>
    <nc r="G84" t="inlineStr">
      <is>
        <t>KC08-12-2</t>
      </is>
    </nc>
  </rcc>
  <rcc rId="1160" sId="20">
    <oc r="K11" t="inlineStr">
      <is>
        <t>KC08-12-2_POS-Tonnage</t>
      </is>
    </oc>
    <nc r="K11" t="inlineStr">
      <is>
        <t>KC08-12-2</t>
      </is>
    </nc>
  </rcc>
  <rcc rId="1161" sId="20">
    <oc r="K12" t="inlineStr">
      <is>
        <t>KC08-12-2_POS-Tonnage</t>
      </is>
    </oc>
    <nc r="K12" t="inlineStr">
      <is>
        <t>KC08-12-2</t>
      </is>
    </nc>
  </rcc>
  <rcc rId="1162" sId="20">
    <oc r="K13" t="inlineStr">
      <is>
        <t>KC08-12-2_POS-Tonnage</t>
      </is>
    </oc>
    <nc r="K13" t="inlineStr">
      <is>
        <t>KC08-12-2</t>
      </is>
    </nc>
  </rcc>
  <rcc rId="1163" sId="20">
    <oc r="K14" t="inlineStr">
      <is>
        <t>KC08-12-2_POS-Tonnage</t>
      </is>
    </oc>
    <nc r="K14" t="inlineStr">
      <is>
        <t>KC08-12-2</t>
      </is>
    </nc>
  </rcc>
  <rcc rId="1164" sId="20">
    <oc r="K15" t="inlineStr">
      <is>
        <t>KC08-12-2_POS-Tonnage</t>
      </is>
    </oc>
    <nc r="K15" t="inlineStr">
      <is>
        <t>KC08-12-2</t>
      </is>
    </nc>
  </rcc>
  <rcc rId="1165" sId="20">
    <oc r="K16" t="inlineStr">
      <is>
        <t>KC08-12-2_POS-Tonnage</t>
      </is>
    </oc>
    <nc r="K16" t="inlineStr">
      <is>
        <t>KC08-12-2</t>
      </is>
    </nc>
  </rcc>
  <rcc rId="1166" sId="20">
    <oc r="K17" t="inlineStr">
      <is>
        <t>KC08-12-2_POS-Tonnage</t>
      </is>
    </oc>
    <nc r="K17" t="inlineStr">
      <is>
        <t>KC08-12-2</t>
      </is>
    </nc>
  </rcc>
  <rcc rId="1167" sId="20">
    <oc r="K18" t="inlineStr">
      <is>
        <t>KC08-12-2_POS-Tonnage</t>
      </is>
    </oc>
    <nc r="K18" t="inlineStr">
      <is>
        <t>KC08-12-2</t>
      </is>
    </nc>
  </rcc>
  <rcc rId="1168" sId="20">
    <oc r="K19" t="inlineStr">
      <is>
        <t>KC08-12-2_POS-Tonnage</t>
      </is>
    </oc>
    <nc r="K19" t="inlineStr">
      <is>
        <t>KC08-12-2</t>
      </is>
    </nc>
  </rcc>
  <rcc rId="1169" sId="20">
    <oc r="K6" t="inlineStr">
      <is>
        <t>KC08-12-1_PS05MaritimeInv</t>
      </is>
    </oc>
    <nc r="K6" t="inlineStr">
      <is>
        <t>KC08-12-1</t>
      </is>
    </nc>
  </rcc>
  <rcc rId="1170" sId="20">
    <oc r="K7" t="inlineStr">
      <is>
        <t>KC08-12-1_PS05MaritimeInv</t>
      </is>
    </oc>
    <nc r="K7" t="inlineStr">
      <is>
        <t>KC08-12-1</t>
      </is>
    </nc>
  </rcc>
  <rcc rId="1171" sId="20">
    <oc r="K8" t="inlineStr">
      <is>
        <t>KC08-12-1_PS05MaritimeInv</t>
      </is>
    </oc>
    <nc r="K8" t="inlineStr">
      <is>
        <t>KC08-12-1</t>
      </is>
    </nc>
  </rcc>
  <rcc rId="1172" sId="20">
    <oc r="K9" t="inlineStr">
      <is>
        <t>KC08-12-1_PS05MaritimeInv</t>
      </is>
    </oc>
    <nc r="K9" t="inlineStr">
      <is>
        <t>KC08-12-1</t>
      </is>
    </nc>
  </rcc>
  <rcc rId="1173" sId="20" odxf="1" dxf="1">
    <oc r="R6" t="inlineStr">
      <is>
        <t>KC08-12-1_PS05MaritimeInv</t>
      </is>
    </oc>
    <nc r="R6" t="inlineStr">
      <is>
        <t>KC08-12-1</t>
      </is>
    </nc>
    <odxf/>
    <ndxf/>
  </rcc>
  <rcc rId="1174" sId="20" odxf="1" dxf="1">
    <oc r="R7" t="inlineStr">
      <is>
        <t>KC08-12-1_PS05MaritimeInv</t>
      </is>
    </oc>
    <nc r="R7" t="inlineStr">
      <is>
        <t>KC08-12-1</t>
      </is>
    </nc>
    <odxf/>
    <ndxf/>
  </rcc>
  <rcc rId="1175" sId="20" odxf="1" dxf="1">
    <oc r="R8" t="inlineStr">
      <is>
        <t>KC08-12-1_PS05MaritimeInv</t>
      </is>
    </oc>
    <nc r="R8" t="inlineStr">
      <is>
        <t>KC08-12-1</t>
      </is>
    </nc>
    <odxf/>
    <ndxf/>
  </rcc>
  <rcc rId="1176" sId="20" odxf="1" dxf="1">
    <oc r="R9" t="inlineStr">
      <is>
        <t>KC08-12-1_PS05MaritimeInv</t>
      </is>
    </oc>
    <nc r="R9" t="inlineStr">
      <is>
        <t>KC08-12-1</t>
      </is>
    </nc>
    <odxf/>
    <ndxf/>
  </rcc>
  <rcc rId="1177" sId="23">
    <oc r="D64" t="inlineStr">
      <is>
        <t>KC15-50-2_Landfill Calculations</t>
      </is>
    </oc>
    <nc r="D64" t="inlineStr">
      <is>
        <t>KC15-50-2</t>
      </is>
    </nc>
  </rcc>
  <rcc rId="1178" sId="23">
    <oc r="D65" t="inlineStr">
      <is>
        <t>KC15-50-2_Landfill Calculations</t>
      </is>
    </oc>
    <nc r="D65" t="inlineStr">
      <is>
        <t>KC15-50-2</t>
      </is>
    </nc>
  </rcc>
  <rcc rId="1179" sId="23">
    <oc r="D66" t="inlineStr">
      <is>
        <t>KC15-50-2_Landfill Calculations</t>
      </is>
    </oc>
    <nc r="D66" t="inlineStr">
      <is>
        <t>KC15-50-2</t>
      </is>
    </nc>
  </rcc>
  <rcc rId="1180" sId="23">
    <oc r="D67" t="inlineStr">
      <is>
        <t>KC15-50-2_Landfill Calculations</t>
      </is>
    </oc>
    <nc r="D67" t="inlineStr">
      <is>
        <t>KC15-50-2</t>
      </is>
    </nc>
  </rcc>
  <rcc rId="1181" sId="23">
    <oc r="D68" t="inlineStr">
      <is>
        <t>KC15-50-2_Landfill Calculations</t>
      </is>
    </oc>
    <nc r="D68" t="inlineStr">
      <is>
        <t>KC15-50-2</t>
      </is>
    </nc>
  </rcc>
  <rcc rId="1182" sId="23">
    <oc r="H64" t="inlineStr">
      <is>
        <t>KC15-50-2_Landfill Calculations</t>
      </is>
    </oc>
    <nc r="H64" t="inlineStr">
      <is>
        <t>KC15-50-2</t>
      </is>
    </nc>
  </rcc>
  <rcc rId="1183" sId="23">
    <oc r="H65" t="inlineStr">
      <is>
        <t>KC15-50-2_Landfill Calculations</t>
      </is>
    </oc>
    <nc r="H65" t="inlineStr">
      <is>
        <t>KC15-50-2</t>
      </is>
    </nc>
  </rcc>
  <rcc rId="1184" sId="23">
    <oc r="H66" t="inlineStr">
      <is>
        <t>KC15-50-2_Landfill Calculations</t>
      </is>
    </oc>
    <nc r="H66" t="inlineStr">
      <is>
        <t>KC15-50-2</t>
      </is>
    </nc>
  </rcc>
  <rcc rId="1185" sId="23">
    <oc r="H67" t="inlineStr">
      <is>
        <t>KC15-50-2_Landfill Calculations</t>
      </is>
    </oc>
    <nc r="H67" t="inlineStr">
      <is>
        <t>KC15-50-2</t>
      </is>
    </nc>
  </rcc>
  <rcc rId="1186" sId="23">
    <oc r="H68" t="inlineStr">
      <is>
        <t>KC15-50-2_Landfill Calculations</t>
      </is>
    </oc>
    <nc r="H68" t="inlineStr">
      <is>
        <t>KC15-50-2</t>
      </is>
    </nc>
  </rcc>
  <rcc rId="1187" sId="23">
    <oc r="M64" t="inlineStr">
      <is>
        <t>KC15-50-2_Landfill Calculations</t>
      </is>
    </oc>
    <nc r="M64" t="inlineStr">
      <is>
        <t>KC15-50-2</t>
      </is>
    </nc>
  </rcc>
  <rcc rId="1188" sId="23">
    <oc r="M65" t="inlineStr">
      <is>
        <t>KC15-50-2_Landfill Calculations</t>
      </is>
    </oc>
    <nc r="M65" t="inlineStr">
      <is>
        <t>KC15-50-2</t>
      </is>
    </nc>
  </rcc>
  <rcc rId="1189" sId="23">
    <oc r="M66" t="inlineStr">
      <is>
        <t>KC15-50-2_Landfill Calculations</t>
      </is>
    </oc>
    <nc r="M66" t="inlineStr">
      <is>
        <t>KC15-50-2</t>
      </is>
    </nc>
  </rcc>
  <rcc rId="1190" sId="23">
    <oc r="M67" t="inlineStr">
      <is>
        <t>KC15-50-2_Landfill Calculations</t>
      </is>
    </oc>
    <nc r="M67" t="inlineStr">
      <is>
        <t>KC15-50-2</t>
      </is>
    </nc>
  </rcc>
  <rcc rId="1191" sId="23">
    <oc r="M68" t="inlineStr">
      <is>
        <t>KC15-50-2_Landfill Calculations</t>
      </is>
    </oc>
    <nc r="M68" t="inlineStr">
      <is>
        <t>KC15-50-2</t>
      </is>
    </nc>
  </rcc>
  <rcc rId="1192" sId="23">
    <oc r="D73" t="inlineStr">
      <is>
        <t>KC08-50-09_Cedar_Hills_CH4</t>
      </is>
    </oc>
    <nc r="D73" t="inlineStr">
      <is>
        <t>KC08-50-09</t>
      </is>
    </nc>
  </rcc>
  <rcc rId="1193" sId="23">
    <oc r="D74" t="inlineStr">
      <is>
        <t>KC08-50-10_Cedar_Hills_combustion_rate</t>
      </is>
    </oc>
    <nc r="D74" t="inlineStr">
      <is>
        <t>KC08-50-10</t>
      </is>
    </nc>
  </rcc>
  <rcc rId="1194" sId="23">
    <oc r="D75" t="inlineStr">
      <is>
        <t>KC08-50-10_Cedar_Hills_capture_rate</t>
      </is>
    </oc>
    <nc r="D75" t="inlineStr">
      <is>
        <t>KC08-50-10</t>
      </is>
    </nc>
  </rcc>
  <rcc rId="1195" sId="23">
    <oc r="D76" t="inlineStr">
      <is>
        <t>KC08-50-2_LGOP</t>
      </is>
    </oc>
    <nc r="D76" t="inlineStr">
      <is>
        <t>KC08-50-2</t>
      </is>
    </nc>
  </rcc>
  <rcc rId="1196" sId="23">
    <oc r="H73" t="inlineStr">
      <is>
        <t>KC08-50-09_Cedar_Hills_CH4</t>
      </is>
    </oc>
    <nc r="H73" t="inlineStr">
      <is>
        <t>KC08-50-09</t>
      </is>
    </nc>
  </rcc>
  <rcc rId="1197" sId="23">
    <oc r="H74" t="inlineStr">
      <is>
        <t>KC08-50-10_Cedar_Hills_combustion_rate</t>
      </is>
    </oc>
    <nc r="H74" t="inlineStr">
      <is>
        <t>KC08-50-10</t>
      </is>
    </nc>
  </rcc>
  <rcc rId="1198" sId="23">
    <oc r="H75" t="inlineStr">
      <is>
        <t>KC08-50-10_Cedar_Hills_capture_rate</t>
      </is>
    </oc>
    <nc r="H75" t="inlineStr">
      <is>
        <t>KC08-50-10</t>
      </is>
    </nc>
  </rcc>
  <rcc rId="1199" sId="23">
    <oc r="H76" t="inlineStr">
      <is>
        <t>KC08-50-2_LGOP</t>
      </is>
    </oc>
    <nc r="H76" t="inlineStr">
      <is>
        <t>KC08-50-2</t>
      </is>
    </nc>
  </rcc>
  <rcc rId="1200" sId="23">
    <oc r="M87" t="inlineStr">
      <is>
        <t>KC15_40_03MRR</t>
      </is>
    </oc>
    <nc r="M87" t="inlineStr">
      <is>
        <t>KC15_40_03</t>
      </is>
    </nc>
  </rcc>
  <rcc rId="1201" sId="26">
    <oc r="D6" t="inlineStr">
      <is>
        <t>KC08-102-0_PSCAA05Inventory, Table 7-2</t>
      </is>
    </oc>
    <nc r="D6" t="inlineStr">
      <is>
        <t>KC08-102-0 Table 7-2</t>
      </is>
    </nc>
  </rcc>
  <rcc rId="1202" sId="26">
    <oc r="D7" t="inlineStr">
      <is>
        <t>KC08-102-0_PSCAA05Inventory, Table 7-2</t>
      </is>
    </oc>
    <nc r="D7" t="inlineStr">
      <is>
        <t>KC08-102-0 Table 7-2</t>
      </is>
    </nc>
  </rcc>
  <rcc rId="1203" sId="26">
    <oc r="D8" t="inlineStr">
      <is>
        <t>KC08-102-0_PSCAA05Inventory, Table 7-2</t>
      </is>
    </oc>
    <nc r="D8" t="inlineStr">
      <is>
        <t>KC08-102-0 Table 7-2</t>
      </is>
    </nc>
  </rcc>
  <rcc rId="1204" sId="26">
    <oc r="D9" t="inlineStr">
      <is>
        <t>KC08-102-0_PSCAA05Inventory, Table 7-3</t>
      </is>
    </oc>
    <nc r="D9" t="inlineStr">
      <is>
        <t>KC08-102-0 Table 7-3</t>
      </is>
    </nc>
  </rcc>
  <rcc rId="1205" sId="26">
    <oc r="D10" t="inlineStr">
      <is>
        <t>KC08-102-0_PSCAA05Inventory, Table 7-3</t>
      </is>
    </oc>
    <nc r="D10" t="inlineStr">
      <is>
        <t>KC08-102-0 Table 7-3</t>
      </is>
    </nc>
  </rcc>
  <rcc rId="1206" sId="26">
    <oc r="D11" t="inlineStr">
      <is>
        <t>KC08-102-0_PSCAA05Inventory, Table 7-3</t>
      </is>
    </oc>
    <nc r="D11" t="inlineStr">
      <is>
        <t>KC08-102-0 Table 7-3</t>
      </is>
    </nc>
  </rcc>
  <rcc rId="1207" sId="26">
    <oc r="D12" t="inlineStr">
      <is>
        <t>KC08-102-0_PSCAA05Inventory, Table 7-3</t>
      </is>
    </oc>
    <nc r="D12" t="inlineStr">
      <is>
        <t>KC08-102-0 Table 7-3</t>
      </is>
    </nc>
  </rcc>
  <rcc rId="1208" sId="26">
    <oc r="D13" t="inlineStr">
      <is>
        <t>KC08-102-0_PSCAA05Inventory, Table 7-3</t>
      </is>
    </oc>
    <nc r="D13" t="inlineStr">
      <is>
        <t>KC08-102-0 Table 7-3</t>
      </is>
    </nc>
  </rcc>
  <rcc rId="1209" sId="26">
    <oc r="D14" t="inlineStr">
      <is>
        <t>KC08-102-0_PSCAA05Inventory, Table 7-7</t>
      </is>
    </oc>
    <nc r="D14" t="inlineStr">
      <is>
        <t>KC08-102-0 Table 7-7</t>
      </is>
    </nc>
  </rcc>
  <rcc rId="1210" sId="26">
    <oc r="E6" t="inlineStr">
      <is>
        <t>from KC08-101-0_02CensusAg</t>
      </is>
    </oc>
    <nc r="E6" t="inlineStr">
      <is>
        <t>from KC08-101-0_02</t>
      </is>
    </nc>
  </rcc>
  <rcc rId="1211" sId="26">
    <oc r="E7" t="inlineStr">
      <is>
        <t>from KC08-101-0_02CensusAg</t>
      </is>
    </oc>
    <nc r="E7" t="inlineStr">
      <is>
        <t>from KC08-101-0_02</t>
      </is>
    </nc>
  </rcc>
  <rcc rId="1212" sId="26">
    <oc r="E8" t="inlineStr">
      <is>
        <t>from KC08-101-0_02CensusAg</t>
      </is>
    </oc>
    <nc r="E8" t="inlineStr">
      <is>
        <t>from KC08-101-0_02</t>
      </is>
    </nc>
  </rcc>
  <rcc rId="1213" sId="26">
    <oc r="E9" t="inlineStr">
      <is>
        <t>from KC08-101-0_02CensusAg</t>
      </is>
    </oc>
    <nc r="E9" t="inlineStr">
      <is>
        <t>from KC08-101-0_02</t>
      </is>
    </nc>
  </rcc>
  <rcc rId="1214" sId="26">
    <oc r="E10" t="inlineStr">
      <is>
        <t>from KC08-101-0_02CensusAg</t>
      </is>
    </oc>
    <nc r="E10" t="inlineStr">
      <is>
        <t>from KC08-101-0_02</t>
      </is>
    </nc>
  </rcc>
  <rcc rId="1215" sId="26">
    <oc r="E11" t="inlineStr">
      <is>
        <t>from KC08-101-0_02CensusAg</t>
      </is>
    </oc>
    <nc r="E11" t="inlineStr">
      <is>
        <t>from KC08-101-0_02</t>
      </is>
    </nc>
  </rcc>
  <rcc rId="1216" sId="26">
    <oc r="E12" t="inlineStr">
      <is>
        <t>from KC08-101-0_02CensusAg</t>
      </is>
    </oc>
    <nc r="E12" t="inlineStr">
      <is>
        <t>from KC08-101-0_02</t>
      </is>
    </nc>
  </rcc>
  <rcc rId="1217" sId="26">
    <oc r="E19" t="inlineStr">
      <is>
        <t>from KC08-103-1_US-GHG-1990to2000, Table K-7 (year 2000).</t>
      </is>
    </oc>
    <nc r="E19" t="inlineStr">
      <is>
        <t>from KC08-103-1 Table K-7 (year 2000).</t>
      </is>
    </nc>
  </rcc>
  <rcc rId="1218" sId="26">
    <oc r="E20" t="inlineStr">
      <is>
        <t>from KC08-103-1_US-GHG-1990to2000, Table K-7 (year 2000)</t>
      </is>
    </oc>
    <nc r="E20" t="inlineStr">
      <is>
        <t>from KC08-103-1 Table K-7 (year 2000).</t>
      </is>
    </nc>
  </rcc>
  <rcc rId="1219" sId="26">
    <oc r="E21" t="inlineStr">
      <is>
        <t>from KC08-103-1_US-GHG-1990to2000, Table K-7 (year 2000)</t>
      </is>
    </oc>
    <nc r="E21" t="inlineStr">
      <is>
        <t>from KC08-103-1 Table K-7 (year 2000).</t>
      </is>
    </nc>
  </rcc>
  <rcc rId="1220" sId="26">
    <oc r="E22" t="inlineStr">
      <is>
        <t>from KC08-103-3_US-GHG-1990to2004Annex, Table A-152</t>
      </is>
    </oc>
    <nc r="E22" t="inlineStr">
      <is>
        <t>from KC08-103-3 Table A-152</t>
      </is>
    </nc>
  </rcc>
  <rcc rId="1221" sId="26">
    <oc r="E23" t="inlineStr">
      <is>
        <t>from KC08-103-3_US-GHG-1990to2004Annex, Table A-152</t>
      </is>
    </oc>
    <nc r="E23" t="inlineStr">
      <is>
        <t>from KC08-103-3 Table A-152</t>
      </is>
    </nc>
  </rcc>
  <rcc rId="1222" sId="26">
    <oc r="E24" t="inlineStr">
      <is>
        <t>from KC08-103-3_US-GHG-1990to2004Annex, Table A-152</t>
      </is>
    </oc>
    <nc r="E24" t="inlineStr">
      <is>
        <t>from KC08-103-3 Table A-152</t>
      </is>
    </nc>
  </rcc>
  <rcc rId="1223" sId="26">
    <oc r="E25" t="inlineStr">
      <is>
        <t>from KC08-103-3_US-GHG-1990to2004Annex, Table A-152</t>
      </is>
    </oc>
    <nc r="E25" t="inlineStr">
      <is>
        <t>from KC08-103-3 Table A-152</t>
      </is>
    </nc>
  </rcc>
  <rcc rId="1224" sId="26">
    <oc r="D19" t="inlineStr">
      <is>
        <t>KC08-102-0_PSCAA05Inventory, Table 7-4</t>
      </is>
    </oc>
    <nc r="D19" t="inlineStr">
      <is>
        <t>KC08-102-0 Table 7-4</t>
      </is>
    </nc>
  </rcc>
  <rcc rId="1225" sId="26">
    <oc r="D20" t="inlineStr">
      <is>
        <t>KC08-102-0_PSCAA05Inventory, Table 7-4</t>
      </is>
    </oc>
    <nc r="D20" t="inlineStr">
      <is>
        <t>KC08-102-0 Table 7-4</t>
      </is>
    </nc>
  </rcc>
  <rcc rId="1226" sId="26">
    <oc r="D21" t="inlineStr">
      <is>
        <t>KC08-102-0_PSCAA05Inventory, Table 7-4</t>
      </is>
    </oc>
    <nc r="D21" t="inlineStr">
      <is>
        <t>KC08-102-0 Table 7-4</t>
      </is>
    </nc>
  </rcc>
  <rcc rId="1227" sId="26">
    <oc r="D22" t="inlineStr">
      <is>
        <t>KC08-102-0_PSCAA05Inventory, Table 7-4</t>
      </is>
    </oc>
    <nc r="D22" t="inlineStr">
      <is>
        <t>KC08-102-0 Table 7-4</t>
      </is>
    </nc>
  </rcc>
  <rcc rId="1228" sId="26">
    <oc r="D23" t="inlineStr">
      <is>
        <t>KC08-102-0_PSCAA05Inventory, Table 7-4</t>
      </is>
    </oc>
    <nc r="D23" t="inlineStr">
      <is>
        <t>KC08-102-0 Table 7-4</t>
      </is>
    </nc>
  </rcc>
  <rcc rId="1229" sId="26">
    <oc r="D24" t="inlineStr">
      <is>
        <t>KC08-102-0_PSCAA05Inventory, Table 7-4</t>
      </is>
    </oc>
    <nc r="D24" t="inlineStr">
      <is>
        <t>KC08-102-0 Table 7-4</t>
      </is>
    </nc>
  </rcc>
  <rcc rId="1230" sId="26">
    <oc r="D25" t="inlineStr">
      <is>
        <t>KC08-102-0_PSCAA05Inventory, Table 7-4</t>
      </is>
    </oc>
    <nc r="D25" t="inlineStr">
      <is>
        <t>KC08-102-0 Table 7-4</t>
      </is>
    </nc>
  </rcc>
  <rcc rId="1231" sId="26">
    <oc r="D26" t="inlineStr">
      <is>
        <t>KC08-102-0_PSCAA05Inventory, Table 7-4</t>
      </is>
    </oc>
    <nc r="D26" t="inlineStr">
      <is>
        <t>KC08-102-0 Table 7-4</t>
      </is>
    </nc>
  </rcc>
  <rcc rId="1232" sId="26">
    <oc r="D87" t="inlineStr">
      <is>
        <t>KC08-105-2_IPCCGuide-LivestockManure</t>
      </is>
    </oc>
    <nc r="D87" t="inlineStr">
      <is>
        <t>KC08-105-2</t>
      </is>
    </nc>
  </rcc>
  <rcc rId="1233" sId="26">
    <oc r="D88" t="inlineStr">
      <is>
        <t>KC08-105-2_IPCCGuide-LivestockManure</t>
      </is>
    </oc>
    <nc r="D88" t="inlineStr">
      <is>
        <t>KC08-105-2</t>
      </is>
    </nc>
  </rcc>
  <rcc rId="1234" sId="26">
    <oc r="D89" t="inlineStr">
      <is>
        <t>KC08-102-0_PSCAA05Inventory</t>
      </is>
    </oc>
    <nc r="D89" t="inlineStr">
      <is>
        <t>KC08-102-0</t>
      </is>
    </nc>
  </rcc>
  <rcc rId="1235" sId="26">
    <oc r="D95" t="inlineStr">
      <is>
        <t>KC08-105-1_ClimateLeadersGHGProtocol</t>
      </is>
    </oc>
    <nc r="D95" t="inlineStr">
      <is>
        <t>KC08-105-1</t>
      </is>
    </nc>
  </rcc>
  <rcc rId="1236" sId="26">
    <oc r="D111" t="inlineStr">
      <is>
        <t>KC08-102-0_PSCAA05Inventory</t>
      </is>
    </oc>
    <nc r="D111" t="inlineStr">
      <is>
        <t>KC08-102-0</t>
      </is>
    </nc>
  </rcc>
  <rcc rId="1237" sId="26">
    <oc r="D112" t="inlineStr">
      <is>
        <t>KC08-102-0_PSCAA05Inventory</t>
      </is>
    </oc>
    <nc r="D112" t="inlineStr">
      <is>
        <t>KC08-102-0</t>
      </is>
    </nc>
  </rcc>
  <rcc rId="1238" sId="26">
    <oc r="D113" t="inlineStr">
      <is>
        <t>KC08-102-0_PSCAA05Inventory</t>
      </is>
    </oc>
    <nc r="D113" t="inlineStr">
      <is>
        <t>KC08-102-0</t>
      </is>
    </nc>
  </rcc>
  <rcc rId="1239" sId="26">
    <oc r="D114" t="inlineStr">
      <is>
        <t>KC08-102-0_PSCAA05Inventory</t>
      </is>
    </oc>
    <nc r="D114" t="inlineStr">
      <is>
        <t>KC08-102-0</t>
      </is>
    </nc>
  </rcc>
  <rcc rId="1240" sId="26">
    <oc r="D110" t="inlineStr">
      <is>
        <t>KC08-102-0_PSCAA05Inventory</t>
      </is>
    </oc>
    <nc r="D110"/>
  </rcc>
  <rcc rId="1241" sId="26">
    <oc r="H111" t="inlineStr">
      <is>
        <t>KC08-102-0_PSCAA05Inventory</t>
      </is>
    </oc>
    <nc r="H111" t="inlineStr">
      <is>
        <t>KC08-102-0</t>
      </is>
    </nc>
  </rcc>
  <rcc rId="1242" sId="26">
    <oc r="H112" t="inlineStr">
      <is>
        <t>KC08-102-0_PSCAA05Inventory</t>
      </is>
    </oc>
    <nc r="H112" t="inlineStr">
      <is>
        <t>KC08-102-0</t>
      </is>
    </nc>
  </rcc>
  <rcc rId="1243" sId="26">
    <oc r="H113" t="inlineStr">
      <is>
        <t>KC08-102-0_PSCAA05Inventory</t>
      </is>
    </oc>
    <nc r="H113" t="inlineStr">
      <is>
        <t>KC08-102-0</t>
      </is>
    </nc>
  </rcc>
  <rcc rId="1244" sId="26">
    <oc r="H114" t="inlineStr">
      <is>
        <t>KC08-102-0_PSCAA05Inventory</t>
      </is>
    </oc>
    <nc r="H114" t="inlineStr">
      <is>
        <t>KC08-102-0</t>
      </is>
    </nc>
  </rcc>
  <rcc rId="1245" sId="26">
    <oc r="H110" t="inlineStr">
      <is>
        <t>KC08-102-0_PSCAA05Inventory</t>
      </is>
    </oc>
    <nc r="H110"/>
  </rcc>
  <rcc rId="1246" sId="26">
    <oc r="I110" t="inlineStr">
      <is>
        <t>pg. 124</t>
      </is>
    </oc>
    <nc r="I110"/>
  </rcc>
  <rcc rId="1247" sId="26">
    <oc r="E110" t="inlineStr">
      <is>
        <t>pg. 124</t>
      </is>
    </oc>
    <nc r="E110"/>
  </rcc>
  <rcc rId="1248" sId="26">
    <oc r="M110" t="inlineStr">
      <is>
        <t>KC15_102_0</t>
      </is>
    </oc>
    <nc r="M110"/>
  </rcc>
  <rcc rId="1249" sId="26">
    <oc r="N110" t="inlineStr">
      <is>
        <t>pg. 124</t>
      </is>
    </oc>
    <nc r="N110"/>
  </rcc>
  <rcc rId="1250" sId="26">
    <oc r="D137" t="inlineStr">
      <is>
        <t>KC08-100-1_07CensusAg-WAStateCounty</t>
      </is>
    </oc>
    <nc r="D137" t="inlineStr">
      <is>
        <t>KC08-100-1_07</t>
      </is>
    </nc>
  </rcc>
  <rcc rId="1251" sId="26">
    <oc r="D138" t="inlineStr">
      <is>
        <t>KC08-100-4_07CensusAg-US</t>
      </is>
    </oc>
    <nc r="D138" t="inlineStr">
      <is>
        <t>KC08-100-4_07</t>
      </is>
    </nc>
  </rcc>
  <rcc rId="1252" sId="26">
    <oc r="D140" t="inlineStr">
      <is>
        <t>KC08-103-4_US-GHG-1990to2007, Table 6-17</t>
      </is>
    </oc>
    <nc r="D140" t="inlineStr">
      <is>
        <t xml:space="preserve">KC08-103-4 </t>
      </is>
    </nc>
  </rcc>
  <rcc rId="1253" sId="26">
    <oc r="E140" t="inlineStr">
      <is>
        <t>2000 data.</t>
      </is>
    </oc>
    <nc r="E140" t="inlineStr">
      <is>
        <t>Table 6-17 2000 data.</t>
      </is>
    </nc>
  </rcc>
  <rcc rId="1254" sId="26">
    <oc r="E142" t="inlineStr">
      <is>
        <t>2000 data.</t>
      </is>
    </oc>
    <nc r="E142" t="inlineStr">
      <is>
        <t>Table 6-18 2000 data.</t>
      </is>
    </nc>
  </rcc>
  <rcc rId="1255" sId="26">
    <oc r="E143" t="inlineStr">
      <is>
        <t>2000 data.</t>
      </is>
    </oc>
    <nc r="E143" t="inlineStr">
      <is>
        <t>Table 6-18 2000 data.</t>
      </is>
    </nc>
  </rcc>
  <rcc rId="1256" sId="26">
    <oc r="E144" t="inlineStr">
      <is>
        <t>2000 data.</t>
      </is>
    </oc>
    <nc r="E144" t="inlineStr">
      <is>
        <t>Table 6-18 2000 data.</t>
      </is>
    </nc>
  </rcc>
  <rcc rId="1257" sId="26">
    <oc r="D142" t="inlineStr">
      <is>
        <t>KC08-103-4_US-GHG-1990to2007, Table 6-18</t>
      </is>
    </oc>
    <nc r="D142" t="inlineStr">
      <is>
        <t>KC08-103-4</t>
      </is>
    </nc>
  </rcc>
  <rcc rId="1258" sId="26">
    <oc r="D143" t="inlineStr">
      <is>
        <t>KC08-103-4_US-GHG-1990to2007, Table 6-18</t>
      </is>
    </oc>
    <nc r="D143" t="inlineStr">
      <is>
        <t>KC08-103-4</t>
      </is>
    </nc>
  </rcc>
  <rcc rId="1259" sId="26">
    <oc r="D144" t="inlineStr">
      <is>
        <t>KC08-103-4_US-GHG-1990to2007, Table 6-18</t>
      </is>
    </oc>
    <nc r="D144" t="inlineStr">
      <is>
        <t>KC08-103-4</t>
      </is>
    </nc>
  </rcc>
  <rcc rId="1260" sId="26">
    <oc r="E73" t="inlineStr">
      <is>
        <t>from KC08-103-3_US-GHG-1990to2004Annex, Table A-157</t>
      </is>
    </oc>
    <nc r="E73" t="inlineStr">
      <is>
        <t>from KC08-103-3 Table A-157</t>
      </is>
    </nc>
  </rcc>
  <rcc rId="1261" sId="26">
    <oc r="D73" t="inlineStr">
      <is>
        <t>KC08-102-0_PSCAA05Inventory, Table 7-8</t>
      </is>
    </oc>
    <nc r="D73" t="inlineStr">
      <is>
        <t>KC08-102-0  Table 7-8</t>
      </is>
    </nc>
  </rcc>
  <rcc rId="1262" sId="26">
    <oc r="D63" t="inlineStr">
      <is>
        <t>KC08-102-0_PSCAA05Inventory, Table 7-8</t>
      </is>
    </oc>
    <nc r="D63" t="inlineStr">
      <is>
        <t>KC08-102-0 Table 7-8</t>
      </is>
    </nc>
  </rcc>
  <rcc rId="1263" sId="26">
    <oc r="E63" t="inlineStr">
      <is>
        <t>from KC08-103-3_US-GHG-1990to2004Annex, Table A-157</t>
      </is>
    </oc>
    <nc r="E63" t="inlineStr">
      <is>
        <t>from KC08-103-3 Table A-157</t>
      </is>
    </nc>
  </rcc>
  <rcc rId="1264" sId="26">
    <oc r="D53" t="inlineStr">
      <is>
        <t>KC08-102-0_PSCAA05Inventory, Table 7-8</t>
      </is>
    </oc>
    <nc r="D53" t="inlineStr">
      <is>
        <t>KC08-102-0 Table 7-8</t>
      </is>
    </nc>
  </rcc>
  <rcc rId="1265" sId="26">
    <oc r="E53" t="inlineStr">
      <is>
        <t>from KC08-103-3_US-GHG-1990to2004Annex, Table A-157</t>
      </is>
    </oc>
    <nc r="E53" t="inlineStr">
      <is>
        <t>from KC08-103-3 Table A-157</t>
      </is>
    </nc>
  </rcc>
  <rcc rId="1266" sId="26">
    <oc r="D43" t="inlineStr">
      <is>
        <t>KC08-102-0_PSCAA05Inventory, Table 7-8</t>
      </is>
    </oc>
    <nc r="D43" t="inlineStr">
      <is>
        <t>KC08-102-0 Table 7-8</t>
      </is>
    </nc>
  </rcc>
  <rcc rId="1267" sId="26">
    <oc r="E43" t="inlineStr">
      <is>
        <t>from KC08-103-3_US-GHG-1990to2004Annex, Table A-157</t>
      </is>
    </oc>
    <nc r="E43" t="inlineStr">
      <is>
        <t>from KC08-103-3 Table A-157</t>
      </is>
    </nc>
  </rcc>
  <rcc rId="1268" sId="26">
    <oc r="H43" t="inlineStr">
      <is>
        <t>KC08-102-0_PSCAA05Inventory, Table 7-8</t>
      </is>
    </oc>
    <nc r="H43" t="inlineStr">
      <is>
        <t>KC08-102-0 Table 7-8</t>
      </is>
    </nc>
  </rcc>
  <rcc rId="1269" sId="26">
    <oc r="I43" t="inlineStr">
      <is>
        <t>from KC08-103-3_US-GHG-1990to2004Annex, Table A-157</t>
      </is>
    </oc>
    <nc r="I43" t="inlineStr">
      <is>
        <t>from KC08-103-3 Table A-157</t>
      </is>
    </nc>
  </rcc>
  <rcc rId="1270" sId="26">
    <oc r="H53" t="inlineStr">
      <is>
        <t>KC08-102-0_PSCAA05Inventory, Table 7-8</t>
      </is>
    </oc>
    <nc r="H53" t="inlineStr">
      <is>
        <t>KC08-102-0 Table 7-8</t>
      </is>
    </nc>
  </rcc>
  <rcc rId="1271" sId="26">
    <oc r="I53" t="inlineStr">
      <is>
        <t>from KC08-103-3_US-GHG-1990to2004Annex, Table A-157</t>
      </is>
    </oc>
    <nc r="I53" t="inlineStr">
      <is>
        <t>from KC08-103-3 Table A-157</t>
      </is>
    </nc>
  </rcc>
  <rcc rId="1272" sId="26">
    <oc r="H63" t="inlineStr">
      <is>
        <t>KC08-102-0_PSCAA05Inventory, Table 7-8</t>
      </is>
    </oc>
    <nc r="H63" t="inlineStr">
      <is>
        <t>KC08-102-0 Table 7-8</t>
      </is>
    </nc>
  </rcc>
  <rcc rId="1273" sId="26">
    <oc r="I63" t="inlineStr">
      <is>
        <t>from KC08-103-3_US-GHG-1990to2004Annex, Table A-157</t>
      </is>
    </oc>
    <nc r="I63" t="inlineStr">
      <is>
        <t>from KC08-103-3 Table A-157</t>
      </is>
    </nc>
  </rcc>
  <rcc rId="1274" sId="26">
    <oc r="H73" t="inlineStr">
      <is>
        <t>KC08-102-0_PSCAA05Inventory, Table 7-8</t>
      </is>
    </oc>
    <nc r="H73" t="inlineStr">
      <is>
        <t>KC08-102-0 Table 7-8</t>
      </is>
    </nc>
  </rcc>
  <rcc rId="1275" sId="26">
    <oc r="I73" t="inlineStr">
      <is>
        <t>from KC08-103-3_US-GHG-1990to2004Annex, Table A-157</t>
      </is>
    </oc>
    <nc r="I73" t="inlineStr">
      <is>
        <t>from KC08-103-3 Table A-157</t>
      </is>
    </nc>
  </rcc>
  <rcc rId="1276" sId="26">
    <oc r="H87" t="inlineStr">
      <is>
        <t>KC08-105-2_IPCCGuide-LivestockManure</t>
      </is>
    </oc>
    <nc r="H87" t="inlineStr">
      <is>
        <t>KC08-105-2</t>
      </is>
    </nc>
  </rcc>
  <rcc rId="1277" sId="26">
    <oc r="H88" t="inlineStr">
      <is>
        <t>KC08-105-2_IPCCGuide-LivestockManure</t>
      </is>
    </oc>
    <nc r="H88" t="inlineStr">
      <is>
        <t>KC08-105-2</t>
      </is>
    </nc>
  </rcc>
  <rcc rId="1278" sId="26">
    <oc r="H89" t="inlineStr">
      <is>
        <t>KC08-102-0_PSCAA05Inventory</t>
      </is>
    </oc>
    <nc r="H89" t="inlineStr">
      <is>
        <t>KC08-102-0</t>
      </is>
    </nc>
  </rcc>
  <rfmt sheetId="26" sqref="H93" start="0" length="0">
    <dxf>
      <numFmt numFmtId="0" formatCode="General"/>
    </dxf>
  </rfmt>
  <rcc rId="1279" sId="26">
    <oc r="H95" t="inlineStr">
      <is>
        <t>KC08-105-1_ClimateLeadersGHGProtocol</t>
      </is>
    </oc>
    <nc r="H95" t="inlineStr">
      <is>
        <t>KC08-105-1</t>
      </is>
    </nc>
  </rcc>
  <rcc rId="1280" sId="26">
    <oc r="H137" t="inlineStr">
      <is>
        <t>KC08-100-1_07CensusAg-WAStateCounty</t>
      </is>
    </oc>
    <nc r="H137" t="inlineStr">
      <is>
        <t>KC08-100-1_07</t>
      </is>
    </nc>
  </rcc>
  <rcc rId="1281" sId="26">
    <oc r="H138" t="inlineStr">
      <is>
        <t>KC08-100-4_07CensusAg-US</t>
      </is>
    </oc>
    <nc r="H138" t="inlineStr">
      <is>
        <t>KC08-100-4_07</t>
      </is>
    </nc>
  </rcc>
  <rcc rId="1282" sId="26">
    <oc r="H140" t="inlineStr">
      <is>
        <t>KC08-103-4_US-GHG-1990to2007, Table 6-17</t>
      </is>
    </oc>
    <nc r="H140" t="inlineStr">
      <is>
        <t xml:space="preserve">KC08-103-4 </t>
      </is>
    </nc>
  </rcc>
  <rcc rId="1283" sId="26">
    <oc r="H142" t="inlineStr">
      <is>
        <t>KC08-103-4_US-GHG-1990to2007, Table 6-18</t>
      </is>
    </oc>
    <nc r="H142" t="inlineStr">
      <is>
        <t>KC08-103-4</t>
      </is>
    </nc>
  </rcc>
  <rcc rId="1284" sId="26">
    <oc r="H143" t="inlineStr">
      <is>
        <t>KC08-103-4_US-GHG-1990to2007, Table 6-18</t>
      </is>
    </oc>
    <nc r="H143" t="inlineStr">
      <is>
        <t>KC08-103-4</t>
      </is>
    </nc>
  </rcc>
  <rcc rId="1285" sId="26">
    <oc r="H144" t="inlineStr">
      <is>
        <t>KC08-103-4_US-GHG-1990to2007, Table 6-18</t>
      </is>
    </oc>
    <nc r="H144" t="inlineStr">
      <is>
        <t>KC08-103-4</t>
      </is>
    </nc>
  </rcc>
  <rcc rId="1286" sId="26">
    <oc r="H6" t="inlineStr">
      <is>
        <t>KC08-101-1_07CensusAg-WAStateCounty</t>
      </is>
    </oc>
    <nc r="H6" t="inlineStr">
      <is>
        <t>KC08-101-1_07</t>
      </is>
    </nc>
  </rcc>
  <rcc rId="1287" sId="26">
    <oc r="H7" t="inlineStr">
      <is>
        <t>KC08-101-1_07CensusAg-WAStateCounty</t>
      </is>
    </oc>
    <nc r="H7" t="inlineStr">
      <is>
        <t>KC08-101-1_07</t>
      </is>
    </nc>
  </rcc>
  <rcc rId="1288" sId="26">
    <oc r="H8" t="inlineStr">
      <is>
        <t>KC08-101-1_07CensusAg-WAStateCounty</t>
      </is>
    </oc>
    <nc r="H8" t="inlineStr">
      <is>
        <t>KC08-101-1_07</t>
      </is>
    </nc>
  </rcc>
  <rcc rId="1289" sId="26">
    <oc r="H14" t="inlineStr">
      <is>
        <t>KC08-101-1_07CensusAg-WAStateCounty</t>
      </is>
    </oc>
    <nc r="H14" t="inlineStr">
      <is>
        <t>KC08-101-1_07</t>
      </is>
    </nc>
  </rcc>
  <rcc rId="1290" sId="26">
    <oc r="H13" t="inlineStr">
      <is>
        <t>KC08-101-1_07CensusAg-WAStateCounty</t>
      </is>
    </oc>
    <nc r="H13" t="inlineStr">
      <is>
        <t>KC08-101-1_07</t>
      </is>
    </nc>
  </rcc>
  <rcc rId="1291" sId="26">
    <oc r="H12" t="inlineStr">
      <is>
        <t>KC08-101-1_07CensusAg-WAStateCounty</t>
      </is>
    </oc>
    <nc r="H12" t="inlineStr">
      <is>
        <t>KC08-101-1_07</t>
      </is>
    </nc>
  </rcc>
  <rcc rId="1292" sId="26">
    <oc r="H11" t="inlineStr">
      <is>
        <t>KC08-101-1_07CensusAg-WAStateCounty</t>
      </is>
    </oc>
    <nc r="H11" t="inlineStr">
      <is>
        <t>KC08-101-1_07</t>
      </is>
    </nc>
  </rcc>
  <rcc rId="1293" sId="26">
    <oc r="H10" t="inlineStr">
      <is>
        <t>KC08-101-1_07CensusAg-WAStateCounty</t>
      </is>
    </oc>
    <nc r="H10" t="inlineStr">
      <is>
        <t>KC08-101-1_07</t>
      </is>
    </nc>
  </rcc>
  <rcc rId="1294" sId="26">
    <oc r="H9" t="inlineStr">
      <is>
        <t>KC08-101-1_07CensusAg-WAStateCounty</t>
      </is>
    </oc>
    <nc r="H9" t="inlineStr">
      <is>
        <t>KC08-101-1_07</t>
      </is>
    </nc>
  </rcc>
  <rcc rId="1295" sId="26">
    <oc r="H19" t="inlineStr">
      <is>
        <t>KC08-102-0_PSCAA05Inventory, Table 7-4</t>
      </is>
    </oc>
    <nc r="H19" t="inlineStr">
      <is>
        <t>KC08-102-0, Table 7-4</t>
      </is>
    </nc>
  </rcc>
  <rcc rId="1296" sId="26">
    <oc r="H20" t="inlineStr">
      <is>
        <t>KC08-102-0_PSCAA05Inventory, Table 7-4</t>
      </is>
    </oc>
    <nc r="H20" t="inlineStr">
      <is>
        <t>KC08-102-0, Table 7-4</t>
      </is>
    </nc>
  </rcc>
  <rcc rId="1297" sId="26">
    <oc r="H21" t="inlineStr">
      <is>
        <t>KC08-102-0_PSCAA05Inventory, Table 7-4</t>
      </is>
    </oc>
    <nc r="H21" t="inlineStr">
      <is>
        <t>KC08-102-0, Table 7-4</t>
      </is>
    </nc>
  </rcc>
  <rcc rId="1298" sId="26">
    <oc r="H22" t="inlineStr">
      <is>
        <t>KC08-102-0_PSCAA05Inventory, Table 7-4</t>
      </is>
    </oc>
    <nc r="H22" t="inlineStr">
      <is>
        <t>KC08-102-0, Table 7-4</t>
      </is>
    </nc>
  </rcc>
  <rcc rId="1299" sId="26">
    <oc r="H23" t="inlineStr">
      <is>
        <t>KC08-102-0_PSCAA05Inventory, Table 7-4</t>
      </is>
    </oc>
    <nc r="H23" t="inlineStr">
      <is>
        <t>KC08-102-0, Table 7-4</t>
      </is>
    </nc>
  </rcc>
  <rcc rId="1300" sId="26">
    <oc r="H24" t="inlineStr">
      <is>
        <t>KC08-102-0_PSCAA05Inventory, Table 7-4</t>
      </is>
    </oc>
    <nc r="H24" t="inlineStr">
      <is>
        <t>KC08-102-0, Table 7-4</t>
      </is>
    </nc>
  </rcc>
  <rcc rId="1301" sId="26">
    <oc r="H25" t="inlineStr">
      <is>
        <t>KC08-102-0_PSCAA05Inventory, Table 7-4</t>
      </is>
    </oc>
    <nc r="H25" t="inlineStr">
      <is>
        <t>KC08-102-0, Table 7-4</t>
      </is>
    </nc>
  </rcc>
  <rcc rId="1302" sId="26">
    <oc r="H26" t="inlineStr">
      <is>
        <t>KC08-102-0_PSCAA05Inventory, Table 7-4</t>
      </is>
    </oc>
    <nc r="H26" t="inlineStr">
      <is>
        <t>KC08-102-0, Table 7-4</t>
      </is>
    </nc>
  </rcc>
  <rcc rId="1303" sId="26">
    <oc r="I19" t="inlineStr">
      <is>
        <t>from KC08-103-1_US-GHG-1990to2000, Table K-7 (year 2000).</t>
      </is>
    </oc>
    <nc r="I19" t="inlineStr">
      <is>
        <t>from KC08-103-1 Table K-7 (year 2000).</t>
      </is>
    </nc>
  </rcc>
  <rcc rId="1304" sId="26">
    <oc r="I20" t="inlineStr">
      <is>
        <t>from KC08-103-1_US-GHG-1990to2000, Table K-7 (year 2000)</t>
      </is>
    </oc>
    <nc r="I20" t="inlineStr">
      <is>
        <t>from KC08-103-1 Table K-7 (year 2000).</t>
      </is>
    </nc>
  </rcc>
  <rcc rId="1305" sId="26">
    <oc r="I21" t="inlineStr">
      <is>
        <t>from KC08-103-1_US-GHG-1990to2000, Table K-7 (year 2000)</t>
      </is>
    </oc>
    <nc r="I21" t="inlineStr">
      <is>
        <t>from KC08-103-1 Table K-7 (year 2000).</t>
      </is>
    </nc>
  </rcc>
  <rcc rId="1306" sId="26">
    <oc r="I22" t="inlineStr">
      <is>
        <t>from KC08-103-3_US-GHG-1990to2004Annex, Table A-152</t>
      </is>
    </oc>
    <nc r="I22" t="inlineStr">
      <is>
        <t>from KC08-103-3 Table A-152</t>
      </is>
    </nc>
  </rcc>
  <rcc rId="1307" sId="26">
    <oc r="I23" t="inlineStr">
      <is>
        <t>from KC08-103-3_US-GHG-1990to2004Annex, Table A-152</t>
      </is>
    </oc>
    <nc r="I23" t="inlineStr">
      <is>
        <t>from KC08-103-3 Table A-152</t>
      </is>
    </nc>
  </rcc>
  <rcc rId="1308" sId="26">
    <oc r="I24" t="inlineStr">
      <is>
        <t>from KC08-103-3_US-GHG-1990to2004Annex, Table A-152</t>
      </is>
    </oc>
    <nc r="I24" t="inlineStr">
      <is>
        <t>from KC08-103-3 Table A-152</t>
      </is>
    </nc>
  </rcc>
  <rcc rId="1309" sId="26">
    <oc r="I25" t="inlineStr">
      <is>
        <t>from KC08-103-3_US-GHG-1990to2004Annex, Table A-152</t>
      </is>
    </oc>
    <nc r="I25" t="inlineStr">
      <is>
        <t>from KC08-103-3 Table A-152</t>
      </is>
    </nc>
  </rcc>
  <rfmt sheetId="26" sqref="N61:N78">
    <dxf>
      <fill>
        <patternFill patternType="none">
          <bgColor auto="1"/>
        </patternFill>
      </fill>
    </dxf>
  </rfmt>
  <rfmt sheetId="26" sqref="K6:K26">
    <dxf>
      <fill>
        <patternFill>
          <bgColor theme="9" tint="0.79998168889431442"/>
        </patternFill>
      </fill>
    </dxf>
  </rfmt>
  <rfmt sheetId="26" sqref="K44:K52">
    <dxf>
      <fill>
        <patternFill>
          <bgColor theme="9" tint="0.79998168889431442"/>
        </patternFill>
      </fill>
    </dxf>
  </rfmt>
  <rfmt sheetId="26" sqref="K54:K62">
    <dxf>
      <fill>
        <patternFill>
          <bgColor theme="9" tint="0.79998168889431442"/>
        </patternFill>
      </fill>
    </dxf>
  </rfmt>
  <rfmt sheetId="26" sqref="K74:K82">
    <dxf>
      <fill>
        <patternFill>
          <bgColor theme="9" tint="0.79998168889431442"/>
        </patternFill>
      </fill>
    </dxf>
  </rfmt>
  <rfmt sheetId="26" sqref="K96:K98">
    <dxf>
      <fill>
        <patternFill patternType="none">
          <bgColor auto="1"/>
        </patternFill>
      </fill>
    </dxf>
  </rfmt>
  <rfmt sheetId="26" sqref="K136:K146">
    <dxf>
      <fill>
        <patternFill patternType="none">
          <bgColor auto="1"/>
        </patternFill>
      </fill>
    </dxf>
  </rfmt>
  <rfmt sheetId="26" sqref="K15:K18">
    <dxf>
      <fill>
        <patternFill patternType="none">
          <bgColor auto="1"/>
        </patternFill>
      </fill>
    </dxf>
  </rfmt>
  <rfmt sheetId="26" sqref="B26:F26">
    <dxf>
      <fill>
        <patternFill patternType="none">
          <bgColor auto="1"/>
        </patternFill>
      </fill>
    </dxf>
  </rfmt>
  <rfmt sheetId="26" sqref="A41:XFD41">
    <dxf>
      <fill>
        <patternFill>
          <bgColor rgb="FF00B050"/>
        </patternFill>
      </fill>
    </dxf>
  </rfmt>
  <rfmt sheetId="26" sqref="A84:XFD84">
    <dxf>
      <fill>
        <patternFill>
          <bgColor rgb="FF00B050"/>
        </patternFill>
      </fill>
    </dxf>
  </rfmt>
  <rfmt sheetId="26" sqref="A16:XFD16">
    <dxf>
      <fill>
        <patternFill>
          <bgColor rgb="FF00B050"/>
        </patternFill>
      </fill>
    </dxf>
  </rfmt>
  <rfmt sheetId="26" sqref="A84:XFD84">
    <dxf>
      <fill>
        <patternFill>
          <bgColor rgb="FF92D050"/>
        </patternFill>
      </fill>
    </dxf>
  </rfmt>
  <rfmt sheetId="26" sqref="A108:XFD108">
    <dxf>
      <fill>
        <patternFill>
          <bgColor rgb="FF92D050"/>
        </patternFill>
      </fill>
    </dxf>
  </rfmt>
  <rfmt sheetId="26" sqref="A134:XFD134">
    <dxf>
      <fill>
        <patternFill>
          <bgColor rgb="FF00B050"/>
        </patternFill>
      </fill>
    </dxf>
  </rfmt>
  <rcc rId="1310" sId="27">
    <nc r="M12" t="inlineStr">
      <is>
        <t>assumed all cleared</t>
      </is>
    </nc>
  </rcc>
  <rcc rId="1311" sId="27">
    <nc r="M13" t="inlineStr">
      <is>
        <t>assumed half cleared</t>
      </is>
    </nc>
  </rcc>
  <rcc rId="1312" sId="27">
    <nc r="M14" t="inlineStr">
      <is>
        <t>assumed 6% cleared</t>
      </is>
    </nc>
  </rcc>
  <rfmt sheetId="27" sqref="M12:M14">
    <dxf>
      <alignment wrapText="1"/>
    </dxf>
  </rfmt>
  <rfmt sheetId="27" sqref="M12:M14">
    <dxf>
      <alignment wrapText="0"/>
    </dxf>
  </rfmt>
  <rcc rId="1313" sId="27">
    <nc r="E12" t="inlineStr">
      <is>
        <t>assumed all cleared</t>
      </is>
    </nc>
  </rcc>
  <rcc rId="1314" sId="27">
    <nc r="E13" t="inlineStr">
      <is>
        <t>assumed half cleared</t>
      </is>
    </nc>
  </rcc>
  <rcc rId="1315" sId="27">
    <nc r="E14" t="inlineStr">
      <is>
        <t>assumed 6% cleared</t>
      </is>
    </nc>
  </rcc>
  <rcc rId="1316" sId="27" odxf="1" dxf="1">
    <nc r="E16" t="inlineStr">
      <is>
        <t>assumed all cleared</t>
      </is>
    </nc>
    <odxf>
      <font>
        <sz val="9"/>
        <color auto="1"/>
        <name val="Arial"/>
        <family val="2"/>
        <scheme val="none"/>
      </font>
    </odxf>
    <ndxf>
      <font>
        <sz val="7"/>
        <color auto="1"/>
        <name val="Arial"/>
        <family val="2"/>
        <scheme val="none"/>
      </font>
    </ndxf>
  </rcc>
  <rcc rId="1317" sId="27" odxf="1" dxf="1">
    <nc r="E17" t="inlineStr">
      <is>
        <t>assumed half cleared</t>
      </is>
    </nc>
    <odxf>
      <font>
        <sz val="9"/>
        <color auto="1"/>
        <name val="Arial"/>
        <family val="2"/>
        <scheme val="none"/>
      </font>
    </odxf>
    <ndxf>
      <font>
        <sz val="7"/>
        <color auto="1"/>
        <name val="Arial"/>
        <family val="2"/>
        <scheme val="none"/>
      </font>
    </ndxf>
  </rcc>
  <rcc rId="1318" sId="27" odxf="1" dxf="1">
    <nc r="E18" t="inlineStr">
      <is>
        <t>assumed 6% cleared</t>
      </is>
    </nc>
    <odxf>
      <font>
        <sz val="9"/>
        <color auto="1"/>
        <name val="Arial"/>
        <family val="2"/>
        <scheme val="none"/>
      </font>
    </odxf>
    <ndxf>
      <font>
        <sz val="7"/>
        <color auto="1"/>
        <name val="Arial"/>
        <family val="2"/>
        <scheme val="none"/>
      </font>
    </ndxf>
  </rcc>
  <rm rId="1319" sheetId="27" source="E12:E14" destination="I16:I18" sourceSheetId="27">
    <rfmt sheetId="27" sqref="I16" start="0" length="0">
      <dxf>
        <font>
          <sz val="7"/>
          <color auto="1"/>
          <name val="Arial"/>
          <family val="2"/>
          <scheme val="none"/>
        </font>
        <numFmt numFmtId="30" formatCode="@"/>
        <alignment vertical="bottom" wrapText="1"/>
        <border outline="0">
          <right style="thin">
            <color indexed="64"/>
          </right>
        </border>
      </dxf>
    </rfmt>
    <rfmt sheetId="27" sqref="I17" start="0" length="0">
      <dxf>
        <font>
          <sz val="7"/>
          <color auto="1"/>
          <name val="Arial"/>
          <family val="2"/>
          <scheme val="none"/>
        </font>
        <numFmt numFmtId="30" formatCode="@"/>
        <alignment vertical="bottom" wrapText="1"/>
        <border outline="0">
          <right style="thin">
            <color indexed="64"/>
          </right>
        </border>
      </dxf>
    </rfmt>
    <rfmt sheetId="27" sqref="I18" start="0" length="0">
      <dxf>
        <font>
          <sz val="7"/>
          <color auto="1"/>
          <name val="Arial"/>
          <family val="2"/>
          <scheme val="none"/>
        </font>
        <numFmt numFmtId="30" formatCode="@"/>
        <alignment vertical="bottom" wrapText="1"/>
        <border outline="0">
          <right style="thin">
            <color indexed="64"/>
          </right>
        </border>
      </dxf>
    </rfmt>
  </rm>
  <rm rId="1320" sheetId="27" source="M12:M14" destination="M16:M18" sourceSheetId="27">
    <rfmt sheetId="27" sqref="M16" start="0" length="0">
      <dxf>
        <font>
          <sz val="7"/>
          <color auto="1"/>
          <name val="Arial"/>
          <family val="2"/>
          <scheme val="none"/>
        </font>
        <numFmt numFmtId="30" formatCode="@"/>
        <alignment vertical="bottom" wrapText="1"/>
        <border outline="0">
          <right style="thin">
            <color indexed="64"/>
          </right>
        </border>
      </dxf>
    </rfmt>
    <rfmt sheetId="27" sqref="M17" start="0" length="0">
      <dxf>
        <font>
          <sz val="7"/>
          <color auto="1"/>
          <name val="Arial"/>
          <family val="2"/>
          <scheme val="none"/>
        </font>
        <numFmt numFmtId="30" formatCode="@"/>
        <alignment vertical="bottom" wrapText="1"/>
        <border outline="0">
          <right style="thin">
            <color indexed="64"/>
          </right>
        </border>
      </dxf>
    </rfmt>
    <rfmt sheetId="27" sqref="M18" start="0" length="0">
      <dxf>
        <font>
          <sz val="7"/>
          <color auto="1"/>
          <name val="Arial"/>
          <family val="2"/>
          <scheme val="none"/>
        </font>
        <numFmt numFmtId="30" formatCode="@"/>
        <alignment vertical="bottom" wrapText="1"/>
        <border outline="0">
          <right style="thin">
            <color indexed="64"/>
          </right>
        </border>
      </dxf>
    </rfmt>
  </rm>
  <rcc rId="1321" sId="27">
    <nc r="C37" t="inlineStr">
      <is>
        <r>
          <t>MgCO</t>
        </r>
        <r>
          <rPr>
            <b/>
            <vertAlign val="subscript"/>
            <sz val="9"/>
            <rFont val="Arial"/>
            <family val="2"/>
          </rPr>
          <t>2</t>
        </r>
      </is>
    </nc>
  </rcc>
  <rcc rId="1322" sId="27">
    <nc r="G37" t="inlineStr">
      <is>
        <r>
          <t>MgCO</t>
        </r>
        <r>
          <rPr>
            <b/>
            <vertAlign val="subscript"/>
            <sz val="9"/>
            <rFont val="Arial"/>
            <family val="2"/>
          </rPr>
          <t>2</t>
        </r>
      </is>
    </nc>
  </rcc>
  <rcc rId="1323" sId="27">
    <nc r="K37" t="inlineStr">
      <is>
        <r>
          <t>MgCO</t>
        </r>
        <r>
          <rPr>
            <b/>
            <vertAlign val="subscript"/>
            <sz val="9"/>
            <rFont val="Arial"/>
            <family val="2"/>
          </rPr>
          <t>2</t>
        </r>
      </is>
    </nc>
  </rcc>
  <rfmt sheetId="27" sqref="K37" start="0" length="2147483647">
    <dxf>
      <font>
        <b val="0"/>
        <family val="2"/>
      </font>
    </dxf>
  </rfmt>
  <rfmt sheetId="27" sqref="G37" start="0" length="2147483647">
    <dxf>
      <font>
        <b val="0"/>
        <family val="2"/>
      </font>
    </dxf>
  </rfmt>
  <rfmt sheetId="27" sqref="C37" start="0" length="2147483647">
    <dxf>
      <font>
        <b val="0"/>
        <family val="2"/>
      </font>
    </dxf>
  </rfmt>
  <rcc rId="1324" sId="27" odxf="1" dxf="1">
    <nc r="C36" t="inlineStr">
      <is>
        <t>MgC</t>
      </is>
    </nc>
    <odxf>
      <font>
        <b/>
        <family val="2"/>
      </font>
    </odxf>
    <ndxf>
      <font>
        <b val="0"/>
        <sz val="9"/>
        <color auto="1"/>
        <name val="Arial"/>
        <family val="2"/>
        <scheme val="none"/>
      </font>
    </ndxf>
  </rcc>
  <rcc rId="1325" sId="27" odxf="1" dxf="1">
    <nc r="G36" t="inlineStr">
      <is>
        <t>MgC</t>
      </is>
    </nc>
    <odxf>
      <font>
        <b/>
        <family val="2"/>
      </font>
    </odxf>
    <ndxf>
      <font>
        <b val="0"/>
        <sz val="9"/>
        <color auto="1"/>
        <name val="Arial"/>
        <family val="2"/>
        <scheme val="none"/>
      </font>
    </ndxf>
  </rcc>
  <rcc rId="1326" sId="27" odxf="1" dxf="1">
    <nc r="K36" t="inlineStr">
      <is>
        <t>MgC</t>
      </is>
    </nc>
    <odxf>
      <font>
        <b/>
        <family val="2"/>
      </font>
    </odxf>
    <ndxf>
      <font>
        <b val="0"/>
        <sz val="9"/>
        <color auto="1"/>
        <name val="Arial"/>
        <family val="2"/>
        <scheme val="none"/>
      </font>
    </ndxf>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2" sId="19">
    <oc r="C37" t="inlineStr">
      <is>
        <t>KC15_12_10</t>
      </is>
    </oc>
    <nc r="C37" t="inlineStr">
      <is>
        <t>KC15_12_12</t>
      </is>
    </nc>
  </rcc>
  <rcc rId="1333" sId="19">
    <oc r="N37" t="inlineStr">
      <is>
        <t>KC15_12_10</t>
      </is>
    </oc>
    <nc r="N37" t="inlineStr">
      <is>
        <t>KC15_12_12</t>
      </is>
    </nc>
  </rcc>
  <rcc rId="1334" sId="19" odxf="1" dxf="1">
    <oc r="U37" t="inlineStr">
      <is>
        <t>KC15_12_10</t>
      </is>
    </oc>
    <nc r="U37" t="inlineStr">
      <is>
        <t>KC15_12_12</t>
      </is>
    </nc>
    <odxf>
      <border outline="0">
        <right style="thin">
          <color indexed="64"/>
        </right>
      </border>
    </odxf>
    <ndxf>
      <border outline="0">
        <right/>
      </border>
    </ndxf>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5" sId="19">
    <nc r="V24" t="inlineStr">
      <is>
        <t>FY 15</t>
      </is>
    </nc>
  </rcc>
  <rfmt sheetId="19" sqref="V24" start="0" length="2147483647">
    <dxf>
      <font>
        <b val="0"/>
        <family val="2"/>
      </font>
    </dxf>
  </rfmt>
  <rcc rId="1336" sId="19" odxf="1" dxf="1">
    <nc r="V25" t="inlineStr">
      <is>
        <t>FY 15</t>
      </is>
    </nc>
    <odxf>
      <font>
        <b/>
        <family val="2"/>
      </font>
    </odxf>
    <ndxf>
      <font>
        <b val="0"/>
        <sz val="9"/>
        <color auto="1"/>
        <name val="Arial"/>
        <family val="2"/>
        <scheme val="none"/>
      </font>
    </ndxf>
  </rcc>
  <rcc rId="1337" sId="19" odxf="1" dxf="1">
    <nc r="V26" t="inlineStr">
      <is>
        <t>FY 15</t>
      </is>
    </nc>
    <odxf>
      <font>
        <b/>
        <family val="2"/>
      </font>
    </odxf>
    <ndxf>
      <font>
        <b val="0"/>
        <sz val="9"/>
        <color auto="1"/>
        <name val="Arial"/>
        <family val="2"/>
        <scheme val="none"/>
      </font>
    </ndxf>
  </rcc>
  <rcc rId="1338" sId="19" odxf="1" dxf="1">
    <nc r="V27" t="inlineStr">
      <is>
        <t>FY 15</t>
      </is>
    </nc>
    <odxf>
      <font>
        <b/>
        <family val="2"/>
      </font>
    </odxf>
    <ndxf>
      <font>
        <b val="0"/>
        <sz val="9"/>
        <color auto="1"/>
        <name val="Arial"/>
        <family val="2"/>
        <scheme val="none"/>
      </font>
    </ndxf>
  </rcc>
  <rfmt sheetId="19" sqref="O24" start="0" length="0">
    <dxf>
      <font>
        <b val="0"/>
        <sz val="9"/>
        <color auto="1"/>
        <name val="Arial"/>
        <family val="2"/>
        <scheme val="none"/>
      </font>
    </dxf>
  </rfmt>
  <rcc rId="1339" sId="19">
    <nc r="O24" t="inlineStr">
      <is>
        <t>FY 08</t>
      </is>
    </nc>
  </rcc>
  <rcc rId="1340" sId="19" odxf="1" dxf="1">
    <nc r="O25" t="inlineStr">
      <is>
        <t>FY 08</t>
      </is>
    </nc>
    <odxf>
      <font>
        <b/>
        <family val="2"/>
      </font>
    </odxf>
    <ndxf>
      <font>
        <b val="0"/>
        <sz val="9"/>
        <color auto="1"/>
        <name val="Arial"/>
        <family val="2"/>
        <scheme val="none"/>
      </font>
    </ndxf>
  </rcc>
  <rcc rId="1341" sId="19" odxf="1" dxf="1">
    <nc r="O26" t="inlineStr">
      <is>
        <t>FY 08</t>
      </is>
    </nc>
    <odxf>
      <font>
        <b/>
        <family val="2"/>
      </font>
    </odxf>
    <ndxf>
      <font>
        <b val="0"/>
        <sz val="9"/>
        <color auto="1"/>
        <name val="Arial"/>
        <family val="2"/>
        <scheme val="none"/>
      </font>
    </ndxf>
  </rcc>
  <rcc rId="1342" sId="19" odxf="1" dxf="1">
    <nc r="O27" t="inlineStr">
      <is>
        <t>FY 08</t>
      </is>
    </nc>
    <odxf>
      <font>
        <b/>
        <family val="2"/>
      </font>
    </odxf>
    <ndxf>
      <font>
        <b val="0"/>
        <sz val="9"/>
        <color auto="1"/>
        <name val="Arial"/>
        <family val="2"/>
        <scheme val="none"/>
      </font>
    </ndxf>
  </rcc>
  <rcc rId="1343" sId="8">
    <nc r="D5" t="inlineStr">
      <is>
        <t>all</t>
      </is>
    </nc>
  </rcc>
  <rcc rId="1344" sId="8">
    <nc r="D6" t="inlineStr">
      <is>
        <t>all</t>
      </is>
    </nc>
  </rcc>
  <rcc rId="1345" sId="8">
    <nc r="D7" t="inlineStr">
      <is>
        <t>all</t>
      </is>
    </nc>
  </rcc>
  <rcc rId="1346" sId="8">
    <nc r="D8" t="inlineStr">
      <is>
        <t>all</t>
      </is>
    </nc>
  </rcc>
  <rcc rId="1347" sId="8">
    <nc r="D9" t="inlineStr">
      <is>
        <t>all</t>
      </is>
    </nc>
  </rcc>
  <rcc rId="1348" sId="8">
    <nc r="D10" t="inlineStr">
      <is>
        <t>all</t>
      </is>
    </nc>
  </rcc>
  <rcc rId="1349" sId="8">
    <nc r="D11" t="inlineStr">
      <is>
        <t>all</t>
      </is>
    </nc>
  </rcc>
  <rcc rId="1350" sId="8">
    <nc r="D13" t="inlineStr">
      <is>
        <t>all</t>
      </is>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6" sId="20">
    <oc r="K25" t="inlineStr">
      <is>
        <t>KC15-12-10</t>
      </is>
    </oc>
    <nc r="K25" t="inlineStr">
      <is>
        <t>KC15-12-05</t>
      </is>
    </nc>
  </rcc>
  <rcc rId="1357" sId="20">
    <nc r="K20" t="inlineStr">
      <is>
        <t>KC15-12-10</t>
      </is>
    </nc>
  </rcc>
  <rcc rId="1358" sId="20">
    <oc r="L20" t="inlineStr">
      <is>
        <t>https://www.portseattle.org/About/Publications/Statistics/Seaport/Pages/10-Year-History.aspx</t>
      </is>
    </oc>
    <nc r="L20"/>
  </rcc>
  <rcmt sheetId="20" cell="K20" guid="{00000000-0000-0000-0000-000000000000}" action="delete" alwaysShow="1" author="Andrea Martin"/>
  <rcmt sheetId="20" cell="K21" guid="{00000000-0000-0000-0000-000000000000}" action="delete" alwaysShow="1" author="Andrea Martin"/>
  <rcmt sheetId="20" cell="L20" guid="{00000000-0000-0000-0000-000000000000}" action="delete" alwaysShow="1" author="Andrea Martin"/>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B24">
    <dxf>
      <fill>
        <patternFill patternType="solid">
          <bgColor rgb="FFFFFF00"/>
        </patternFill>
      </fill>
    </dxf>
  </rfmt>
  <rfmt sheetId="10" sqref="F24">
    <dxf>
      <fill>
        <patternFill patternType="solid">
          <bgColor rgb="FFFFFF00"/>
        </patternFill>
      </fill>
    </dxf>
  </rfmt>
  <rfmt sheetId="10" sqref="J24">
    <dxf>
      <fill>
        <patternFill patternType="solid">
          <bgColor rgb="FFFFFF00"/>
        </patternFill>
      </fill>
    </dxf>
  </rfmt>
  <rcc rId="23" sId="10" odxf="1" dxf="1">
    <nc r="E21" t="inlineStr">
      <is>
        <t>cell C23</t>
      </is>
    </nc>
    <ndxf>
      <font>
        <sz val="9"/>
        <color auto="1"/>
        <name val="Arial"/>
        <scheme val="none"/>
      </font>
    </ndxf>
  </rcc>
  <rcc rId="24" sId="10" odxf="1" dxf="1">
    <nc r="E25" t="inlineStr">
      <is>
        <t>cell E11</t>
      </is>
    </nc>
    <ndxf>
      <font>
        <sz val="9"/>
        <color auto="1"/>
        <name val="Arial"/>
        <scheme val="none"/>
      </font>
    </ndxf>
  </rcc>
  <rsnm rId="25" sheetId="8" oldName="[KC15-00-1_MasterSpreadsheet_2016-05-08_alm.xlsx]Sheet1" newName="[KC15-00-1_MasterSpreadsheet_2016-05-08_alm.xlsx]QC Tracker"/>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9" sId="20" numFmtId="4">
    <oc r="I26">
      <v>20502268</v>
    </oc>
    <nc r="I26">
      <v>22606608</v>
    </nc>
  </rcc>
  <rcc rId="1360" sId="20">
    <oc r="K26" t="inlineStr">
      <is>
        <t>KC15-12-10</t>
      </is>
    </oc>
    <nc r="K26" t="inlineStr">
      <is>
        <t>KC15-12-06</t>
      </is>
    </nc>
  </rcc>
  <rcmt sheetId="20" cell="I25" guid="{00000000-0000-0000-0000-000000000000}" action="delete" alwaysShow="1" author="Andrea Martin"/>
  <rcc rId="1361" sId="19" odxf="1" dxf="1" numFmtId="4">
    <oc r="S61">
      <v>22600000</v>
    </oc>
    <nc r="S61">
      <v>22606608</v>
    </nc>
    <odxf>
      <numFmt numFmtId="0" formatCode="General"/>
      <alignment horizontal="general" vertical="center"/>
      <border outline="0">
        <left/>
      </border>
    </odxf>
    <ndxf>
      <numFmt numFmtId="3" formatCode="#,##0"/>
      <alignment horizontal="right" vertical="top"/>
      <border outline="0">
        <left style="thin">
          <color indexed="64"/>
        </left>
      </border>
    </ndxf>
  </rcc>
  <rcc rId="1362" sId="19">
    <oc r="U61" t="inlineStr">
      <is>
        <t>KC15-12-07</t>
      </is>
    </oc>
    <nc r="U61" t="inlineStr">
      <is>
        <t>KC15-12-06</t>
      </is>
    </nc>
  </rcc>
  <rcc rId="1363" sId="19" odxf="1" dxf="1">
    <oc r="U60" t="inlineStr">
      <is>
        <t>KC15-12-06</t>
      </is>
    </oc>
    <nc r="U60" t="inlineStr">
      <is>
        <t>KC15-12-10</t>
      </is>
    </nc>
    <odxf>
      <numFmt numFmtId="0" formatCode="General"/>
      <alignment horizontal="general" vertical="center"/>
      <border outline="0">
        <right style="thin">
          <color indexed="64"/>
        </right>
      </border>
    </odxf>
    <ndxf>
      <numFmt numFmtId="30" formatCode="@"/>
      <alignment horizontal="left" vertical="top"/>
      <border outline="0">
        <right/>
      </border>
    </ndxf>
  </rcc>
  <rcc rId="1364" sId="19">
    <oc r="U58" t="inlineStr">
      <is>
        <t>KC15-12-05</t>
      </is>
    </oc>
    <nc r="U58" t="inlineStr">
      <is>
        <t>KC15-12-07</t>
      </is>
    </nc>
  </rcc>
  <rrc rId="1365" sId="20" ref="B1:B1048576" action="insertCol"/>
  <rrc rId="1366" sId="20" ref="B1:B1048576" action="insertCol"/>
  <rrc rId="1367" sId="20" ref="B1:B1048576" action="insertCol"/>
  <rm rId="1368" sheetId="20" source="L11:N26" destination="B11:D26" sourceSheetId="20">
    <rfmt sheetId="20" sqref="B11" start="0" length="0">
      <dxf>
        <numFmt numFmtId="30" formatCode="@"/>
        <alignment horizontal="left" indent="1"/>
      </dxf>
    </rfmt>
    <rfmt sheetId="20" sqref="C11" start="0" length="0">
      <dxf>
        <numFmt numFmtId="30" formatCode="@"/>
        <alignment horizontal="left" indent="1"/>
      </dxf>
    </rfmt>
    <rfmt sheetId="20" sqref="D11" start="0" length="0">
      <dxf>
        <numFmt numFmtId="30" formatCode="@"/>
        <alignment horizontal="left" indent="1"/>
      </dxf>
    </rfmt>
    <rfmt sheetId="20" sqref="B12" start="0" length="0">
      <dxf>
        <numFmt numFmtId="30" formatCode="@"/>
        <alignment horizontal="left" indent="1"/>
      </dxf>
    </rfmt>
    <rfmt sheetId="20" sqref="C12" start="0" length="0">
      <dxf>
        <numFmt numFmtId="30" formatCode="@"/>
        <alignment horizontal="left" indent="1"/>
      </dxf>
    </rfmt>
    <rfmt sheetId="20" sqref="D12" start="0" length="0">
      <dxf>
        <numFmt numFmtId="30" formatCode="@"/>
        <alignment horizontal="left" indent="1"/>
      </dxf>
    </rfmt>
    <rfmt sheetId="20" sqref="B13" start="0" length="0">
      <dxf>
        <numFmt numFmtId="30" formatCode="@"/>
        <alignment horizontal="left" indent="1"/>
      </dxf>
    </rfmt>
    <rfmt sheetId="20" sqref="C13" start="0" length="0">
      <dxf>
        <numFmt numFmtId="30" formatCode="@"/>
        <alignment horizontal="left" indent="1"/>
      </dxf>
    </rfmt>
    <rfmt sheetId="20" sqref="D13" start="0" length="0">
      <dxf>
        <numFmt numFmtId="30" formatCode="@"/>
        <alignment horizontal="left" indent="1"/>
      </dxf>
    </rfmt>
    <rfmt sheetId="20" sqref="B14" start="0" length="0">
      <dxf>
        <numFmt numFmtId="30" formatCode="@"/>
        <alignment horizontal="left" indent="1"/>
      </dxf>
    </rfmt>
    <rfmt sheetId="20" sqref="C14" start="0" length="0">
      <dxf>
        <numFmt numFmtId="30" formatCode="@"/>
        <alignment horizontal="left" indent="1"/>
      </dxf>
    </rfmt>
    <rfmt sheetId="20" sqref="D14" start="0" length="0">
      <dxf>
        <numFmt numFmtId="30" formatCode="@"/>
        <alignment horizontal="left" indent="1"/>
      </dxf>
    </rfmt>
    <rfmt sheetId="20" sqref="B15" start="0" length="0">
      <dxf>
        <numFmt numFmtId="30" formatCode="@"/>
        <alignment horizontal="left" indent="1"/>
      </dxf>
    </rfmt>
    <rfmt sheetId="20" sqref="C15" start="0" length="0">
      <dxf>
        <numFmt numFmtId="30" formatCode="@"/>
        <alignment horizontal="left" indent="1"/>
      </dxf>
    </rfmt>
    <rfmt sheetId="20" sqref="D15" start="0" length="0">
      <dxf>
        <numFmt numFmtId="30" formatCode="@"/>
        <alignment horizontal="left" indent="1"/>
      </dxf>
    </rfmt>
    <rfmt sheetId="20" sqref="B16" start="0" length="0">
      <dxf>
        <numFmt numFmtId="30" formatCode="@"/>
        <alignment horizontal="left" indent="1"/>
      </dxf>
    </rfmt>
    <rfmt sheetId="20" sqref="C16" start="0" length="0">
      <dxf>
        <numFmt numFmtId="30" formatCode="@"/>
        <alignment horizontal="left" indent="1"/>
      </dxf>
    </rfmt>
    <rfmt sheetId="20" sqref="D16" start="0" length="0">
      <dxf>
        <numFmt numFmtId="30" formatCode="@"/>
        <alignment horizontal="left" indent="1"/>
      </dxf>
    </rfmt>
    <rfmt sheetId="20" sqref="B17" start="0" length="0">
      <dxf>
        <numFmt numFmtId="30" formatCode="@"/>
        <alignment horizontal="left" indent="1"/>
      </dxf>
    </rfmt>
    <rfmt sheetId="20" sqref="C17" start="0" length="0">
      <dxf>
        <numFmt numFmtId="30" formatCode="@"/>
        <alignment horizontal="left" indent="1"/>
      </dxf>
    </rfmt>
    <rfmt sheetId="20" sqref="D17" start="0" length="0">
      <dxf>
        <numFmt numFmtId="30" formatCode="@"/>
        <alignment horizontal="left" indent="1"/>
      </dxf>
    </rfmt>
    <rfmt sheetId="20" sqref="B18" start="0" length="0">
      <dxf>
        <numFmt numFmtId="30" formatCode="@"/>
        <alignment horizontal="left" indent="1"/>
      </dxf>
    </rfmt>
    <rfmt sheetId="20" sqref="C18" start="0" length="0">
      <dxf>
        <numFmt numFmtId="30" formatCode="@"/>
        <alignment horizontal="left" indent="1"/>
      </dxf>
    </rfmt>
    <rfmt sheetId="20" sqref="D18" start="0" length="0">
      <dxf>
        <numFmt numFmtId="30" formatCode="@"/>
        <alignment horizontal="left" indent="1"/>
      </dxf>
    </rfmt>
    <rfmt sheetId="20" sqref="B19" start="0" length="0">
      <dxf>
        <numFmt numFmtId="30" formatCode="@"/>
        <alignment horizontal="left" indent="1"/>
      </dxf>
    </rfmt>
    <rfmt sheetId="20" sqref="C19" start="0" length="0">
      <dxf>
        <numFmt numFmtId="30" formatCode="@"/>
        <alignment horizontal="left" indent="1"/>
      </dxf>
    </rfmt>
    <rfmt sheetId="20" sqref="D19" start="0" length="0">
      <dxf>
        <numFmt numFmtId="30" formatCode="@"/>
        <alignment horizontal="left" indent="1"/>
      </dxf>
    </rfmt>
    <rfmt sheetId="20" sqref="B20" start="0" length="0">
      <dxf>
        <numFmt numFmtId="30" formatCode="@"/>
        <alignment horizontal="left" indent="1"/>
      </dxf>
    </rfmt>
    <rfmt sheetId="20" sqref="C20" start="0" length="0">
      <dxf>
        <numFmt numFmtId="30" formatCode="@"/>
        <alignment horizontal="left" indent="1"/>
      </dxf>
    </rfmt>
    <rfmt sheetId="20" sqref="D20" start="0" length="0">
      <dxf>
        <numFmt numFmtId="30" formatCode="@"/>
        <alignment horizontal="left" indent="1"/>
      </dxf>
    </rfmt>
    <rfmt sheetId="20" sqref="B21" start="0" length="0">
      <dxf>
        <numFmt numFmtId="30" formatCode="@"/>
        <alignment horizontal="left" indent="1"/>
      </dxf>
    </rfmt>
    <rfmt sheetId="20" sqref="C21" start="0" length="0">
      <dxf>
        <numFmt numFmtId="30" formatCode="@"/>
        <alignment horizontal="left" indent="1"/>
      </dxf>
    </rfmt>
    <rfmt sheetId="20" sqref="D21" start="0" length="0">
      <dxf>
        <numFmt numFmtId="30" formatCode="@"/>
        <alignment horizontal="left" indent="1"/>
      </dxf>
    </rfmt>
    <rfmt sheetId="20" sqref="B22" start="0" length="0">
      <dxf>
        <numFmt numFmtId="30" formatCode="@"/>
        <alignment horizontal="left" indent="1"/>
      </dxf>
    </rfmt>
    <rfmt sheetId="20" sqref="C22" start="0" length="0">
      <dxf>
        <numFmt numFmtId="30" formatCode="@"/>
        <alignment horizontal="left" indent="1"/>
      </dxf>
    </rfmt>
    <rfmt sheetId="20" sqref="D22" start="0" length="0">
      <dxf>
        <numFmt numFmtId="30" formatCode="@"/>
        <alignment horizontal="left" indent="1"/>
      </dxf>
    </rfmt>
    <rfmt sheetId="20" sqref="B23" start="0" length="0">
      <dxf>
        <numFmt numFmtId="30" formatCode="@"/>
        <alignment horizontal="left" indent="1"/>
      </dxf>
    </rfmt>
    <rfmt sheetId="20" sqref="C23" start="0" length="0">
      <dxf>
        <numFmt numFmtId="30" formatCode="@"/>
        <alignment horizontal="left" indent="1"/>
      </dxf>
    </rfmt>
    <rfmt sheetId="20" sqref="D23" start="0" length="0">
      <dxf>
        <numFmt numFmtId="30" formatCode="@"/>
        <alignment horizontal="left" indent="1"/>
      </dxf>
    </rfmt>
    <rfmt sheetId="20" sqref="B24" start="0" length="0">
      <dxf>
        <numFmt numFmtId="30" formatCode="@"/>
        <alignment horizontal="left" indent="1"/>
      </dxf>
    </rfmt>
    <rfmt sheetId="20" sqref="C24" start="0" length="0">
      <dxf>
        <numFmt numFmtId="30" formatCode="@"/>
        <alignment horizontal="left" indent="1"/>
      </dxf>
    </rfmt>
    <rfmt sheetId="20" sqref="D24" start="0" length="0">
      <dxf>
        <numFmt numFmtId="30" formatCode="@"/>
        <alignment horizontal="left" indent="1"/>
      </dxf>
    </rfmt>
    <rfmt sheetId="20" sqref="B25" start="0" length="0">
      <dxf>
        <numFmt numFmtId="30" formatCode="@"/>
        <alignment horizontal="left" indent="1"/>
      </dxf>
    </rfmt>
    <rfmt sheetId="20" sqref="C25" start="0" length="0">
      <dxf>
        <numFmt numFmtId="30" formatCode="@"/>
        <alignment horizontal="left" indent="1"/>
      </dxf>
    </rfmt>
    <rfmt sheetId="20" sqref="D25" start="0" length="0">
      <dxf>
        <numFmt numFmtId="30" formatCode="@"/>
        <alignment horizontal="left" indent="1"/>
      </dxf>
    </rfmt>
    <rfmt sheetId="20" sqref="B26" start="0" length="0">
      <dxf>
        <numFmt numFmtId="30" formatCode="@"/>
        <alignment horizontal="left" indent="1"/>
      </dxf>
    </rfmt>
    <rfmt sheetId="20" sqref="C26" start="0" length="0">
      <dxf>
        <numFmt numFmtId="30" formatCode="@"/>
        <alignment horizontal="left" indent="1"/>
      </dxf>
    </rfmt>
    <rfmt sheetId="20" sqref="D26" start="0" length="0">
      <dxf>
        <numFmt numFmtId="30" formatCode="@"/>
        <alignment horizontal="left" indent="1"/>
      </dxf>
    </rfmt>
  </rm>
  <rfmt sheetId="20" sqref="K1:K1048576" start="0" length="0">
    <dxf>
      <border>
        <right style="thin">
          <color auto="1"/>
        </right>
      </border>
    </dxf>
  </rfmt>
  <rm rId="1369" sheetId="20" source="L6:O9" destination="H6:K9" sourceSheetId="20">
    <rfmt sheetId="20" sqref="H6" start="0" length="0">
      <dxf>
        <numFmt numFmtId="30" formatCode="@"/>
        <alignment horizontal="left" indent="1"/>
      </dxf>
    </rfmt>
    <rfmt sheetId="20" sqref="I6" start="0" length="0">
      <dxf>
        <numFmt numFmtId="30" formatCode="@"/>
        <alignment horizontal="left" indent="1"/>
      </dxf>
    </rfmt>
    <rfmt sheetId="20" sqref="J6" start="0" length="0">
      <dxf>
        <numFmt numFmtId="30" formatCode="@"/>
        <alignment horizontal="left" indent="1"/>
      </dxf>
    </rfmt>
    <rfmt sheetId="20" sqref="K6" start="0" length="0">
      <dxf>
        <numFmt numFmtId="30" formatCode="@"/>
        <alignment horizontal="left" indent="1"/>
        <border outline="0">
          <right style="thin">
            <color indexed="64"/>
          </right>
        </border>
      </dxf>
    </rfmt>
    <rfmt sheetId="20" sqref="H7" start="0" length="0">
      <dxf>
        <numFmt numFmtId="30" formatCode="@"/>
        <alignment horizontal="left" indent="1"/>
      </dxf>
    </rfmt>
    <rfmt sheetId="20" sqref="I7" start="0" length="0">
      <dxf>
        <numFmt numFmtId="30" formatCode="@"/>
        <alignment horizontal="left" indent="1"/>
      </dxf>
    </rfmt>
    <rfmt sheetId="20" sqref="J7" start="0" length="0">
      <dxf>
        <numFmt numFmtId="30" formatCode="@"/>
        <alignment horizontal="left" indent="1"/>
      </dxf>
    </rfmt>
    <rfmt sheetId="20" sqref="K7" start="0" length="0">
      <dxf>
        <numFmt numFmtId="30" formatCode="@"/>
        <alignment horizontal="left" indent="1"/>
        <border outline="0">
          <right style="thin">
            <color indexed="64"/>
          </right>
        </border>
      </dxf>
    </rfmt>
    <rfmt sheetId="20" sqref="H8" start="0" length="0">
      <dxf>
        <numFmt numFmtId="30" formatCode="@"/>
        <alignment horizontal="left" indent="1"/>
      </dxf>
    </rfmt>
    <rfmt sheetId="20" sqref="I8" start="0" length="0">
      <dxf>
        <numFmt numFmtId="30" formatCode="@"/>
        <alignment horizontal="left" indent="1"/>
      </dxf>
    </rfmt>
    <rfmt sheetId="20" sqref="J8" start="0" length="0">
      <dxf>
        <numFmt numFmtId="30" formatCode="@"/>
        <alignment horizontal="left" indent="1"/>
      </dxf>
    </rfmt>
    <rfmt sheetId="20" sqref="K8" start="0" length="0">
      <dxf>
        <numFmt numFmtId="30" formatCode="@"/>
        <alignment horizontal="left" indent="1"/>
        <border outline="0">
          <right style="thin">
            <color indexed="64"/>
          </right>
        </border>
      </dxf>
    </rfmt>
    <rfmt sheetId="20" sqref="H9" start="0" length="0">
      <dxf>
        <font>
          <sz val="9"/>
          <color auto="1"/>
          <name val="Arial"/>
          <family val="2"/>
          <scheme val="none"/>
        </font>
        <numFmt numFmtId="30" formatCode="@"/>
        <alignment horizontal="left" indent="1"/>
      </dxf>
    </rfmt>
    <rfmt sheetId="20" sqref="I9" start="0" length="0">
      <dxf>
        <font>
          <sz val="9"/>
          <color auto="1"/>
          <name val="Arial"/>
          <family val="2"/>
          <scheme val="none"/>
        </font>
        <numFmt numFmtId="30" formatCode="@"/>
        <alignment horizontal="left" indent="1"/>
      </dxf>
    </rfmt>
    <rfmt sheetId="20" sqref="J9" start="0" length="0">
      <dxf>
        <font>
          <sz val="9"/>
          <color auto="1"/>
          <name val="Arial"/>
          <family val="2"/>
          <scheme val="none"/>
        </font>
        <numFmt numFmtId="30" formatCode="@"/>
        <alignment horizontal="left" indent="1"/>
      </dxf>
    </rfmt>
    <rfmt sheetId="20" sqref="K9" start="0" length="0">
      <dxf>
        <font>
          <sz val="9"/>
          <color auto="1"/>
          <name val="Arial"/>
          <family val="2"/>
          <scheme val="none"/>
        </font>
        <numFmt numFmtId="30" formatCode="@"/>
        <alignment horizontal="left" indent="1"/>
        <border outline="0">
          <right style="thin">
            <color indexed="64"/>
          </right>
        </border>
      </dxf>
    </rfmt>
  </rm>
  <rrc rId="1370" sId="20" ref="L1:L1048576" action="deleteCol">
    <undo index="65535" exp="ref" ref3D="1" v="1" dr="L41" r="B29" sId="7"/>
    <rfmt sheetId="20" xfDxf="1" sqref="L1:L1048576" start="0" length="0">
      <dxf>
        <alignment horizontal="right"/>
      </dxf>
    </rfmt>
    <rcc rId="0" sId="20" dxf="1">
      <nc r="L1" t="inlineStr">
        <is>
          <t>Tonnages</t>
        </is>
      </nc>
      <ndxf>
        <font>
          <b/>
          <sz val="9"/>
          <color auto="1"/>
          <name val="Arial"/>
          <family val="2"/>
          <scheme val="none"/>
        </font>
        <alignment horizontal="center" vertical="bottom"/>
        <border outline="0">
          <left style="thin">
            <color indexed="64"/>
          </left>
        </border>
      </ndxf>
    </rcc>
    <rcc rId="0" sId="20" dxf="1">
      <nc r="L2" t="inlineStr">
        <is>
          <t>value</t>
        </is>
      </nc>
      <ndxf>
        <font>
          <b/>
          <sz val="9"/>
          <color auto="1"/>
          <name val="Arial"/>
          <family val="2"/>
          <scheme val="none"/>
        </font>
        <alignment horizontal="center" vertical="bottom"/>
      </ndxf>
    </rcc>
    <rfmt sheetId="20" sqref="L3" start="0" length="0">
      <dxf>
        <font>
          <b/>
          <sz val="9"/>
          <color auto="1"/>
          <name val="Arial"/>
          <family val="2"/>
          <scheme val="none"/>
        </font>
        <alignment horizontal="center" vertical="bottom"/>
      </dxf>
    </rfmt>
    <rfmt sheetId="20" sqref="L4" start="0" length="0">
      <dxf>
        <font>
          <sz val="9"/>
          <color theme="0"/>
          <name val="Arial"/>
          <family val="2"/>
          <scheme val="none"/>
        </font>
        <fill>
          <patternFill patternType="solid">
            <bgColor rgb="FF002060"/>
          </patternFill>
        </fill>
        <alignment vertical="bottom"/>
      </dxf>
    </rfmt>
    <rfmt sheetId="20" sqref="L5" start="0" length="0">
      <dxf>
        <numFmt numFmtId="3" formatCode="#,##0"/>
      </dxf>
    </rfmt>
    <rfmt sheetId="20" sqref="L6" start="0" length="0">
      <dxf>
        <font>
          <b/>
          <sz val="9"/>
          <color auto="1"/>
          <name val="Arial"/>
          <family val="2"/>
          <scheme val="none"/>
        </font>
        <alignment horizontal="general" vertical="bottom"/>
      </dxf>
    </rfmt>
    <rfmt sheetId="20" sqref="L7" start="0" length="0">
      <dxf>
        <font>
          <b/>
          <sz val="9"/>
          <color auto="1"/>
          <name val="Arial"/>
          <family val="2"/>
          <scheme val="none"/>
        </font>
        <alignment horizontal="general" vertical="bottom"/>
      </dxf>
    </rfmt>
    <rfmt sheetId="20" sqref="L8" start="0" length="0">
      <dxf>
        <font>
          <b/>
          <sz val="9"/>
          <color auto="1"/>
          <name val="Arial"/>
          <family val="2"/>
          <scheme val="none"/>
        </font>
        <alignment horizontal="general" vertical="bottom"/>
      </dxf>
    </rfmt>
    <rfmt sheetId="20" sqref="L9" start="0" length="0">
      <dxf>
        <font>
          <b/>
          <sz val="9"/>
          <color auto="1"/>
          <name val="Arial"/>
          <family val="2"/>
          <scheme val="none"/>
        </font>
        <alignment horizontal="general" vertical="bottom"/>
      </dxf>
    </rfmt>
    <rfmt sheetId="20" sqref="L10" start="0" length="0">
      <dxf>
        <numFmt numFmtId="3" formatCode="#,##0"/>
      </dxf>
    </rfmt>
    <rfmt sheetId="20" sqref="L11" start="0" length="0">
      <dxf>
        <font>
          <b/>
          <sz val="9"/>
          <color auto="1"/>
          <name val="Arial"/>
          <family val="2"/>
          <scheme val="none"/>
        </font>
        <alignment horizontal="general" vertical="bottom"/>
      </dxf>
    </rfmt>
    <rfmt sheetId="20" sqref="L12" start="0" length="0">
      <dxf>
        <font>
          <b/>
          <sz val="9"/>
          <color auto="1"/>
          <name val="Arial"/>
          <family val="2"/>
          <scheme val="none"/>
        </font>
        <alignment horizontal="general" vertical="bottom"/>
      </dxf>
    </rfmt>
    <rfmt sheetId="20" sqref="L13" start="0" length="0">
      <dxf>
        <font>
          <b/>
          <sz val="9"/>
          <color auto="1"/>
          <name val="Arial"/>
          <family val="2"/>
          <scheme val="none"/>
        </font>
        <alignment horizontal="general" vertical="bottom"/>
      </dxf>
    </rfmt>
    <rfmt sheetId="20" sqref="L14" start="0" length="0">
      <dxf>
        <font>
          <b/>
          <sz val="9"/>
          <color auto="1"/>
          <name val="Arial"/>
          <family val="2"/>
          <scheme val="none"/>
        </font>
        <alignment horizontal="general" vertical="bottom"/>
      </dxf>
    </rfmt>
    <rfmt sheetId="20" sqref="L15" start="0" length="0">
      <dxf>
        <font>
          <b/>
          <sz val="9"/>
          <color auto="1"/>
          <name val="Arial"/>
          <family val="2"/>
          <scheme val="none"/>
        </font>
        <alignment horizontal="general" vertical="bottom"/>
      </dxf>
    </rfmt>
    <rfmt sheetId="20" sqref="L16" start="0" length="0">
      <dxf>
        <font>
          <b/>
          <sz val="9"/>
          <color auto="1"/>
          <name val="Arial"/>
          <family val="2"/>
          <scheme val="none"/>
        </font>
        <alignment horizontal="general" vertical="bottom"/>
      </dxf>
    </rfmt>
    <rfmt sheetId="20" sqref="L17" start="0" length="0">
      <dxf>
        <font>
          <b/>
          <sz val="9"/>
          <color auto="1"/>
          <name val="Arial"/>
          <family val="2"/>
          <scheme val="none"/>
        </font>
        <alignment horizontal="general" vertical="bottom"/>
      </dxf>
    </rfmt>
    <rfmt sheetId="20" sqref="L18" start="0" length="0">
      <dxf>
        <font>
          <b/>
          <sz val="9"/>
          <color auto="1"/>
          <name val="Arial"/>
          <family val="2"/>
          <scheme val="none"/>
        </font>
        <alignment horizontal="general" vertical="bottom"/>
      </dxf>
    </rfmt>
    <rfmt sheetId="20" sqref="L19" start="0" length="0">
      <dxf>
        <font>
          <b/>
          <sz val="9"/>
          <color auto="1"/>
          <name val="Arial"/>
          <family val="2"/>
          <scheme val="none"/>
        </font>
        <alignment horizontal="general" vertical="bottom"/>
      </dxf>
    </rfmt>
    <rfmt sheetId="20" sqref="L20" start="0" length="0">
      <dxf>
        <font>
          <b/>
          <sz val="9"/>
          <color auto="1"/>
          <name val="Arial"/>
          <family val="2"/>
          <scheme val="none"/>
        </font>
        <alignment horizontal="general" vertical="bottom"/>
      </dxf>
    </rfmt>
    <rfmt sheetId="20" sqref="L21" start="0" length="0">
      <dxf>
        <font>
          <b/>
          <sz val="9"/>
          <color auto="1"/>
          <name val="Arial"/>
          <family val="2"/>
          <scheme val="none"/>
        </font>
        <alignment horizontal="general" vertical="bottom"/>
      </dxf>
    </rfmt>
    <rfmt sheetId="20" sqref="L22" start="0" length="0">
      <dxf>
        <font>
          <b/>
          <sz val="9"/>
          <color auto="1"/>
          <name val="Arial"/>
          <family val="2"/>
          <scheme val="none"/>
        </font>
        <alignment horizontal="general" vertical="bottom"/>
      </dxf>
    </rfmt>
    <rfmt sheetId="20" sqref="L23" start="0" length="0">
      <dxf>
        <font>
          <b/>
          <sz val="9"/>
          <color auto="1"/>
          <name val="Arial"/>
          <family val="2"/>
          <scheme val="none"/>
        </font>
        <alignment horizontal="general" vertical="bottom"/>
      </dxf>
    </rfmt>
    <rfmt sheetId="20" sqref="L24" start="0" length="0">
      <dxf>
        <font>
          <b/>
          <sz val="9"/>
          <color auto="1"/>
          <name val="Arial"/>
          <family val="2"/>
          <scheme val="none"/>
        </font>
        <alignment horizontal="general" vertical="bottom"/>
      </dxf>
    </rfmt>
    <rfmt sheetId="20" sqref="L25" start="0" length="0">
      <dxf>
        <font>
          <b/>
          <sz val="9"/>
          <color auto="1"/>
          <name val="Arial"/>
          <family val="2"/>
          <scheme val="none"/>
        </font>
        <alignment horizontal="general" vertical="bottom"/>
      </dxf>
    </rfmt>
    <rfmt sheetId="20" sqref="L26" start="0" length="0">
      <dxf>
        <font>
          <b/>
          <sz val="9"/>
          <color auto="1"/>
          <name val="Arial"/>
          <family val="2"/>
          <scheme val="none"/>
        </font>
        <alignment horizontal="general" vertical="bottom"/>
      </dxf>
    </rfmt>
    <rfmt sheetId="20" sqref="L27" start="0" length="0">
      <dxf>
        <numFmt numFmtId="3" formatCode="#,##0"/>
      </dxf>
    </rfmt>
    <rfmt sheetId="20" sqref="L28" start="0" length="0">
      <dxf>
        <numFmt numFmtId="178" formatCode="0.0%"/>
        <fill>
          <patternFill patternType="solid">
            <bgColor rgb="FF0070C0"/>
          </patternFill>
        </fill>
      </dxf>
    </rfmt>
    <rfmt sheetId="20" sqref="L29" start="0" length="0">
      <dxf>
        <font>
          <sz val="9"/>
          <color auto="1"/>
          <name val="Arial"/>
          <family val="2"/>
          <scheme val="none"/>
        </font>
        <numFmt numFmtId="3" formatCode="#,##0"/>
      </dxf>
    </rfmt>
    <rfmt sheetId="20" s="1" sqref="L30" start="0" length="0">
      <dxf>
        <font>
          <sz val="9"/>
          <color auto="1"/>
          <name val="Arial"/>
          <family val="2"/>
          <scheme val="none"/>
        </font>
        <numFmt numFmtId="181" formatCode="_(* #,##0_);_(* \(#,##0\);_(* &quot;-&quot;??_);_(@_)"/>
      </dxf>
    </rfmt>
    <rfmt sheetId="20" s="1" sqref="L31" start="0" length="0">
      <dxf>
        <font>
          <sz val="9"/>
          <color auto="1"/>
          <name val="Arial"/>
          <family val="2"/>
          <scheme val="none"/>
        </font>
        <numFmt numFmtId="181" formatCode="_(* #,##0_);_(* \(#,##0\);_(* &quot;-&quot;??_);_(@_)"/>
      </dxf>
    </rfmt>
    <rfmt sheetId="20" s="1" sqref="L32" start="0" length="0">
      <dxf>
        <font>
          <sz val="9"/>
          <color auto="1"/>
          <name val="Arial"/>
          <family val="2"/>
          <scheme val="none"/>
        </font>
        <numFmt numFmtId="181" formatCode="_(* #,##0_);_(* \(#,##0\);_(* &quot;-&quot;??_);_(@_)"/>
      </dxf>
    </rfmt>
    <rfmt sheetId="20" s="1" sqref="L33" start="0" length="0">
      <dxf>
        <numFmt numFmtId="181" formatCode="_(* #,##0_);_(* \(#,##0\);_(* &quot;-&quot;??_);_(@_)"/>
      </dxf>
    </rfmt>
    <rfmt sheetId="20" s="1" sqref="L34" start="0" length="0">
      <dxf>
        <numFmt numFmtId="181" formatCode="_(* #,##0_);_(* \(#,##0\);_(* &quot;-&quot;??_);_(@_)"/>
      </dxf>
    </rfmt>
    <rfmt sheetId="20" sqref="L35" start="0" length="0">
      <dxf>
        <numFmt numFmtId="3" formatCode="#,##0"/>
      </dxf>
    </rfmt>
    <rfmt sheetId="20" sqref="L36" start="0" length="0">
      <dxf>
        <numFmt numFmtId="170" formatCode="0.000"/>
        <alignment horizontal="general"/>
      </dxf>
    </rfmt>
    <rfmt sheetId="20" sqref="L37" start="0" length="0">
      <dxf>
        <numFmt numFmtId="3" formatCode="#,##0"/>
        <alignment horizontal="general"/>
      </dxf>
    </rfmt>
    <rfmt sheetId="20" sqref="L38" start="0" length="0">
      <dxf>
        <numFmt numFmtId="3" formatCode="#,##0"/>
        <alignment horizontal="general"/>
      </dxf>
    </rfmt>
    <rfmt sheetId="20" sqref="L39" start="0" length="0">
      <dxf>
        <numFmt numFmtId="3" formatCode="#,##0"/>
        <alignment horizontal="general"/>
      </dxf>
    </rfmt>
    <rfmt sheetId="20" sqref="L40" start="0" length="0">
      <dxf>
        <numFmt numFmtId="3" formatCode="#,##0"/>
        <alignment horizontal="general"/>
      </dxf>
    </rfmt>
    <rfmt sheetId="20" sqref="L41" start="0" length="0">
      <dxf>
        <font>
          <b/>
          <sz val="9"/>
          <color theme="1"/>
          <name val="Arial"/>
          <family val="2"/>
          <scheme val="none"/>
        </font>
        <numFmt numFmtId="3" formatCode="#,##0"/>
        <fill>
          <patternFill patternType="solid">
            <bgColor theme="9"/>
          </patternFill>
        </fill>
        <alignment horizontal="general" vertical="bottom"/>
      </dxf>
    </rfmt>
    <rfmt sheetId="20" sqref="L42" start="0" length="0">
      <dxf>
        <alignment horizontal="general" vertical="bottom"/>
      </dxf>
    </rfmt>
    <rfmt sheetId="20" sqref="L43" start="0" length="0">
      <dxf>
        <numFmt numFmtId="3" formatCode="#,##0"/>
      </dxf>
    </rfmt>
    <rfmt sheetId="20" sqref="L44" start="0" length="0">
      <dxf/>
    </rfmt>
    <rfmt sheetId="20" sqref="L45" start="0" length="0">
      <dxf/>
    </rfmt>
    <rfmt sheetId="20" sqref="L46" start="0" length="0">
      <dxf>
        <numFmt numFmtId="3" formatCode="#,##0"/>
      </dxf>
    </rfmt>
    <rfmt sheetId="20" sqref="L47" start="0" length="0">
      <dxf/>
    </rfmt>
    <rfmt sheetId="20" sqref="L48" start="0" length="0">
      <dxf/>
    </rfmt>
    <rfmt sheetId="20" sqref="L49" start="0" length="0">
      <dxf/>
    </rfmt>
    <rfmt sheetId="20" sqref="L50" start="0" length="0">
      <dxf/>
    </rfmt>
  </rrc>
  <rrc rId="1371" sId="20" ref="L1:L1048576" action="deleteCol">
    <rfmt sheetId="20" xfDxf="1" sqref="L1:L1048576" start="0" length="0">
      <dxf/>
    </rfmt>
    <rfmt sheetId="20" sqref="L1" start="0" length="0">
      <dxf>
        <alignment horizontal="center" vertical="bottom"/>
      </dxf>
    </rfmt>
    <rcc rId="0" sId="20" dxf="1">
      <nc r="L2" t="inlineStr">
        <is>
          <t>units</t>
        </is>
      </nc>
      <ndxf>
        <font>
          <b/>
          <sz val="9"/>
          <color auto="1"/>
          <name val="Arial"/>
          <family val="2"/>
          <scheme val="none"/>
        </font>
        <alignment horizontal="center" vertical="bottom"/>
      </ndxf>
    </rcc>
    <rfmt sheetId="20" sqref="L3" start="0" length="0">
      <dxf>
        <font>
          <b/>
          <sz val="9"/>
          <color auto="1"/>
          <name val="Arial"/>
          <family val="2"/>
          <scheme val="none"/>
        </font>
        <alignment horizontal="center" vertical="bottom"/>
      </dxf>
    </rfmt>
    <rfmt sheetId="20" sqref="L4" start="0" length="0">
      <dxf>
        <font>
          <sz val="9"/>
          <color theme="0"/>
          <name val="Arial"/>
          <family val="2"/>
          <scheme val="none"/>
        </font>
        <fill>
          <patternFill patternType="solid">
            <bgColor rgb="FF002060"/>
          </patternFill>
        </fill>
        <alignment vertical="bottom"/>
      </dxf>
    </rfmt>
    <rfmt sheetId="20" sqref="L5" start="0" length="0">
      <dxf/>
    </rfmt>
    <rfmt sheetId="20" sqref="L6" start="0" length="0">
      <dxf>
        <font>
          <b/>
          <sz val="9"/>
          <color auto="1"/>
          <name val="Arial"/>
          <family val="2"/>
          <scheme val="none"/>
        </font>
        <alignment vertical="bottom"/>
      </dxf>
    </rfmt>
    <rfmt sheetId="20" sqref="L7" start="0" length="0">
      <dxf>
        <font>
          <b/>
          <sz val="9"/>
          <color auto="1"/>
          <name val="Arial"/>
          <family val="2"/>
          <scheme val="none"/>
        </font>
        <alignment vertical="bottom"/>
      </dxf>
    </rfmt>
    <rfmt sheetId="20" sqref="L8" start="0" length="0">
      <dxf>
        <font>
          <b/>
          <sz val="9"/>
          <color auto="1"/>
          <name val="Arial"/>
          <family val="2"/>
          <scheme val="none"/>
        </font>
        <alignment vertical="bottom"/>
      </dxf>
    </rfmt>
    <rfmt sheetId="20" sqref="L9" start="0" length="0">
      <dxf>
        <font>
          <b/>
          <sz val="9"/>
          <color auto="1"/>
          <name val="Arial"/>
          <family val="2"/>
          <scheme val="none"/>
        </font>
        <alignment vertical="bottom"/>
      </dxf>
    </rfmt>
    <rfmt sheetId="20" sqref="L10" start="0" length="0">
      <dxf/>
    </rfmt>
    <rfmt sheetId="20" sqref="L11" start="0" length="0">
      <dxf>
        <font>
          <b/>
          <sz val="9"/>
          <color auto="1"/>
          <name val="Arial"/>
          <family val="2"/>
          <scheme val="none"/>
        </font>
        <alignment vertical="bottom"/>
      </dxf>
    </rfmt>
    <rfmt sheetId="20" sqref="L12" start="0" length="0">
      <dxf>
        <font>
          <b/>
          <sz val="9"/>
          <color auto="1"/>
          <name val="Arial"/>
          <family val="2"/>
          <scheme val="none"/>
        </font>
        <alignment vertical="bottom"/>
      </dxf>
    </rfmt>
    <rfmt sheetId="20" sqref="L13" start="0" length="0">
      <dxf>
        <font>
          <b/>
          <sz val="9"/>
          <color auto="1"/>
          <name val="Arial"/>
          <family val="2"/>
          <scheme val="none"/>
        </font>
        <alignment vertical="bottom"/>
      </dxf>
    </rfmt>
    <rfmt sheetId="20" sqref="L14" start="0" length="0">
      <dxf>
        <font>
          <b/>
          <sz val="9"/>
          <color auto="1"/>
          <name val="Arial"/>
          <family val="2"/>
          <scheme val="none"/>
        </font>
        <alignment vertical="bottom"/>
      </dxf>
    </rfmt>
    <rfmt sheetId="20" sqref="L15" start="0" length="0">
      <dxf>
        <font>
          <b/>
          <sz val="9"/>
          <color auto="1"/>
          <name val="Arial"/>
          <family val="2"/>
          <scheme val="none"/>
        </font>
        <alignment vertical="bottom"/>
      </dxf>
    </rfmt>
    <rfmt sheetId="20" sqref="L16" start="0" length="0">
      <dxf>
        <font>
          <b/>
          <sz val="9"/>
          <color auto="1"/>
          <name val="Arial"/>
          <family val="2"/>
          <scheme val="none"/>
        </font>
        <alignment vertical="bottom"/>
      </dxf>
    </rfmt>
    <rfmt sheetId="20" sqref="L17" start="0" length="0">
      <dxf>
        <font>
          <b/>
          <sz val="9"/>
          <color auto="1"/>
          <name val="Arial"/>
          <family val="2"/>
          <scheme val="none"/>
        </font>
        <alignment vertical="bottom"/>
      </dxf>
    </rfmt>
    <rfmt sheetId="20" sqref="L18" start="0" length="0">
      <dxf>
        <font>
          <b/>
          <sz val="9"/>
          <color auto="1"/>
          <name val="Arial"/>
          <family val="2"/>
          <scheme val="none"/>
        </font>
        <alignment vertical="bottom"/>
      </dxf>
    </rfmt>
    <rfmt sheetId="20" sqref="L19" start="0" length="0">
      <dxf>
        <font>
          <b/>
          <sz val="9"/>
          <color auto="1"/>
          <name val="Arial"/>
          <family val="2"/>
          <scheme val="none"/>
        </font>
        <alignment vertical="bottom"/>
      </dxf>
    </rfmt>
    <rfmt sheetId="20" sqref="L20" start="0" length="0">
      <dxf>
        <font>
          <b/>
          <sz val="9"/>
          <color auto="1"/>
          <name val="Arial"/>
          <family val="2"/>
          <scheme val="none"/>
        </font>
        <alignment vertical="bottom"/>
      </dxf>
    </rfmt>
    <rfmt sheetId="20" sqref="L21" start="0" length="0">
      <dxf>
        <font>
          <b/>
          <sz val="9"/>
          <color auto="1"/>
          <name val="Arial"/>
          <family val="2"/>
          <scheme val="none"/>
        </font>
        <alignment vertical="bottom"/>
      </dxf>
    </rfmt>
    <rfmt sheetId="20" sqref="L22" start="0" length="0">
      <dxf>
        <font>
          <b/>
          <sz val="9"/>
          <color auto="1"/>
          <name val="Arial"/>
          <family val="2"/>
          <scheme val="none"/>
        </font>
        <alignment vertical="bottom"/>
      </dxf>
    </rfmt>
    <rfmt sheetId="20" sqref="L23" start="0" length="0">
      <dxf>
        <font>
          <b/>
          <sz val="9"/>
          <color auto="1"/>
          <name val="Arial"/>
          <family val="2"/>
          <scheme val="none"/>
        </font>
        <alignment vertical="bottom"/>
      </dxf>
    </rfmt>
    <rfmt sheetId="20" sqref="L24" start="0" length="0">
      <dxf>
        <font>
          <b/>
          <sz val="9"/>
          <color auto="1"/>
          <name val="Arial"/>
          <family val="2"/>
          <scheme val="none"/>
        </font>
        <alignment vertical="bottom"/>
      </dxf>
    </rfmt>
    <rfmt sheetId="20" sqref="L25" start="0" length="0">
      <dxf>
        <font>
          <b/>
          <sz val="9"/>
          <color auto="1"/>
          <name val="Arial"/>
          <family val="2"/>
          <scheme val="none"/>
        </font>
        <alignment vertical="bottom"/>
      </dxf>
    </rfmt>
    <rfmt sheetId="20" sqref="L26" start="0" length="0">
      <dxf>
        <font>
          <b/>
          <sz val="9"/>
          <color auto="1"/>
          <name val="Arial"/>
          <family val="2"/>
          <scheme val="none"/>
        </font>
        <alignment vertical="bottom"/>
      </dxf>
    </rfmt>
    <rfmt sheetId="20" sqref="L27" start="0" length="0">
      <dxf/>
    </rfmt>
    <rfmt sheetId="20" sqref="L28" start="0" length="0">
      <dxf>
        <numFmt numFmtId="3" formatCode="#,##0"/>
        <fill>
          <patternFill patternType="solid">
            <bgColor rgb="FF0070C0"/>
          </patternFill>
        </fill>
      </dxf>
    </rfmt>
    <rfmt sheetId="20" sqref="L29" start="0" length="0">
      <dxf>
        <numFmt numFmtId="3" formatCode="#,##0"/>
      </dxf>
    </rfmt>
    <rfmt sheetId="20" sqref="L30" start="0" length="0">
      <dxf/>
    </rfmt>
    <rfmt sheetId="20" sqref="L31" start="0" length="0">
      <dxf/>
    </rfmt>
    <rfmt sheetId="20" sqref="L32" start="0" length="0">
      <dxf/>
    </rfmt>
    <rfmt sheetId="20" sqref="L35" start="0" length="0">
      <dxf/>
    </rfmt>
    <rfmt sheetId="20" sqref="L36" start="0" length="0">
      <dxf>
        <numFmt numFmtId="30" formatCode="@"/>
      </dxf>
    </rfmt>
    <rfmt sheetId="20" sqref="L37" start="0" length="0">
      <dxf>
        <numFmt numFmtId="3" formatCode="#,##0"/>
      </dxf>
    </rfmt>
    <rfmt sheetId="20" sqref="L38" start="0" length="0">
      <dxf>
        <numFmt numFmtId="3" formatCode="#,##0"/>
      </dxf>
    </rfmt>
    <rfmt sheetId="20" sqref="L39" start="0" length="0">
      <dxf>
        <font>
          <sz val="9"/>
          <color auto="1"/>
          <name val="Arial"/>
          <family val="2"/>
          <scheme val="none"/>
        </font>
        <numFmt numFmtId="3" formatCode="#,##0"/>
      </dxf>
    </rfmt>
    <rfmt sheetId="20" sqref="L40" start="0" length="0">
      <dxf>
        <font>
          <sz val="9"/>
          <color auto="1"/>
          <name val="Arial"/>
          <family val="2"/>
          <scheme val="none"/>
        </font>
        <numFmt numFmtId="3" formatCode="#,##0"/>
      </dxf>
    </rfmt>
    <rfmt sheetId="20" sqref="L41" start="0" length="0">
      <dxf>
        <font>
          <b/>
          <sz val="9"/>
          <color theme="1"/>
          <name val="Arial"/>
          <family val="2"/>
          <scheme val="none"/>
        </font>
        <fill>
          <patternFill patternType="solid">
            <bgColor theme="9"/>
          </patternFill>
        </fill>
      </dxf>
    </rfmt>
    <rfmt sheetId="20" sqref="L42" start="0" length="0">
      <dxf>
        <alignment vertical="bottom"/>
      </dxf>
    </rfmt>
    <rfmt sheetId="20" sqref="L43" start="0" length="0">
      <dxf/>
    </rfmt>
    <rfmt sheetId="20" sqref="L44" start="0" length="0">
      <dxf/>
    </rfmt>
    <rfmt sheetId="20" sqref="L45" start="0" length="0">
      <dxf/>
    </rfmt>
    <rfmt sheetId="20" sqref="L46" start="0" length="0">
      <dxf>
        <font>
          <sz val="9"/>
          <color auto="1"/>
          <name val="Arial"/>
          <family val="2"/>
          <scheme val="none"/>
        </font>
      </dxf>
    </rfmt>
    <rfmt sheetId="20" sqref="L47" start="0" length="0">
      <dxf/>
    </rfmt>
    <rfmt sheetId="20" sqref="L48" start="0" length="0">
      <dxf/>
    </rfmt>
    <rfmt sheetId="20" sqref="L49" start="0" length="0">
      <dxf/>
    </rfmt>
    <rfmt sheetId="20" sqref="L50" start="0" length="0">
      <dxf/>
    </rfmt>
  </rrc>
  <rrc rId="1372" sId="20" ref="L1:L1048576" action="deleteCol">
    <rfmt sheetId="20" xfDxf="1" sqref="L1:L1048576" start="0" length="0">
      <dxf>
        <alignment horizontal="left"/>
      </dxf>
    </rfmt>
    <rfmt sheetId="20" sqref="L1" start="0" length="0">
      <dxf>
        <alignment horizontal="center" vertical="bottom"/>
      </dxf>
    </rfmt>
    <rcc rId="0" sId="20" dxf="1">
      <nc r="L2" t="inlineStr">
        <is>
          <t>call no.</t>
        </is>
      </nc>
      <ndxf>
        <font>
          <b/>
          <sz val="9"/>
          <color auto="1"/>
          <name val="Arial"/>
          <family val="2"/>
          <scheme val="none"/>
        </font>
        <alignment horizontal="center" vertical="bottom"/>
      </ndxf>
    </rcc>
    <rfmt sheetId="20" sqref="L3" start="0" length="0">
      <dxf>
        <font>
          <b/>
          <sz val="9"/>
          <color auto="1"/>
          <name val="Arial"/>
          <family val="2"/>
          <scheme val="none"/>
        </font>
        <alignment horizontal="center" vertical="bottom"/>
      </dxf>
    </rfmt>
    <rfmt sheetId="20" sqref="L4" start="0" length="0">
      <dxf>
        <font>
          <sz val="9"/>
          <color theme="0"/>
          <name val="Arial"/>
          <family val="2"/>
          <scheme val="none"/>
        </font>
        <fill>
          <patternFill patternType="solid">
            <bgColor rgb="FF002060"/>
          </patternFill>
        </fill>
        <alignment vertical="bottom"/>
      </dxf>
    </rfmt>
    <rfmt sheetId="20" sqref="L5" start="0" length="0">
      <dxf/>
    </rfmt>
    <rfmt sheetId="20" sqref="L6" start="0" length="0">
      <dxf>
        <font>
          <b/>
          <sz val="9"/>
          <color auto="1"/>
          <name val="Arial"/>
          <family val="2"/>
          <scheme val="none"/>
        </font>
        <alignment horizontal="general" vertical="bottom"/>
      </dxf>
    </rfmt>
    <rfmt sheetId="20" sqref="L7" start="0" length="0">
      <dxf>
        <font>
          <b/>
          <sz val="9"/>
          <color auto="1"/>
          <name val="Arial"/>
          <family val="2"/>
          <scheme val="none"/>
        </font>
        <alignment horizontal="general" vertical="bottom"/>
      </dxf>
    </rfmt>
    <rfmt sheetId="20" sqref="L8" start="0" length="0">
      <dxf>
        <font>
          <b/>
          <sz val="9"/>
          <color auto="1"/>
          <name val="Arial"/>
          <family val="2"/>
          <scheme val="none"/>
        </font>
        <alignment horizontal="general" vertical="bottom"/>
      </dxf>
    </rfmt>
    <rfmt sheetId="20" sqref="L9" start="0" length="0">
      <dxf>
        <font>
          <b/>
          <sz val="9"/>
          <color auto="1"/>
          <name val="Arial"/>
          <family val="2"/>
          <scheme val="none"/>
        </font>
        <alignment horizontal="general" vertical="bottom"/>
      </dxf>
    </rfmt>
    <rfmt sheetId="20" sqref="L10" start="0" length="0">
      <dxf>
        <numFmt numFmtId="30" formatCode="@"/>
      </dxf>
    </rfmt>
    <rfmt sheetId="20" sqref="L11" start="0" length="0">
      <dxf>
        <font>
          <b/>
          <sz val="9"/>
          <color auto="1"/>
          <name val="Arial"/>
          <family val="2"/>
          <scheme val="none"/>
        </font>
        <alignment horizontal="general" vertical="bottom"/>
      </dxf>
    </rfmt>
    <rfmt sheetId="20" sqref="L12" start="0" length="0">
      <dxf>
        <font>
          <b/>
          <sz val="9"/>
          <color auto="1"/>
          <name val="Arial"/>
          <family val="2"/>
          <scheme val="none"/>
        </font>
        <alignment horizontal="general" vertical="bottom"/>
      </dxf>
    </rfmt>
    <rfmt sheetId="20" sqref="L13" start="0" length="0">
      <dxf>
        <font>
          <b/>
          <sz val="9"/>
          <color auto="1"/>
          <name val="Arial"/>
          <family val="2"/>
          <scheme val="none"/>
        </font>
        <alignment horizontal="general" vertical="bottom"/>
      </dxf>
    </rfmt>
    <rfmt sheetId="20" sqref="L14" start="0" length="0">
      <dxf>
        <font>
          <b/>
          <sz val="9"/>
          <color auto="1"/>
          <name val="Arial"/>
          <family val="2"/>
          <scheme val="none"/>
        </font>
        <alignment horizontal="general" vertical="bottom"/>
      </dxf>
    </rfmt>
    <rfmt sheetId="20" sqref="L15" start="0" length="0">
      <dxf>
        <font>
          <b/>
          <sz val="9"/>
          <color auto="1"/>
          <name val="Arial"/>
          <family val="2"/>
          <scheme val="none"/>
        </font>
        <alignment horizontal="general" vertical="bottom"/>
      </dxf>
    </rfmt>
    <rfmt sheetId="20" sqref="L16" start="0" length="0">
      <dxf>
        <font>
          <b/>
          <sz val="9"/>
          <color auto="1"/>
          <name val="Arial"/>
          <family val="2"/>
          <scheme val="none"/>
        </font>
        <alignment horizontal="general" vertical="bottom"/>
      </dxf>
    </rfmt>
    <rfmt sheetId="20" sqref="L17" start="0" length="0">
      <dxf>
        <font>
          <b/>
          <sz val="9"/>
          <color auto="1"/>
          <name val="Arial"/>
          <family val="2"/>
          <scheme val="none"/>
        </font>
        <alignment horizontal="general" vertical="bottom"/>
      </dxf>
    </rfmt>
    <rfmt sheetId="20" sqref="L18" start="0" length="0">
      <dxf>
        <font>
          <b/>
          <sz val="9"/>
          <color auto="1"/>
          <name val="Arial"/>
          <family val="2"/>
          <scheme val="none"/>
        </font>
        <alignment horizontal="general" vertical="bottom"/>
      </dxf>
    </rfmt>
    <rfmt sheetId="20" sqref="L19" start="0" length="0">
      <dxf>
        <font>
          <b/>
          <sz val="9"/>
          <color auto="1"/>
          <name val="Arial"/>
          <family val="2"/>
          <scheme val="none"/>
        </font>
        <alignment horizontal="general" vertical="bottom"/>
      </dxf>
    </rfmt>
    <rfmt sheetId="20" sqref="L20" start="0" length="0">
      <dxf>
        <font>
          <b/>
          <sz val="9"/>
          <color auto="1"/>
          <name val="Arial"/>
          <family val="2"/>
          <scheme val="none"/>
        </font>
        <alignment horizontal="general" vertical="bottom"/>
      </dxf>
    </rfmt>
    <rfmt sheetId="20" sqref="L21" start="0" length="0">
      <dxf>
        <font>
          <b/>
          <sz val="9"/>
          <color auto="1"/>
          <name val="Arial"/>
          <family val="2"/>
          <scheme val="none"/>
        </font>
        <alignment horizontal="general" vertical="bottom"/>
      </dxf>
    </rfmt>
    <rfmt sheetId="20" sqref="L22" start="0" length="0">
      <dxf>
        <font>
          <b/>
          <sz val="9"/>
          <color auto="1"/>
          <name val="Arial"/>
          <family val="2"/>
          <scheme val="none"/>
        </font>
        <alignment horizontal="general" vertical="bottom"/>
      </dxf>
    </rfmt>
    <rfmt sheetId="20" sqref="L23" start="0" length="0">
      <dxf>
        <font>
          <b/>
          <sz val="9"/>
          <color auto="1"/>
          <name val="Arial"/>
          <family val="2"/>
          <scheme val="none"/>
        </font>
        <alignment horizontal="general" vertical="bottom"/>
      </dxf>
    </rfmt>
    <rfmt sheetId="20" sqref="L24" start="0" length="0">
      <dxf>
        <font>
          <b/>
          <sz val="9"/>
          <color auto="1"/>
          <name val="Arial"/>
          <family val="2"/>
          <scheme val="none"/>
        </font>
        <alignment horizontal="general" vertical="bottom"/>
      </dxf>
    </rfmt>
    <rfmt sheetId="20" sqref="L25" start="0" length="0">
      <dxf>
        <font>
          <b/>
          <sz val="9"/>
          <color auto="1"/>
          <name val="Arial"/>
          <family val="2"/>
          <scheme val="none"/>
        </font>
        <alignment horizontal="general" vertical="bottom"/>
      </dxf>
    </rfmt>
    <rfmt sheetId="20" sqref="L26" start="0" length="0">
      <dxf>
        <font>
          <b/>
          <sz val="9"/>
          <color auto="1"/>
          <name val="Arial"/>
          <family val="2"/>
          <scheme val="none"/>
        </font>
        <alignment horizontal="general" vertical="bottom"/>
      </dxf>
    </rfmt>
    <rfmt sheetId="20" sqref="L27" start="0" length="0">
      <dxf>
        <numFmt numFmtId="30" formatCode="@"/>
      </dxf>
    </rfmt>
    <rfmt sheetId="20" sqref="L28" start="0" length="0">
      <dxf>
        <numFmt numFmtId="30" formatCode="@"/>
        <fill>
          <patternFill patternType="solid">
            <bgColor rgb="FF0070C0"/>
          </patternFill>
        </fill>
      </dxf>
    </rfmt>
    <rfmt sheetId="20" sqref="L29" start="0" length="0">
      <dxf>
        <numFmt numFmtId="30" formatCode="@"/>
      </dxf>
    </rfmt>
    <rfmt sheetId="20" sqref="L30" start="0" length="0">
      <dxf>
        <numFmt numFmtId="30" formatCode="@"/>
      </dxf>
    </rfmt>
    <rfmt sheetId="20" sqref="L31" start="0" length="0">
      <dxf>
        <numFmt numFmtId="30" formatCode="@"/>
      </dxf>
    </rfmt>
    <rfmt sheetId="20" sqref="L32" start="0" length="0">
      <dxf>
        <numFmt numFmtId="30" formatCode="@"/>
      </dxf>
    </rfmt>
    <rfmt sheetId="20" sqref="L33" start="0" length="0">
      <dxf>
        <numFmt numFmtId="30" formatCode="@"/>
      </dxf>
    </rfmt>
    <rfmt sheetId="20" sqref="L34" start="0" length="0">
      <dxf>
        <numFmt numFmtId="30" formatCode="@"/>
      </dxf>
    </rfmt>
    <rfmt sheetId="20" sqref="L35" start="0" length="0">
      <dxf>
        <numFmt numFmtId="30" formatCode="@"/>
      </dxf>
    </rfmt>
    <rfmt sheetId="20" sqref="L36" start="0" length="0">
      <dxf>
        <numFmt numFmtId="170" formatCode="0.000"/>
      </dxf>
    </rfmt>
    <rfmt sheetId="20" sqref="L37" start="0" length="0">
      <dxf>
        <numFmt numFmtId="30" formatCode="@"/>
      </dxf>
    </rfmt>
    <rfmt sheetId="20" sqref="L38" start="0" length="0">
      <dxf>
        <numFmt numFmtId="30" formatCode="@"/>
      </dxf>
    </rfmt>
    <rfmt sheetId="20" sqref="L39" start="0" length="0">
      <dxf>
        <numFmt numFmtId="30" formatCode="@"/>
      </dxf>
    </rfmt>
    <rfmt sheetId="20" sqref="L40" start="0" length="0">
      <dxf/>
    </rfmt>
    <rfmt sheetId="20" sqref="L41" start="0" length="0">
      <dxf>
        <font>
          <sz val="9"/>
          <color auto="1"/>
          <name val="Arial"/>
          <family val="2"/>
          <scheme val="none"/>
        </font>
        <fill>
          <patternFill patternType="solid">
            <bgColor theme="9"/>
          </patternFill>
        </fill>
        <alignment vertical="bottom"/>
      </dxf>
    </rfmt>
    <rfmt sheetId="20" sqref="L42" start="0" length="0">
      <dxf>
        <alignment vertical="bottom"/>
      </dxf>
    </rfmt>
    <rfmt sheetId="20" sqref="L43" start="0" length="0">
      <dxf/>
    </rfmt>
    <rfmt sheetId="20" sqref="L44" start="0" length="0">
      <dxf/>
    </rfmt>
    <rfmt sheetId="20" sqref="L45" start="0" length="0">
      <dxf/>
    </rfmt>
    <rfmt sheetId="20" sqref="L46" start="0" length="0">
      <dxf>
        <numFmt numFmtId="30" formatCode="@"/>
      </dxf>
    </rfmt>
    <rfmt sheetId="20" sqref="L47" start="0" length="0">
      <dxf>
        <numFmt numFmtId="30" formatCode="@"/>
      </dxf>
    </rfmt>
    <rfmt sheetId="20" sqref="L48" start="0" length="0">
      <dxf/>
    </rfmt>
    <rfmt sheetId="20" sqref="L49" start="0" length="0">
      <dxf/>
    </rfmt>
    <rfmt sheetId="20" sqref="L50" start="0" length="0">
      <dxf/>
    </rfmt>
  </rrc>
  <rrc rId="1373" sId="20" ref="L1:L1048576" action="deleteCol">
    <rfmt sheetId="20" xfDxf="1" sqref="L1:L1048576" start="0" length="0">
      <dxf>
        <alignment horizontal="left"/>
      </dxf>
    </rfmt>
    <rfmt sheetId="20" sqref="L1" start="0" length="0">
      <dxf>
        <alignment horizontal="center" vertical="bottom"/>
      </dxf>
    </rfmt>
    <rcc rId="0" sId="20" dxf="1">
      <nc r="L2" t="inlineStr">
        <is>
          <t>notes</t>
        </is>
      </nc>
      <ndxf>
        <font>
          <b/>
          <sz val="9"/>
          <color auto="1"/>
          <name val="Arial"/>
          <family val="2"/>
          <scheme val="none"/>
        </font>
        <alignment horizontal="center" vertical="bottom"/>
      </ndxf>
    </rcc>
    <rfmt sheetId="20" sqref="L3" start="0" length="0">
      <dxf>
        <font>
          <b/>
          <sz val="9"/>
          <color auto="1"/>
          <name val="Arial"/>
          <family val="2"/>
          <scheme val="none"/>
        </font>
        <alignment horizontal="center" vertical="bottom"/>
      </dxf>
    </rfmt>
    <rfmt sheetId="20" sqref="L4" start="0" length="0">
      <dxf>
        <font>
          <sz val="9"/>
          <color theme="0"/>
          <name val="Arial"/>
          <family val="2"/>
          <scheme val="none"/>
        </font>
        <fill>
          <patternFill patternType="solid">
            <bgColor rgb="FF002060"/>
          </patternFill>
        </fill>
        <alignment vertical="bottom"/>
      </dxf>
    </rfmt>
    <rfmt sheetId="20" sqref="L5" start="0" length="0">
      <dxf/>
    </rfmt>
    <rfmt sheetId="20" sqref="L6" start="0" length="0">
      <dxf>
        <font>
          <b/>
          <sz val="9"/>
          <color auto="1"/>
          <name val="Arial"/>
          <family val="2"/>
          <scheme val="none"/>
        </font>
        <alignment horizontal="general" vertical="bottom"/>
      </dxf>
    </rfmt>
    <rfmt sheetId="20" sqref="L7" start="0" length="0">
      <dxf>
        <font>
          <b/>
          <sz val="9"/>
          <color auto="1"/>
          <name val="Arial"/>
          <family val="2"/>
          <scheme val="none"/>
        </font>
        <alignment horizontal="general" vertical="bottom"/>
      </dxf>
    </rfmt>
    <rfmt sheetId="20" sqref="L8" start="0" length="0">
      <dxf>
        <font>
          <b/>
          <sz val="9"/>
          <color auto="1"/>
          <name val="Arial"/>
          <family val="2"/>
          <scheme val="none"/>
        </font>
        <alignment horizontal="general" vertical="bottom"/>
      </dxf>
    </rfmt>
    <rfmt sheetId="20" sqref="L9" start="0" length="0">
      <dxf>
        <font>
          <b/>
          <sz val="9"/>
          <color auto="1"/>
          <name val="Arial"/>
          <family val="2"/>
          <scheme val="none"/>
        </font>
        <alignment horizontal="general" vertical="bottom"/>
      </dxf>
    </rfmt>
    <rfmt sheetId="20" sqref="L10" start="0" length="0">
      <dxf>
        <alignment vertical="bottom"/>
      </dxf>
    </rfmt>
    <rfmt sheetId="20" sqref="L11" start="0" length="0">
      <dxf>
        <font>
          <b/>
          <sz val="9"/>
          <color auto="1"/>
          <name val="Arial"/>
          <family val="2"/>
          <scheme val="none"/>
        </font>
        <alignment vertical="bottom"/>
      </dxf>
    </rfmt>
    <rfmt sheetId="20" sqref="L12" start="0" length="0">
      <dxf>
        <font>
          <b/>
          <sz val="9"/>
          <color auto="1"/>
          <name val="Arial"/>
          <family val="2"/>
          <scheme val="none"/>
        </font>
        <alignment vertical="bottom"/>
      </dxf>
    </rfmt>
    <rfmt sheetId="20" sqref="L13" start="0" length="0">
      <dxf>
        <font>
          <b/>
          <sz val="9"/>
          <color auto="1"/>
          <name val="Arial"/>
          <family val="2"/>
          <scheme val="none"/>
        </font>
        <alignment vertical="bottom"/>
      </dxf>
    </rfmt>
    <rfmt sheetId="20" sqref="L14" start="0" length="0">
      <dxf>
        <font>
          <b/>
          <sz val="9"/>
          <color auto="1"/>
          <name val="Arial"/>
          <family val="2"/>
          <scheme val="none"/>
        </font>
        <alignment vertical="bottom"/>
      </dxf>
    </rfmt>
    <rfmt sheetId="20" sqref="L15" start="0" length="0">
      <dxf>
        <font>
          <b/>
          <sz val="9"/>
          <color auto="1"/>
          <name val="Arial"/>
          <family val="2"/>
          <scheme val="none"/>
        </font>
        <alignment vertical="bottom"/>
      </dxf>
    </rfmt>
    <rfmt sheetId="20" sqref="L16" start="0" length="0">
      <dxf>
        <font>
          <b/>
          <sz val="9"/>
          <color auto="1"/>
          <name val="Arial"/>
          <family val="2"/>
          <scheme val="none"/>
        </font>
        <alignment vertical="bottom"/>
      </dxf>
    </rfmt>
    <rfmt sheetId="20" sqref="L17" start="0" length="0">
      <dxf>
        <font>
          <b/>
          <sz val="9"/>
          <color auto="1"/>
          <name val="Arial"/>
          <family val="2"/>
          <scheme val="none"/>
        </font>
        <alignment vertical="bottom"/>
      </dxf>
    </rfmt>
    <rfmt sheetId="20" sqref="L18" start="0" length="0">
      <dxf>
        <font>
          <b/>
          <sz val="9"/>
          <color auto="1"/>
          <name val="Arial"/>
          <family val="2"/>
          <scheme val="none"/>
        </font>
        <alignment vertical="bottom"/>
      </dxf>
    </rfmt>
    <rfmt sheetId="20" sqref="L19" start="0" length="0">
      <dxf>
        <font>
          <b/>
          <sz val="9"/>
          <color auto="1"/>
          <name val="Arial"/>
          <family val="2"/>
          <scheme val="none"/>
        </font>
        <alignment vertical="bottom"/>
      </dxf>
    </rfmt>
    <rfmt sheetId="20" s="1" sqref="L20" start="0" length="0">
      <dxf>
        <font>
          <u/>
          <sz val="9"/>
          <color theme="10"/>
          <name val="Arial"/>
          <family val="2"/>
          <scheme val="none"/>
        </font>
        <numFmt numFmtId="3" formatCode="#,##0"/>
        <alignment horizontal="right"/>
        <border outline="0">
          <left style="thin">
            <color indexed="64"/>
          </left>
        </border>
      </dxf>
    </rfmt>
    <rfmt sheetId="20" sqref="L21" start="0" length="0">
      <dxf>
        <numFmt numFmtId="30" formatCode="@"/>
      </dxf>
    </rfmt>
    <rfmt sheetId="20" sqref="L22" start="0" length="0">
      <dxf>
        <numFmt numFmtId="30" formatCode="@"/>
      </dxf>
    </rfmt>
    <rfmt sheetId="20" sqref="L23" start="0" length="0">
      <dxf>
        <numFmt numFmtId="30" formatCode="@"/>
      </dxf>
    </rfmt>
    <rfmt sheetId="20" sqref="L24" start="0" length="0">
      <dxf>
        <numFmt numFmtId="30" formatCode="@"/>
      </dxf>
    </rfmt>
    <rfmt sheetId="20" sqref="L25" start="0" length="0">
      <dxf>
        <font>
          <b/>
          <sz val="9"/>
          <color auto="1"/>
          <name val="Arial"/>
          <family val="2"/>
          <scheme val="none"/>
        </font>
        <alignment vertical="bottom"/>
      </dxf>
    </rfmt>
    <rfmt sheetId="20" sqref="L26" start="0" length="0">
      <dxf>
        <font>
          <b/>
          <sz val="9"/>
          <color auto="1"/>
          <name val="Arial"/>
          <family val="2"/>
          <scheme val="none"/>
        </font>
        <alignment vertical="bottom"/>
      </dxf>
    </rfmt>
    <rfmt sheetId="20" sqref="L27" start="0" length="0">
      <dxf>
        <font>
          <b/>
          <sz val="9"/>
          <color auto="1"/>
          <name val="Arial"/>
          <family val="2"/>
          <scheme val="none"/>
        </font>
        <alignment vertical="bottom"/>
      </dxf>
    </rfmt>
    <rfmt sheetId="20" sqref="L28" start="0" length="0">
      <dxf>
        <numFmt numFmtId="30" formatCode="@"/>
        <fill>
          <patternFill patternType="solid">
            <bgColor rgb="FF0070C0"/>
          </patternFill>
        </fill>
      </dxf>
    </rfmt>
    <rfmt sheetId="20" sqref="L29" start="0" length="0">
      <dxf>
        <numFmt numFmtId="30" formatCode="@"/>
      </dxf>
    </rfmt>
    <rfmt sheetId="20" sqref="L30" start="0" length="0">
      <dxf>
        <numFmt numFmtId="30" formatCode="@"/>
      </dxf>
    </rfmt>
    <rfmt sheetId="20" sqref="L31" start="0" length="0">
      <dxf>
        <numFmt numFmtId="30" formatCode="@"/>
      </dxf>
    </rfmt>
    <rfmt sheetId="20" sqref="L32" start="0" length="0">
      <dxf>
        <numFmt numFmtId="30" formatCode="@"/>
      </dxf>
    </rfmt>
    <rfmt sheetId="20" sqref="L33" start="0" length="0">
      <dxf>
        <numFmt numFmtId="30" formatCode="@"/>
      </dxf>
    </rfmt>
    <rfmt sheetId="20" sqref="L34" start="0" length="0">
      <dxf>
        <numFmt numFmtId="30" formatCode="@"/>
      </dxf>
    </rfmt>
    <rfmt sheetId="20" sqref="L35" start="0" length="0">
      <dxf>
        <numFmt numFmtId="30" formatCode="@"/>
      </dxf>
    </rfmt>
    <rfmt sheetId="20" sqref="L36" start="0" length="0">
      <dxf>
        <numFmt numFmtId="170" formatCode="0.000"/>
      </dxf>
    </rfmt>
    <rfmt sheetId="20" sqref="L37" start="0" length="0">
      <dxf>
        <numFmt numFmtId="30" formatCode="@"/>
      </dxf>
    </rfmt>
    <rfmt sheetId="20" sqref="L38" start="0" length="0">
      <dxf>
        <numFmt numFmtId="30" formatCode="@"/>
      </dxf>
    </rfmt>
    <rfmt sheetId="20" sqref="L39" start="0" length="0">
      <dxf>
        <numFmt numFmtId="30" formatCode="@"/>
      </dxf>
    </rfmt>
    <rfmt sheetId="20" sqref="L40" start="0" length="0">
      <dxf/>
    </rfmt>
    <rfmt sheetId="20" sqref="L41" start="0" length="0">
      <dxf>
        <fill>
          <patternFill patternType="solid">
            <bgColor theme="9"/>
          </patternFill>
        </fill>
        <alignment vertical="bottom"/>
      </dxf>
    </rfmt>
    <rfmt sheetId="20" sqref="L42" start="0" length="0">
      <dxf>
        <alignment vertical="bottom"/>
      </dxf>
    </rfmt>
    <rfmt sheetId="20" sqref="L43" start="0" length="0">
      <dxf/>
    </rfmt>
    <rfmt sheetId="20" sqref="L44" start="0" length="0">
      <dxf/>
    </rfmt>
    <rfmt sheetId="20" sqref="L45" start="0" length="0">
      <dxf/>
    </rfmt>
    <rfmt sheetId="20" sqref="L46" start="0" length="0">
      <dxf>
        <numFmt numFmtId="30" formatCode="@"/>
      </dxf>
    </rfmt>
    <rfmt sheetId="20" sqref="L47" start="0" length="0">
      <dxf>
        <numFmt numFmtId="30" formatCode="@"/>
      </dxf>
    </rfmt>
    <rfmt sheetId="20" sqref="L48" start="0" length="0">
      <dxf/>
    </rfmt>
    <rfmt sheetId="20" sqref="L49" start="0" length="0">
      <dxf/>
    </rfmt>
    <rfmt sheetId="20" sqref="L50" start="0" length="0">
      <dxf/>
    </rfmt>
  </rrc>
  <rfmt sheetId="20" sqref="N1:N1048576" start="0" length="0">
    <dxf>
      <border>
        <right/>
      </border>
    </dxf>
  </rfmt>
  <rfmt sheetId="20" sqref="D1:D1048576" start="0" length="0">
    <dxf>
      <border>
        <right/>
      </border>
    </dxf>
  </rfmt>
  <rfmt sheetId="20" sqref="U1:U1048576" start="0" length="0">
    <dxf>
      <border>
        <right/>
      </border>
    </dxf>
  </rfmt>
  <rfmt sheetId="20" sqref="AB1:AB1048576" start="0" length="0">
    <dxf>
      <border>
        <right/>
      </border>
    </dxf>
  </rfmt>
  <rfmt sheetId="20" sqref="AG1:AG1048576" start="0" length="0">
    <dxf>
      <border>
        <right/>
      </border>
    </dxf>
  </rfmt>
  <rfmt sheetId="20" sqref="AF4" start="0" length="0">
    <dxf>
      <font>
        <b/>
        <sz val="9"/>
        <color theme="0"/>
        <name val="Arial"/>
        <family val="2"/>
        <scheme val="none"/>
      </font>
      <numFmt numFmtId="30" formatCode="@"/>
      <fill>
        <patternFill patternType="solid">
          <bgColor rgb="FF002060"/>
        </patternFill>
      </fill>
      <border outline="0">
        <right/>
      </border>
    </dxf>
  </rfmt>
  <rfmt sheetId="20" sqref="B5:K5">
    <dxf>
      <fill>
        <patternFill patternType="none">
          <bgColor auto="1"/>
        </patternFill>
      </fill>
    </dxf>
  </rfmt>
  <rfmt sheetId="20" sqref="D1:D1048576" start="0" length="0">
    <dxf>
      <border>
        <right style="thin">
          <color auto="1"/>
        </right>
      </border>
    </dxf>
  </rfmt>
  <rcc rId="1374" sId="20">
    <nc r="B1" t="inlineStr">
      <is>
        <t>Tonnage</t>
      </is>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5" sqref="J15:J16">
    <dxf>
      <fill>
        <patternFill patternType="none">
          <bgColor auto="1"/>
        </patternFill>
      </fill>
    </dxf>
  </rfmt>
  <rfmt sheetId="15" sqref="J10">
    <dxf>
      <fill>
        <patternFill patternType="none">
          <bgColor auto="1"/>
        </patternFill>
      </fill>
    </dxf>
  </rfmt>
  <rrc rId="1380" sId="15" ref="A18:XFD18" action="deleteRow">
    <rfmt sheetId="15" xfDxf="1" sqref="A18:XFD18" start="0" length="0"/>
    <rcc rId="0" sId="15" dxf="1">
      <nc r="A18" t="inlineStr">
        <is>
          <t>2. Convert EF to MgCO2/Mg clinker</t>
        </is>
      </nc>
      <ndxf>
        <font>
          <sz val="9"/>
          <color auto="1"/>
          <name val="Arial"/>
          <family val="2"/>
          <scheme val="none"/>
        </font>
        <numFmt numFmtId="30" formatCode="@"/>
        <alignment horizontal="left" vertical="bottom"/>
        <border outline="0">
          <right style="thin">
            <color indexed="64"/>
          </right>
        </border>
      </ndxf>
    </rcc>
    <rfmt sheetId="15" s="1" sqref="B18" start="0" length="0">
      <dxf>
        <numFmt numFmtId="181" formatCode="_(* #,##0_);_(* \(#,##0\);_(* &quot;-&quot;??_);_(@_)"/>
        <alignment horizontal="right"/>
      </dxf>
    </rfmt>
    <rcc rId="0" sId="15" dxf="1">
      <nc r="C18" t="inlineStr">
        <is>
          <t>MgCO2/Mg clinker</t>
        </is>
      </nc>
      <ndxf>
        <font>
          <sz val="9"/>
          <color auto="1"/>
          <name val="Arial"/>
          <family val="2"/>
          <scheme val="none"/>
        </font>
      </ndxf>
    </rcc>
    <rfmt sheetId="15" s="1" sqref="D18" start="0" length="0">
      <dxf>
        <numFmt numFmtId="181" formatCode="_(* #,##0_);_(* \(#,##0\);_(* &quot;-&quot;??_);_(@_)"/>
      </dxf>
    </rfmt>
    <rfmt sheetId="15" s="1" sqref="E18" start="0" length="0">
      <dxf>
        <numFmt numFmtId="181" formatCode="_(* #,##0_);_(* \(#,##0\);_(* &quot;-&quot;??_);_(@_)"/>
        <border outline="0">
          <right style="thin">
            <color indexed="64"/>
          </right>
        </border>
      </dxf>
    </rfmt>
    <rfmt sheetId="15" s="1" sqref="F18" start="0" length="0">
      <dxf>
        <numFmt numFmtId="181" formatCode="_(* #,##0_);_(* \(#,##0\);_(* &quot;-&quot;??_);_(@_)"/>
        <alignment horizontal="right"/>
      </dxf>
    </rfmt>
    <rcc rId="0" sId="15" dxf="1">
      <nc r="G18" t="inlineStr">
        <is>
          <t>MgCO2/Mg clinker</t>
        </is>
      </nc>
      <ndxf>
        <font>
          <sz val="9"/>
          <color auto="1"/>
          <name val="Arial"/>
          <family val="2"/>
          <scheme val="none"/>
        </font>
      </ndxf>
    </rcc>
    <rfmt sheetId="15" sqref="H18" start="0" length="0">
      <dxf>
        <numFmt numFmtId="30" formatCode="@"/>
      </dxf>
    </rfmt>
    <rfmt sheetId="15" sqref="I18" start="0" length="0">
      <dxf>
        <numFmt numFmtId="30" formatCode="@"/>
        <alignment wrapText="1"/>
        <border outline="0">
          <right style="thin">
            <color indexed="64"/>
          </right>
        </border>
      </dxf>
    </rfmt>
    <rfmt sheetId="15" s="1" sqref="J18" start="0" length="0">
      <dxf>
        <numFmt numFmtId="181" formatCode="_(* #,##0_);_(* \(#,##0\);_(* &quot;-&quot;??_);_(@_)"/>
        <fill>
          <patternFill patternType="solid">
            <bgColor theme="9" tint="0.79998168889431442"/>
          </patternFill>
        </fill>
        <alignment horizontal="right"/>
      </dxf>
    </rfmt>
    <rcc rId="0" sId="15" dxf="1">
      <nc r="K18" t="inlineStr">
        <is>
          <t>MgCO2/Mg clinker</t>
        </is>
      </nc>
      <ndxf>
        <font>
          <sz val="9"/>
          <color auto="1"/>
          <name val="Arial"/>
          <family val="2"/>
          <scheme val="none"/>
        </font>
      </ndxf>
    </rcc>
    <rfmt sheetId="15" sqref="L18" start="0" length="0">
      <dxf>
        <numFmt numFmtId="30" formatCode="@"/>
      </dxf>
    </rfmt>
    <rfmt sheetId="15" sqref="M18" start="0" length="0">
      <dxf>
        <numFmt numFmtId="30" formatCode="@"/>
        <alignment wrapText="1"/>
        <border outline="0">
          <right style="thin">
            <color indexed="64"/>
          </right>
        </border>
      </dxf>
    </rfmt>
  </rrc>
  <rcc rId="1381" sId="15" odxf="1" dxf="1">
    <oc r="A18" t="inlineStr">
      <is>
        <t>or Calculate Calcination EF</t>
      </is>
    </oc>
    <nc r="A18" t="inlineStr">
      <is>
        <t>Calculate Calcination EF</t>
      </is>
    </nc>
    <odxf>
      <font>
        <family val="2"/>
      </font>
    </odxf>
    <ndxf>
      <font>
        <sz val="9"/>
        <color auto="1"/>
        <name val="Arial"/>
        <family val="2"/>
        <scheme val="none"/>
      </font>
    </ndxf>
  </rcc>
  <rfmt sheetId="15" sqref="J19 J21:J22">
    <dxf>
      <fill>
        <patternFill patternType="none">
          <bgColor auto="1"/>
        </patternFill>
      </fill>
    </dxf>
  </rfmt>
  <rfmt sheetId="15" sqref="J36">
    <dxf>
      <fill>
        <patternFill patternType="none">
          <bgColor auto="1"/>
        </patternFill>
      </fill>
    </dxf>
  </rfmt>
  <rfmt sheetId="15" sqref="J43 J45 J50">
    <dxf>
      <fill>
        <patternFill patternType="none">
          <bgColor auto="1"/>
        </patternFill>
      </fill>
    </dxf>
  </rfmt>
  <rfmt sheetId="15" sqref="J55">
    <dxf>
      <fill>
        <patternFill patternType="none">
          <bgColor auto="1"/>
        </patternFill>
      </fill>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82" sId="18" ref="A10:XFD10" action="deleteRow">
    <rfmt sheetId="18" xfDxf="1" sqref="A10:XFD10" start="0" length="0">
      <dxf>
        <font>
          <b/>
          <family val="2"/>
        </font>
        <alignment vertical="bottom"/>
      </dxf>
    </rfmt>
    <rcc rId="0" sId="18" dxf="1">
      <nc r="A10" t="inlineStr">
        <is>
          <t>data relating to vehicle efficiency</t>
        </is>
      </nc>
      <ndxf>
        <font>
          <b val="0"/>
          <family val="2"/>
        </font>
        <numFmt numFmtId="30" formatCode="@"/>
        <alignment horizontal="left"/>
        <border outline="0">
          <right style="thin">
            <color indexed="64"/>
          </right>
        </border>
      </ndxf>
    </rcc>
    <rfmt sheetId="18" sqref="B10" start="0" length="0">
      <dxf>
        <font>
          <b val="0"/>
          <sz val="9"/>
          <color auto="1"/>
          <name val="Arial"/>
          <family val="2"/>
          <scheme val="none"/>
        </font>
        <numFmt numFmtId="3" formatCode="#,##0"/>
        <alignment horizontal="right" vertical="top"/>
      </dxf>
    </rfmt>
    <rfmt sheetId="18" sqref="C10" start="0" length="0">
      <dxf>
        <font>
          <b val="0"/>
          <sz val="9"/>
          <color auto="1"/>
          <name val="Arial"/>
          <family val="2"/>
          <scheme val="none"/>
        </font>
        <numFmt numFmtId="30" formatCode="@"/>
        <alignment horizontal="center" vertical="top"/>
      </dxf>
    </rfmt>
    <rfmt sheetId="18" sqref="D10" start="0" length="0">
      <dxf>
        <font>
          <b val="0"/>
          <sz val="9"/>
          <color auto="1"/>
          <name val="Arial"/>
          <family val="2"/>
          <scheme val="none"/>
        </font>
        <numFmt numFmtId="30" formatCode="@"/>
        <alignment horizontal="center"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fmt sheetId="18" sqref="F10" start="0" length="0">
      <dxf>
        <font>
          <b val="0"/>
          <sz val="9"/>
          <color auto="1"/>
          <name val="Arial"/>
          <family val="2"/>
          <scheme val="none"/>
        </font>
        <numFmt numFmtId="178" formatCode="0.0%"/>
        <alignment horizontal="right" vertical="top"/>
      </dxf>
    </rfmt>
    <rfmt sheetId="18" sqref="G10" start="0" length="0">
      <dxf>
        <font>
          <b val="0"/>
          <sz val="9"/>
          <color auto="1"/>
          <name val="Arial"/>
          <family val="2"/>
          <scheme val="none"/>
        </font>
        <numFmt numFmtId="3" formatCode="#,##0"/>
        <alignment vertical="top"/>
      </dxf>
    </rfmt>
    <rfmt sheetId="18" sqref="H10" start="0" length="0">
      <dxf>
        <font>
          <b val="0"/>
          <family val="2"/>
        </font>
        <numFmt numFmtId="30" formatCode="@"/>
        <alignment horizontal="center"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fmt sheetId="18" sqref="J10" start="0" length="0">
      <dxf>
        <font>
          <b val="0"/>
          <sz val="9"/>
          <color auto="1"/>
          <name val="Arial"/>
          <family val="2"/>
          <scheme val="none"/>
        </font>
        <numFmt numFmtId="30" formatCode="@"/>
        <alignment horizontal="left" vertical="top"/>
      </dxf>
    </rfmt>
    <rfmt sheetId="18" sqref="K10" start="0" length="0">
      <dxf>
        <font>
          <b val="0"/>
          <sz val="9"/>
          <color auto="1"/>
          <name val="Arial"/>
          <family val="2"/>
          <scheme val="none"/>
        </font>
        <numFmt numFmtId="30" formatCode="@"/>
        <alignment horizontal="left" vertical="top"/>
      </dxf>
    </rfmt>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fmt sheetId="18" sqref="O10" start="0" length="0">
      <dxf>
        <font>
          <b val="0"/>
          <sz val="9"/>
          <color auto="1"/>
          <name val="Arial"/>
          <family val="2"/>
          <scheme val="none"/>
        </font>
        <numFmt numFmtId="3" formatCode="#,##0"/>
        <alignment horizontal="left" vertical="top"/>
      </dxf>
    </rfmt>
    <rfmt sheetId="18" sqref="P10" start="0" length="0">
      <dxf>
        <font>
          <b val="0"/>
          <sz val="9"/>
          <color auto="1"/>
          <name val="Arial"/>
          <family val="2"/>
          <scheme val="none"/>
        </font>
        <numFmt numFmtId="3" formatCode="#,##0"/>
        <alignment horizontal="left" vertical="top"/>
      </dxf>
    </rfmt>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83" sId="18" ref="A10:XFD10" action="deleteRow">
    <rfmt sheetId="18" xfDxf="1" sqref="A10:XFD10" start="0" length="0">
      <dxf>
        <font>
          <b/>
          <family val="2"/>
        </font>
        <alignment vertical="bottom"/>
      </dxf>
    </rfmt>
    <rcc rId="0" sId="18" dxf="1">
      <nc r="A10" t="inlineStr">
        <is>
          <t>data year</t>
        </is>
      </nc>
      <ndxf>
        <font>
          <b val="0"/>
          <family val="2"/>
        </font>
        <numFmt numFmtId="30" formatCode="@"/>
        <alignment horizontal="left" indent="1"/>
        <border outline="0">
          <right style="thin">
            <color indexed="64"/>
          </right>
        </border>
      </ndxf>
    </rcc>
    <rcc rId="0" sId="18" dxf="1" numFmtId="4">
      <nc r="B10">
        <v>2003</v>
      </nc>
      <ndxf>
        <font>
          <b val="0"/>
          <sz val="9"/>
          <color auto="1"/>
          <name val="Arial"/>
          <family val="2"/>
          <scheme val="none"/>
        </font>
        <numFmt numFmtId="1" formatCode="0"/>
        <alignment horizontal="right" vertical="top"/>
      </ndxf>
    </rcc>
    <rfmt sheetId="18" sqref="C10" start="0" length="0">
      <dxf>
        <font>
          <b val="0"/>
          <sz val="9"/>
          <color auto="1"/>
          <name val="Arial"/>
          <family val="2"/>
          <scheme val="none"/>
        </font>
        <numFmt numFmtId="3" formatCode="#,##0"/>
        <alignment vertical="top"/>
      </dxf>
    </rfmt>
    <rfmt sheetId="18" sqref="D10" start="0" length="0">
      <dxf>
        <font>
          <b val="0"/>
          <sz val="9"/>
          <color auto="1"/>
          <name val="Arial"/>
          <family val="2"/>
          <scheme val="none"/>
        </font>
        <numFmt numFmtId="30" formatCode="@"/>
        <alignment horizontal="center"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umFmtId="4">
      <nc r="F10">
        <v>2008</v>
      </nc>
      <ndxf>
        <font>
          <b val="0"/>
          <sz val="9"/>
          <color auto="1"/>
          <name val="Arial"/>
          <family val="2"/>
          <scheme val="none"/>
        </font>
        <numFmt numFmtId="1" formatCode="0"/>
        <alignment horizontal="right" vertical="top"/>
      </ndxf>
    </rcc>
    <rfmt sheetId="18" sqref="G10" start="0" length="0">
      <dxf>
        <font>
          <b val="0"/>
          <sz val="9"/>
          <color auto="1"/>
          <name val="Arial"/>
          <family val="2"/>
          <scheme val="none"/>
        </font>
        <numFmt numFmtId="3" formatCode="#,##0"/>
        <alignment vertical="top"/>
      </dxf>
    </rfmt>
    <rfmt sheetId="18" sqref="H10" start="0" length="0">
      <dxf>
        <font>
          <b val="0"/>
          <family val="2"/>
        </font>
        <numFmt numFmtId="30" formatCode="@"/>
        <alignment horizontal="center"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fmt sheetId="18" sqref="J10" start="0" length="0">
      <dxf>
        <font>
          <b val="0"/>
          <sz val="9"/>
          <color auto="1"/>
          <name val="Arial"/>
          <family val="2"/>
          <scheme val="none"/>
        </font>
        <numFmt numFmtId="30" formatCode="@"/>
        <alignment horizontal="left" vertical="top"/>
      </dxf>
    </rfmt>
    <rfmt sheetId="18" sqref="K10" start="0" length="0">
      <dxf>
        <font>
          <b val="0"/>
          <sz val="9"/>
          <color auto="1"/>
          <name val="Arial"/>
          <family val="2"/>
          <scheme val="none"/>
        </font>
        <numFmt numFmtId="30" formatCode="@"/>
        <alignment horizontal="left" vertical="top"/>
      </dxf>
    </rfmt>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fmt sheetId="18" sqref="O10" start="0" length="0">
      <dxf>
        <font>
          <b val="0"/>
          <sz val="9"/>
          <color auto="1"/>
          <name val="Arial"/>
          <family val="2"/>
          <scheme val="none"/>
        </font>
        <numFmt numFmtId="3" formatCode="#,##0"/>
        <alignment horizontal="left" vertical="top"/>
      </dxf>
    </rfmt>
    <rfmt sheetId="18" sqref="P10" start="0" length="0">
      <dxf>
        <font>
          <b val="0"/>
          <sz val="9"/>
          <color auto="1"/>
          <name val="Arial"/>
          <family val="2"/>
          <scheme val="none"/>
        </font>
        <numFmt numFmtId="3" formatCode="#,##0"/>
        <alignment horizontal="left" vertical="top"/>
      </dxf>
    </rfmt>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84" sId="18" ref="A10:XFD10" action="deleteRow">
    <undo index="0" exp="ref" v="1" dr="O10" r="O20" sId="18"/>
    <undo index="0" exp="area" dr="F10:F11" r="F20" sId="18"/>
    <undo index="0" exp="area" dr="B10:B11" r="B20" sId="18"/>
    <rfmt sheetId="18" xfDxf="1" sqref="A10:XFD10" start="0" length="0">
      <dxf>
        <font>
          <b/>
          <family val="2"/>
        </font>
        <alignment vertical="bottom"/>
      </dxf>
    </rfmt>
    <rcc rId="0" sId="18" dxf="1">
      <nc r="A10" t="inlineStr">
        <is>
          <t>U.S. car miles</t>
        </is>
      </nc>
      <ndxf>
        <font>
          <b val="0"/>
          <family val="2"/>
        </font>
        <numFmt numFmtId="30" formatCode="@"/>
        <alignment horizontal="left" indent="1"/>
        <border outline="0">
          <right style="thin">
            <color indexed="64"/>
          </right>
        </border>
      </ndxf>
    </rcc>
    <rcc rId="0" sId="18" dxf="1" numFmtId="4">
      <nc r="B10">
        <v>1672079</v>
      </nc>
      <ndxf>
        <font>
          <b val="0"/>
          <sz val="9"/>
          <color auto="1"/>
          <name val="Arial"/>
          <family val="2"/>
          <scheme val="none"/>
        </font>
        <numFmt numFmtId="3" formatCode="#,##0"/>
        <alignment horizontal="right" vertical="top"/>
      </ndxf>
    </rcc>
    <rcc rId="0" sId="18" dxf="1">
      <nc r="C10" t="inlineStr">
        <is>
          <r>
            <t>10</t>
          </r>
          <r>
            <rPr>
              <vertAlign val="superscript"/>
              <sz val="9"/>
              <rFont val="Arial"/>
              <family val="2"/>
            </rPr>
            <t>6</t>
          </r>
          <r>
            <rPr>
              <sz val="9"/>
              <rFont val="Arial"/>
              <family val="2"/>
            </rPr>
            <t xml:space="preserve"> mi</t>
          </r>
        </is>
      </nc>
      <ndxf>
        <font>
          <b val="0"/>
          <sz val="9"/>
          <color auto="1"/>
          <name val="Arial"/>
          <family val="2"/>
          <scheme val="none"/>
        </font>
        <alignment vertical="top"/>
      </ndxf>
    </rcc>
    <rcc rId="0" sId="18" dxf="1">
      <nc r="D10" t="inlineStr">
        <is>
          <t>05-202, cell U7</t>
        </is>
      </nc>
      <ndxf>
        <font>
          <b val="0"/>
          <sz val="9"/>
          <color auto="1"/>
          <name val="Arial"/>
          <family val="2"/>
          <scheme val="none"/>
        </font>
        <numFmt numFmtId="30" formatCode="@"/>
        <alignment horizontal="left"/>
      </ndxf>
    </rcc>
    <rcc rId="0" sId="18" dxf="1">
      <nc r="E10" t="inlineStr">
        <is>
          <t>Updated with 2003 values</t>
        </is>
      </nc>
      <ndxf>
        <font>
          <b val="0"/>
          <sz val="9"/>
          <color auto="1"/>
          <name val="Arial"/>
          <family val="2"/>
          <scheme val="none"/>
        </font>
        <numFmt numFmtId="30" formatCode="@"/>
        <alignment horizontal="left"/>
        <border outline="0">
          <right style="thin">
            <color indexed="64"/>
          </right>
        </border>
      </ndxf>
    </rcc>
    <rcc rId="0" sId="18" dxf="1" numFmtId="4">
      <nc r="F10">
        <v>1615850.1593513428</v>
      </nc>
      <ndxf>
        <font>
          <b val="0"/>
          <family val="2"/>
        </font>
        <numFmt numFmtId="3" formatCode="#,##0"/>
        <alignment horizontal="right" vertical="top"/>
      </ndxf>
    </rcc>
    <rcc rId="0" sId="18" dxf="1">
      <nc r="G10" t="inlineStr">
        <is>
          <r>
            <t>10</t>
          </r>
          <r>
            <rPr>
              <vertAlign val="superscript"/>
              <sz val="9"/>
              <rFont val="Arial"/>
              <family val="2"/>
            </rPr>
            <t>6</t>
          </r>
          <r>
            <rPr>
              <sz val="9"/>
              <rFont val="Arial"/>
              <family val="2"/>
            </rPr>
            <t xml:space="preserve"> mi</t>
          </r>
        </is>
      </nc>
      <ndxf>
        <font>
          <b val="0"/>
          <family val="2"/>
        </font>
        <alignment vertical="top"/>
      </ndxf>
    </rcc>
    <rcc rId="0" sId="18" dxf="1">
      <nc r="H10" t="inlineStr">
        <is>
          <t>KC08-11-12_Passenger_Motorcycle</t>
        </is>
      </nc>
      <ndxf>
        <font>
          <b val="0"/>
          <family val="2"/>
        </font>
        <numFmt numFmtId="30" formatCode="@"/>
        <alignment horizontal="left"/>
      </ndxf>
    </rcc>
    <rfmt sheetId="18" sqref="I10" start="0" length="0">
      <dxf>
        <font>
          <b val="0"/>
          <sz val="9"/>
          <color auto="1"/>
          <name val="Arial"/>
          <family val="2"/>
          <scheme val="none"/>
        </font>
        <numFmt numFmtId="30" formatCode="@"/>
        <alignment horizontal="left"/>
        <border outline="0">
          <right style="thin">
            <color indexed="64"/>
          </right>
        </border>
      </dxf>
    </rfmt>
    <rfmt sheetId="18" sqref="J10" start="0" length="0">
      <dxf>
        <font>
          <b val="0"/>
          <sz val="9"/>
          <color auto="1"/>
          <name val="Arial"/>
          <family val="2"/>
          <scheme val="none"/>
        </font>
        <numFmt numFmtId="3" formatCode="#,##0"/>
        <alignment horizontal="right"/>
      </dxf>
    </rfmt>
    <rfmt sheetId="18" sqref="K10" start="0" length="0">
      <dxf>
        <font>
          <b val="0"/>
          <sz val="9"/>
          <color auto="1"/>
          <name val="Arial"/>
          <family val="2"/>
          <scheme val="none"/>
        </font>
        <alignment vertical="top"/>
      </dxf>
    </rfmt>
    <rfmt sheetId="18" sqref="L10" start="0" length="0">
      <dxf>
        <font>
          <b val="0"/>
          <sz val="9"/>
          <color auto="1"/>
          <name val="Arial"/>
          <family val="2"/>
          <scheme val="none"/>
        </font>
        <numFmt numFmtId="30" formatCode="@"/>
        <alignment horizontal="left"/>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fmt sheetId="18" sqref="O10" start="0" length="0">
      <dxf>
        <font>
          <b val="0"/>
          <sz val="9"/>
          <color auto="1"/>
          <name val="Arial"/>
          <family val="2"/>
          <scheme val="none"/>
        </font>
        <numFmt numFmtId="3" formatCode="#,##0"/>
        <fill>
          <patternFill patternType="solid">
            <bgColor theme="9" tint="0.59999389629810485"/>
          </patternFill>
        </fill>
        <alignment horizontal="right" vertical="top"/>
      </dxf>
    </rfmt>
    <rcc rId="0" sId="18" dxf="1">
      <nc r="P10" t="inlineStr">
        <is>
          <r>
            <t>10</t>
          </r>
          <r>
            <rPr>
              <vertAlign val="superscript"/>
              <sz val="9"/>
              <rFont val="Arial"/>
              <family val="2"/>
            </rPr>
            <t>6</t>
          </r>
          <r>
            <rPr>
              <sz val="9"/>
              <rFont val="Arial"/>
              <family val="2"/>
            </rPr>
            <t xml:space="preserve"> mi</t>
          </r>
        </is>
      </nc>
      <ndxf>
        <font>
          <b val="0"/>
          <sz val="9"/>
          <color auto="1"/>
          <name val="Arial"/>
          <family val="2"/>
          <scheme val="none"/>
        </font>
        <alignment vertical="top"/>
      </ndxf>
    </rcc>
    <rfmt sheetId="18" sqref="Q10" start="0" length="0">
      <dxf>
        <font>
          <b val="0"/>
          <sz val="9"/>
          <color auto="1"/>
          <name val="Arial"/>
          <family val="2"/>
          <scheme val="none"/>
        </font>
        <numFmt numFmtId="3" formatCode="#,##0"/>
        <alignment horizontal="left"/>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85" sId="18" ref="A10:XFD10" action="deleteRow">
    <undo index="0" exp="area" dr="F10" r="F19" sId="18"/>
    <undo index="0" exp="area" dr="B10" r="B19" sId="18"/>
    <rfmt sheetId="18" xfDxf="1" sqref="A10:XFD10" start="0" length="0">
      <dxf>
        <font>
          <b/>
          <family val="2"/>
        </font>
        <alignment vertical="bottom"/>
      </dxf>
    </rfmt>
    <rcc rId="0" sId="18" dxf="1">
      <nc r="A10" t="inlineStr">
        <is>
          <t>U.S. light truck miles</t>
        </is>
      </nc>
      <ndxf>
        <font>
          <b val="0"/>
          <family val="2"/>
        </font>
        <numFmt numFmtId="30" formatCode="@"/>
        <alignment horizontal="left" indent="1"/>
        <border outline="0">
          <right style="thin">
            <color indexed="64"/>
          </right>
        </border>
      </ndxf>
    </rcc>
    <rcc rId="0" sId="18" dxf="1" numFmtId="4">
      <nc r="B10">
        <v>984094</v>
      </nc>
      <ndxf>
        <font>
          <b val="0"/>
          <sz val="9"/>
          <color auto="1"/>
          <name val="Arial"/>
          <family val="2"/>
          <scheme val="none"/>
        </font>
        <numFmt numFmtId="3" formatCode="#,##0"/>
        <alignment horizontal="right" vertical="top"/>
      </ndxf>
    </rcc>
    <rcc rId="0" sId="18" dxf="1">
      <nc r="C10" t="inlineStr">
        <is>
          <r>
            <t>10</t>
          </r>
          <r>
            <rPr>
              <vertAlign val="superscript"/>
              <sz val="9"/>
              <rFont val="Arial"/>
              <family val="2"/>
            </rPr>
            <t>6</t>
          </r>
          <r>
            <rPr>
              <sz val="9"/>
              <rFont val="Arial"/>
              <family val="2"/>
            </rPr>
            <t xml:space="preserve"> mi</t>
          </r>
        </is>
      </nc>
      <ndxf>
        <font>
          <b val="0"/>
          <sz val="9"/>
          <color auto="1"/>
          <name val="Arial"/>
          <family val="2"/>
          <scheme val="none"/>
        </font>
        <alignment vertical="top"/>
      </ndxf>
    </rcc>
    <rcc rId="0" sId="18" dxf="1">
      <nc r="D10" t="inlineStr">
        <is>
          <t>05-201, cell S4</t>
        </is>
      </nc>
      <ndxf>
        <font>
          <b val="0"/>
          <sz val="9"/>
          <color auto="1"/>
          <name val="Arial"/>
          <family val="2"/>
          <scheme val="none"/>
        </font>
        <numFmt numFmtId="30" formatCode="@"/>
        <alignment horizontal="left"/>
      </ndxf>
    </rcc>
    <rcc rId="0" sId="18" dxf="1">
      <nc r="E10" t="inlineStr">
        <is>
          <t>Updated with 2003 values</t>
        </is>
      </nc>
      <ndxf>
        <font>
          <b val="0"/>
          <sz val="9"/>
          <color auto="1"/>
          <name val="Arial"/>
          <family val="2"/>
          <scheme val="none"/>
        </font>
        <numFmt numFmtId="30" formatCode="@"/>
        <alignment horizontal="left"/>
        <border outline="0">
          <right style="thin">
            <color indexed="64"/>
          </right>
        </border>
      </ndxf>
    </rcc>
    <rcc rId="0" sId="18" dxf="1" numFmtId="4">
      <nc r="F10">
        <v>1108602.9173799797</v>
      </nc>
      <ndxf>
        <font>
          <b val="0"/>
          <family val="2"/>
        </font>
        <numFmt numFmtId="3" formatCode="#,##0"/>
        <alignment horizontal="right" vertical="top"/>
      </ndxf>
    </rcc>
    <rcc rId="0" sId="18" dxf="1">
      <nc r="G10" t="inlineStr">
        <is>
          <r>
            <t>10</t>
          </r>
          <r>
            <rPr>
              <vertAlign val="superscript"/>
              <sz val="9"/>
              <rFont val="Arial"/>
              <family val="2"/>
            </rPr>
            <t>6</t>
          </r>
          <r>
            <rPr>
              <sz val="9"/>
              <rFont val="Arial"/>
              <family val="2"/>
            </rPr>
            <t xml:space="preserve"> mi</t>
          </r>
        </is>
      </nc>
      <ndxf>
        <font>
          <b val="0"/>
          <family val="2"/>
        </font>
        <alignment vertical="top"/>
      </ndxf>
    </rcc>
    <rcc rId="0" sId="18" dxf="1">
      <nc r="H10" t="inlineStr">
        <is>
          <t>KC08-11-13_Light_truck</t>
        </is>
      </nc>
      <ndxf>
        <font>
          <b val="0"/>
          <family val="2"/>
        </font>
        <numFmt numFmtId="30" formatCode="@"/>
        <alignment horizontal="left"/>
      </ndxf>
    </rcc>
    <rfmt sheetId="18" sqref="I10" start="0" length="0">
      <dxf>
        <font>
          <b val="0"/>
          <sz val="9"/>
          <color auto="1"/>
          <name val="Arial"/>
          <family val="2"/>
          <scheme val="none"/>
        </font>
        <numFmt numFmtId="30" formatCode="@"/>
        <alignment horizontal="left"/>
        <border outline="0">
          <right style="thin">
            <color indexed="64"/>
          </right>
        </border>
      </dxf>
    </rfmt>
    <rfmt sheetId="18" sqref="J10" start="0" length="0">
      <dxf>
        <font>
          <b val="0"/>
          <sz val="9"/>
          <color auto="1"/>
          <name val="Arial"/>
          <family val="2"/>
          <scheme val="none"/>
        </font>
        <numFmt numFmtId="3" formatCode="#,##0"/>
        <alignment horizontal="right"/>
      </dxf>
    </rfmt>
    <rfmt sheetId="18" sqref="K10" start="0" length="0">
      <dxf>
        <font>
          <b val="0"/>
          <family val="2"/>
        </font>
        <alignment vertical="top"/>
      </dxf>
    </rfmt>
    <rfmt sheetId="18" sqref="L10" start="0" length="0">
      <dxf>
        <font>
          <b val="0"/>
          <sz val="9"/>
          <color auto="1"/>
          <name val="Arial"/>
          <family val="2"/>
          <scheme val="none"/>
        </font>
        <numFmt numFmtId="30" formatCode="@"/>
        <alignment horizontal="left"/>
      </dxf>
    </rfmt>
    <rfmt sheetId="18" sqref="M10" start="0" length="0">
      <dxf>
        <font>
          <b val="0"/>
          <sz val="9"/>
          <color auto="1"/>
          <name val="Arial"/>
          <family val="2"/>
          <scheme val="none"/>
        </font>
        <numFmt numFmtId="30" formatCode="@"/>
        <alignment horizontal="left"/>
        <border outline="0">
          <right style="thin">
            <color indexed="64"/>
          </right>
        </border>
      </dxf>
    </rfmt>
    <rfmt sheetId="18" sqref="N10" start="0" length="0">
      <dxf>
        <border outline="0">
          <left style="thin">
            <color indexed="64"/>
          </left>
          <right style="thin">
            <color indexed="64"/>
          </right>
        </border>
      </dxf>
    </rfmt>
    <rfmt sheetId="18" sqref="O10" start="0" length="0">
      <dxf>
        <font>
          <b val="0"/>
          <sz val="9"/>
          <color auto="1"/>
          <name val="Arial"/>
          <family val="2"/>
          <scheme val="none"/>
        </font>
        <numFmt numFmtId="3" formatCode="#,##0"/>
        <alignment horizontal="left" vertical="top"/>
      </dxf>
    </rfmt>
    <rfmt sheetId="18" sqref="P10" start="0" length="0">
      <dxf>
        <font>
          <b val="0"/>
          <sz val="9"/>
          <color auto="1"/>
          <name val="Arial"/>
          <family val="2"/>
          <scheme val="none"/>
        </font>
        <alignment vertical="top"/>
      </dxf>
    </rfmt>
    <rfmt sheetId="18" sqref="Q10" start="0" length="0">
      <dxf>
        <font>
          <b val="0"/>
          <sz val="9"/>
          <color auto="1"/>
          <name val="Arial"/>
          <family val="2"/>
          <scheme val="none"/>
        </font>
        <numFmt numFmtId="3" formatCode="#,##0"/>
        <alignment horizontal="left"/>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86" sId="18" ref="A10:XFD10" action="deleteRow">
    <undo index="65535" exp="ref" v="1" dr="O10" r="O18" sId="18"/>
    <undo index="65535" exp="area" dr="F10:F11" r="F18" sId="18"/>
    <undo index="65535" exp="area" dr="B10:B11" r="B18" sId="18"/>
    <rfmt sheetId="18" xfDxf="1" sqref="A10:XFD10" start="0" length="0">
      <dxf>
        <font>
          <b/>
          <family val="2"/>
        </font>
        <alignment vertical="bottom"/>
      </dxf>
    </rfmt>
    <rcc rId="0" sId="18" dxf="1">
      <nc r="A10" t="inlineStr">
        <is>
          <t>U.S. car fuel consumption</t>
        </is>
      </nc>
      <ndxf>
        <font>
          <b val="0"/>
          <family val="2"/>
        </font>
        <numFmt numFmtId="30" formatCode="@"/>
        <alignment horizontal="left" indent="1"/>
        <border outline="0">
          <right style="thin">
            <color indexed="64"/>
          </right>
        </border>
      </ndxf>
    </rcc>
    <rcc rId="0" sId="18" dxf="1" numFmtId="4">
      <nc r="B10">
        <v>75454.644</v>
      </nc>
      <ndxf>
        <font>
          <b val="0"/>
          <sz val="9"/>
          <color auto="1"/>
          <name val="Arial"/>
          <family val="2"/>
          <scheme val="none"/>
        </font>
        <numFmt numFmtId="3" formatCode="#,##0"/>
        <alignment horizontal="right" vertical="top"/>
      </ndxf>
    </rcc>
    <rcc rId="0" sId="18" dxf="1">
      <nc r="C10" t="inlineStr">
        <is>
          <r>
            <t>10</t>
          </r>
          <r>
            <rPr>
              <vertAlign val="superscript"/>
              <sz val="9"/>
              <rFont val="Arial"/>
              <family val="2"/>
            </rPr>
            <t>6</t>
          </r>
          <r>
            <rPr>
              <sz val="9"/>
              <rFont val="Arial"/>
              <family val="2"/>
            </rPr>
            <t xml:space="preserve"> gal</t>
          </r>
        </is>
      </nc>
      <ndxf>
        <font>
          <b val="0"/>
          <sz val="9"/>
          <color auto="1"/>
          <name val="Arial"/>
          <family val="2"/>
          <scheme val="none"/>
        </font>
        <alignment vertical="top"/>
      </ndxf>
    </rcc>
    <rcc rId="0" sId="18" dxf="1">
      <nc r="D10" t="inlineStr">
        <is>
          <t>05-202, cell U10</t>
        </is>
      </nc>
      <ndxf>
        <font>
          <b val="0"/>
          <sz val="9"/>
          <color auto="1"/>
          <name val="Arial"/>
          <family val="2"/>
          <scheme val="none"/>
        </font>
        <numFmt numFmtId="30" formatCode="@"/>
        <alignment horizontal="left"/>
      </ndxf>
    </rcc>
    <rcc rId="0" sId="18" dxf="1">
      <nc r="E10" t="inlineStr">
        <is>
          <t>Updated with 2003 values</t>
        </is>
      </nc>
      <ndxf>
        <font>
          <b val="0"/>
          <sz val="9"/>
          <color auto="1"/>
          <name val="Arial"/>
          <family val="2"/>
          <scheme val="none"/>
        </font>
        <numFmt numFmtId="30" formatCode="@"/>
        <alignment horizontal="left"/>
        <border outline="0">
          <right style="thin">
            <color indexed="64"/>
          </right>
        </border>
      </ndxf>
    </rcc>
    <rcc rId="0" sId="18" dxf="1" numFmtId="4">
      <nc r="F10">
        <v>71497.204360545104</v>
      </nc>
      <ndxf>
        <font>
          <b val="0"/>
          <family val="2"/>
        </font>
        <numFmt numFmtId="3" formatCode="#,##0"/>
        <alignment horizontal="right" vertical="top"/>
      </ndxf>
    </rcc>
    <rcc rId="0" sId="18" dxf="1">
      <nc r="G10" t="inlineStr">
        <is>
          <r>
            <t>10</t>
          </r>
          <r>
            <rPr>
              <vertAlign val="superscript"/>
              <sz val="9"/>
              <rFont val="Arial"/>
              <family val="2"/>
            </rPr>
            <t>6</t>
          </r>
          <r>
            <rPr>
              <sz val="9"/>
              <rFont val="Arial"/>
              <family val="2"/>
            </rPr>
            <t xml:space="preserve"> gal</t>
          </r>
        </is>
      </nc>
      <ndxf>
        <font>
          <b val="0"/>
          <family val="2"/>
        </font>
        <alignment vertical="top"/>
      </ndxf>
    </rcc>
    <rcc rId="0" sId="18" dxf="1">
      <nc r="H10" t="inlineStr">
        <is>
          <t>KC08-11-12_Passenger_Motorcycle</t>
        </is>
      </nc>
      <ndxf>
        <font>
          <b val="0"/>
          <family val="2"/>
        </font>
        <numFmt numFmtId="30" formatCode="@"/>
        <alignment horizontal="left"/>
      </ndxf>
    </rcc>
    <rfmt sheetId="18" sqref="I10" start="0" length="0">
      <dxf>
        <font>
          <b val="0"/>
          <sz val="9"/>
          <color auto="1"/>
          <name val="Arial"/>
          <family val="2"/>
          <scheme val="none"/>
        </font>
        <numFmt numFmtId="30" formatCode="@"/>
        <alignment horizontal="left"/>
        <border outline="0">
          <right style="thin">
            <color indexed="64"/>
          </right>
        </border>
      </dxf>
    </rfmt>
    <rfmt sheetId="18" sqref="J10" start="0" length="0">
      <dxf>
        <font>
          <b val="0"/>
          <sz val="9"/>
          <color auto="1"/>
          <name val="Arial"/>
          <family val="2"/>
          <scheme val="none"/>
        </font>
        <numFmt numFmtId="3" formatCode="#,##0"/>
        <alignment horizontal="right"/>
      </dxf>
    </rfmt>
    <rfmt sheetId="18" sqref="K10" start="0" length="0">
      <dxf>
        <font>
          <b val="0"/>
          <family val="2"/>
        </font>
        <alignment vertical="top"/>
      </dxf>
    </rfmt>
    <rfmt sheetId="18" sqref="L10" start="0" length="0">
      <dxf>
        <font>
          <b val="0"/>
          <sz val="9"/>
          <color auto="1"/>
          <name val="Arial"/>
          <family val="2"/>
          <scheme val="none"/>
        </font>
        <numFmt numFmtId="30" formatCode="@"/>
        <alignment horizontal="left"/>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font>
          <b val="0"/>
          <sz val="9"/>
          <color auto="1"/>
          <name val="Arial"/>
          <family val="2"/>
          <scheme val="none"/>
        </font>
        <border outline="0">
          <left style="thin">
            <color indexed="64"/>
          </left>
          <right style="thin">
            <color indexed="64"/>
          </right>
        </border>
      </dxf>
    </rfmt>
    <rfmt sheetId="18" sqref="O10" start="0" length="0">
      <dxf>
        <font>
          <b val="0"/>
          <sz val="9"/>
          <color auto="1"/>
          <name val="Arial"/>
          <family val="2"/>
          <scheme val="none"/>
        </font>
        <numFmt numFmtId="3" formatCode="#,##0"/>
        <fill>
          <patternFill patternType="solid">
            <bgColor theme="9" tint="0.59999389629810485"/>
          </patternFill>
        </fill>
        <alignment horizontal="right" vertical="top"/>
      </dxf>
    </rfmt>
    <rcc rId="0" sId="18" dxf="1">
      <nc r="P10" t="inlineStr">
        <is>
          <r>
            <t>10</t>
          </r>
          <r>
            <rPr>
              <vertAlign val="superscript"/>
              <sz val="9"/>
              <rFont val="Arial"/>
              <family val="2"/>
            </rPr>
            <t>6</t>
          </r>
          <r>
            <rPr>
              <sz val="9"/>
              <rFont val="Arial"/>
              <family val="2"/>
            </rPr>
            <t xml:space="preserve"> gal</t>
          </r>
        </is>
      </nc>
      <ndxf>
        <font>
          <b val="0"/>
          <sz val="9"/>
          <color auto="1"/>
          <name val="Arial"/>
          <family val="2"/>
          <scheme val="none"/>
        </font>
        <alignment vertical="top"/>
      </ndxf>
    </rcc>
    <rfmt sheetId="18" sqref="Q10" start="0" length="0">
      <dxf>
        <font>
          <b val="0"/>
          <sz val="9"/>
          <color auto="1"/>
          <name val="Arial"/>
          <family val="2"/>
          <scheme val="none"/>
        </font>
        <numFmt numFmtId="3" formatCode="#,##0"/>
        <alignment horizontal="left"/>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87" sId="18" ref="A10:XFD10" action="deleteRow">
    <undo index="65535" exp="area" dr="F10" r="F17" sId="18"/>
    <undo index="65535" exp="area" dr="B10" r="B17" sId="18"/>
    <rfmt sheetId="18" xfDxf="1" sqref="A10:XFD10" start="0" length="0">
      <dxf>
        <font>
          <b/>
          <family val="2"/>
        </font>
        <alignment vertical="bottom"/>
      </dxf>
    </rfmt>
    <rcc rId="0" sId="18" dxf="1">
      <nc r="A10" t="inlineStr">
        <is>
          <t>U.S. light truck fuel consumption</t>
        </is>
      </nc>
      <ndxf>
        <font>
          <b val="0"/>
          <family val="2"/>
        </font>
        <numFmt numFmtId="30" formatCode="@"/>
        <alignment horizontal="left" indent="1"/>
        <border outline="0">
          <right style="thin">
            <color indexed="64"/>
          </right>
        </border>
      </ndxf>
    </rcc>
    <rcc rId="0" sId="18" dxf="1" numFmtId="4">
      <nc r="B10">
        <v>60758.05</v>
      </nc>
      <ndxf>
        <font>
          <b val="0"/>
          <sz val="9"/>
          <color auto="1"/>
          <name val="Arial"/>
          <family val="2"/>
          <scheme val="none"/>
        </font>
        <numFmt numFmtId="3" formatCode="#,##0"/>
        <alignment horizontal="right" vertical="top"/>
      </ndxf>
    </rcc>
    <rcc rId="0" sId="18" dxf="1">
      <nc r="C10" t="inlineStr">
        <is>
          <r>
            <t>10</t>
          </r>
          <r>
            <rPr>
              <vertAlign val="superscript"/>
              <sz val="9"/>
              <rFont val="Arial"/>
              <family val="2"/>
            </rPr>
            <t>6</t>
          </r>
          <r>
            <rPr>
              <sz val="9"/>
              <rFont val="Arial"/>
              <family val="2"/>
            </rPr>
            <t xml:space="preserve"> gal</t>
          </r>
        </is>
      </nc>
      <ndxf>
        <font>
          <b val="0"/>
          <sz val="9"/>
          <color auto="1"/>
          <name val="Arial"/>
          <family val="2"/>
          <scheme val="none"/>
        </font>
        <alignment vertical="top"/>
      </ndxf>
    </rcc>
    <rcc rId="0" sId="18" dxf="1">
      <nc r="D10" t="inlineStr">
        <is>
          <t>05-201, cell S5</t>
        </is>
      </nc>
      <ndxf>
        <font>
          <b val="0"/>
          <sz val="9"/>
          <color auto="1"/>
          <name val="Arial"/>
          <family val="2"/>
          <scheme val="none"/>
        </font>
        <numFmt numFmtId="30" formatCode="@"/>
        <alignment horizontal="left"/>
      </ndxf>
    </rcc>
    <rcc rId="0" sId="18" dxf="1">
      <nc r="E10" t="inlineStr">
        <is>
          <t>Updated with 2003 values</t>
        </is>
      </nc>
      <ndxf>
        <font>
          <b val="0"/>
          <sz val="9"/>
          <color auto="1"/>
          <name val="Arial"/>
          <family val="2"/>
          <scheme val="none"/>
        </font>
        <numFmt numFmtId="30" formatCode="@"/>
        <alignment horizontal="left"/>
        <border outline="0">
          <right style="thin">
            <color indexed="64"/>
          </right>
        </border>
      </ndxf>
    </rcc>
    <rcc rId="0" sId="18" dxf="1" numFmtId="4">
      <nc r="F10">
        <v>61198.934409653797</v>
      </nc>
      <ndxf>
        <font>
          <b val="0"/>
          <family val="2"/>
        </font>
        <numFmt numFmtId="3" formatCode="#,##0"/>
        <alignment horizontal="right" vertical="top"/>
      </ndxf>
    </rcc>
    <rcc rId="0" sId="18" dxf="1">
      <nc r="G10" t="inlineStr">
        <is>
          <r>
            <t>10</t>
          </r>
          <r>
            <rPr>
              <vertAlign val="superscript"/>
              <sz val="9"/>
              <rFont val="Arial"/>
              <family val="2"/>
            </rPr>
            <t>6</t>
          </r>
          <r>
            <rPr>
              <sz val="9"/>
              <rFont val="Arial"/>
              <family val="2"/>
            </rPr>
            <t xml:space="preserve"> gal</t>
          </r>
        </is>
      </nc>
      <ndxf>
        <font>
          <b val="0"/>
          <family val="2"/>
        </font>
        <alignment vertical="top"/>
      </ndxf>
    </rcc>
    <rcc rId="0" sId="18" dxf="1">
      <nc r="H10" t="inlineStr">
        <is>
          <t>KC08-11-13_Light_truck</t>
        </is>
      </nc>
      <ndxf>
        <font>
          <b val="0"/>
          <family val="2"/>
        </font>
        <numFmt numFmtId="30" formatCode="@"/>
        <alignment horizontal="left"/>
      </ndxf>
    </rcc>
    <rfmt sheetId="18" sqref="I10" start="0" length="0">
      <dxf>
        <font>
          <b val="0"/>
          <sz val="9"/>
          <color auto="1"/>
          <name val="Arial"/>
          <family val="2"/>
          <scheme val="none"/>
        </font>
        <numFmt numFmtId="30" formatCode="@"/>
        <alignment horizontal="left"/>
        <border outline="0">
          <right style="thin">
            <color indexed="64"/>
          </right>
        </border>
      </dxf>
    </rfmt>
    <rfmt sheetId="18" sqref="J10" start="0" length="0">
      <dxf>
        <font>
          <b val="0"/>
          <sz val="9"/>
          <color auto="1"/>
          <name val="Arial"/>
          <family val="2"/>
          <scheme val="none"/>
        </font>
        <numFmt numFmtId="3" formatCode="#,##0"/>
        <alignment horizontal="right"/>
      </dxf>
    </rfmt>
    <rfmt sheetId="18" sqref="K10" start="0" length="0">
      <dxf>
        <font>
          <b val="0"/>
          <family val="2"/>
        </font>
        <alignment vertical="top"/>
      </dxf>
    </rfmt>
    <rfmt sheetId="18" sqref="L10" start="0" length="0">
      <dxf>
        <font>
          <b val="0"/>
          <sz val="9"/>
          <color auto="1"/>
          <name val="Arial"/>
          <family val="2"/>
          <scheme val="none"/>
        </font>
        <numFmt numFmtId="30" formatCode="@"/>
        <alignment horizontal="left"/>
      </dxf>
    </rfmt>
    <rfmt sheetId="18" sqref="M10" start="0" length="0">
      <dxf>
        <font>
          <b val="0"/>
          <sz val="9"/>
          <color auto="1"/>
          <name val="Arial"/>
          <family val="2"/>
          <scheme val="none"/>
        </font>
        <numFmt numFmtId="30" formatCode="@"/>
        <alignment horizontal="left"/>
        <border outline="0">
          <right style="thin">
            <color indexed="64"/>
          </right>
        </border>
      </dxf>
    </rfmt>
    <rfmt sheetId="18" sqref="N10" start="0" length="0">
      <dxf>
        <border outline="0">
          <left style="thin">
            <color indexed="64"/>
          </left>
          <right style="thin">
            <color indexed="64"/>
          </right>
        </border>
      </dxf>
    </rfmt>
    <rcc rId="0" sId="18" dxf="1" numFmtId="4">
      <nc r="O10">
        <v>3.2228046854926762E-4</v>
      </nc>
      <ndxf>
        <font>
          <b val="0"/>
          <sz val="9"/>
          <color auto="1"/>
          <name val="Arial"/>
          <family val="2"/>
          <scheme val="none"/>
        </font>
        <numFmt numFmtId="168" formatCode="#,##0.000000"/>
        <alignment horizontal="left" vertical="top"/>
      </ndxf>
    </rcc>
    <rcc rId="0" sId="18" dxf="1">
      <nc r="P10" t="inlineStr">
        <is>
          <t>MgCO2e/mile</t>
        </is>
      </nc>
      <ndxf>
        <font>
          <b val="0"/>
          <sz val="9"/>
          <color auto="1"/>
          <name val="Arial"/>
          <family val="2"/>
          <scheme val="none"/>
        </font>
        <alignment vertical="top"/>
      </ndxf>
    </rcc>
    <rcc rId="0" sId="18" dxf="1">
      <nc r="Q10" t="inlineStr">
        <is>
          <t>KC15-11-09</t>
        </is>
      </nc>
      <ndxf>
        <font>
          <b val="0"/>
          <sz val="9"/>
          <color auto="1"/>
          <name val="Arial"/>
          <family val="2"/>
          <scheme val="none"/>
        </font>
        <numFmt numFmtId="3" formatCode="#,##0"/>
        <alignment horizontal="left" vertical="top"/>
      </ndxf>
    </rcc>
    <rfmt sheetId="18" sqref="R10" start="0" length="0">
      <dxf>
        <font>
          <b val="0"/>
          <sz val="9"/>
          <color auto="1"/>
          <name val="Arial"/>
          <family val="2"/>
          <scheme val="none"/>
        </font>
        <numFmt numFmtId="3" formatCode="#,##0"/>
        <alignment horizontal="left" vertical="top"/>
        <border outline="0">
          <right style="thin">
            <color indexed="64"/>
          </right>
        </border>
      </dxf>
    </rfmt>
  </rrc>
  <rrc rId="1388" sId="18" ref="A10:XFD10" action="deleteRow">
    <undo index="65535" exp="ref" v="1" dr="O$10" r="O78" sId="18"/>
    <undo index="65535" exp="ref" v="1" dr="$J$10" r="J78" sId="18"/>
    <undo index="65535" exp="ref" v="1" dr="$F$10" r="F78" sId="18"/>
    <undo index="65535" exp="ref" v="1" dr="$B$10" r="B78" sId="18"/>
    <undo index="65535" exp="ref" v="1" dr="$J$10" r="J28" sId="18"/>
    <undo index="65535" exp="ref" v="1" dr="$F$10" r="F28" sId="18"/>
    <undo index="65535" exp="ref" v="1" dr="$B$10" r="B28" sId="18"/>
    <undo index="65535" exp="ref" v="1" dr="O10" r="O14" sId="18"/>
    <undo index="65535" exp="ref" v="1" dr="J10" r="J14" sId="18"/>
    <undo index="65535" exp="ref" v="1" dr="F10" r="F14" sId="18"/>
    <undo index="65535" exp="ref" v="1" dr="B10" r="B14" sId="18"/>
    <rfmt sheetId="18" xfDxf="1" sqref="A10:XFD10" start="0" length="0">
      <dxf>
        <font>
          <b/>
          <family val="2"/>
        </font>
        <alignment vertical="bottom"/>
      </dxf>
    </rfmt>
    <rcc rId="0" sId="18" dxf="1">
      <nc r="A10" t="inlineStr">
        <is>
          <t>Ratio of Avg. daily traffic: Avg. daily weekday traffic</t>
        </is>
      </nc>
      <ndxf>
        <font>
          <b val="0"/>
          <sz val="9"/>
          <color auto="1"/>
          <name val="Arial"/>
          <family val="2"/>
          <scheme val="none"/>
        </font>
        <numFmt numFmtId="30" formatCode="@"/>
        <border outline="0">
          <right style="thin">
            <color indexed="64"/>
          </right>
        </border>
      </ndxf>
    </rcc>
    <rcc rId="0" sId="18" dxf="1" numFmtId="4">
      <nc r="B10">
        <v>0.95</v>
      </nc>
      <ndxf>
        <font>
          <b val="0"/>
          <sz val="9"/>
          <color auto="1"/>
          <name val="Arial"/>
          <family val="2"/>
          <scheme val="none"/>
        </font>
        <numFmt numFmtId="2" formatCode="0.00"/>
        <alignment horizontal="right"/>
      </ndxf>
    </rcc>
    <rfmt sheetId="18" sqref="C10" start="0" length="0">
      <dxf>
        <font>
          <b val="0"/>
          <sz val="9"/>
          <color auto="1"/>
          <name val="Arial"/>
          <family val="2"/>
          <scheme val="none"/>
        </font>
        <alignment vertical="top"/>
      </dxf>
    </rfmt>
    <rcc rId="0" sId="18" dxf="1">
      <nc r="D10" t="inlineStr">
        <is>
          <t>KC08-11-9_VMTcorr</t>
        </is>
      </nc>
      <ndxf>
        <font>
          <b val="0"/>
          <sz val="9"/>
          <color auto="1"/>
          <name val="Arial"/>
          <family val="2"/>
          <scheme val="none"/>
        </font>
        <numFmt numFmtId="30" formatCode="@"/>
        <alignment horizontal="left"/>
      </ndxf>
    </rcc>
    <rfmt sheetId="18" sqref="E10" start="0" length="0">
      <dxf>
        <font>
          <b val="0"/>
          <sz val="9"/>
          <color auto="1"/>
          <name val="Arial"/>
          <family val="2"/>
          <scheme val="none"/>
        </font>
        <numFmt numFmtId="30" formatCode="@"/>
        <alignment horizontal="left"/>
        <border outline="0">
          <right style="thin">
            <color indexed="64"/>
          </right>
        </border>
      </dxf>
    </rfmt>
    <rcc rId="0" sId="18" dxf="1" numFmtId="4">
      <nc r="F10">
        <v>0.95</v>
      </nc>
      <ndxf>
        <font>
          <b val="0"/>
          <family val="2"/>
        </font>
        <numFmt numFmtId="2" formatCode="0.00"/>
        <alignment horizontal="right"/>
      </ndxf>
    </rcc>
    <rfmt sheetId="18" sqref="G10" start="0" length="0">
      <dxf>
        <font>
          <b val="0"/>
          <family val="2"/>
        </font>
        <alignment vertical="top"/>
      </dxf>
    </rfmt>
    <rcc rId="0" sId="18" dxf="1">
      <nc r="H10" t="inlineStr">
        <is>
          <t>KC08-11-9_VMTcorr</t>
        </is>
      </nc>
      <ndxf>
        <font>
          <b val="0"/>
          <sz val="9"/>
          <color auto="1"/>
          <name val="Arial"/>
          <family val="2"/>
          <scheme val="none"/>
        </font>
        <numFmt numFmtId="30" formatCode="@"/>
        <alignment horizontal="left"/>
      </ndxf>
    </rcc>
    <rfmt sheetId="18" sqref="I10" start="0" length="0">
      <dxf>
        <font>
          <b val="0"/>
          <sz val="9"/>
          <color auto="1"/>
          <name val="Arial"/>
          <family val="2"/>
          <scheme val="none"/>
        </font>
        <numFmt numFmtId="30" formatCode="@"/>
        <alignment horizontal="left"/>
        <border outline="0">
          <right style="thin">
            <color indexed="64"/>
          </right>
        </border>
      </dxf>
    </rfmt>
    <rcc rId="0" sId="18" dxf="1" numFmtId="4">
      <nc r="J10">
        <v>0.95</v>
      </nc>
      <ndxf>
        <font>
          <b val="0"/>
          <family val="2"/>
        </font>
        <numFmt numFmtId="2" formatCode="0.00"/>
        <alignment horizontal="right"/>
      </ndxf>
    </rcc>
    <rfmt sheetId="18" sqref="K10" start="0" length="0">
      <dxf>
        <font>
          <b val="0"/>
          <family val="2"/>
        </font>
        <alignment vertical="top"/>
      </dxf>
    </rfmt>
    <rcc rId="0" sId="18" dxf="1">
      <nc r="L10" t="inlineStr">
        <is>
          <t>KC08-11-9_VMTcorr</t>
        </is>
      </nc>
      <ndxf>
        <font>
          <b val="0"/>
          <sz val="9"/>
          <color auto="1"/>
          <name val="Arial"/>
          <family val="2"/>
          <scheme val="none"/>
        </font>
        <numFmt numFmtId="30" formatCode="@"/>
        <alignment horizontal="left"/>
      </ndxf>
    </rcc>
    <rcc rId="0" sId="18" dxf="1">
      <nc r="M10" t="inlineStr">
        <is>
          <t>Assume same as 2008</t>
        </is>
      </nc>
      <ndxf>
        <font>
          <b val="0"/>
          <sz val="9"/>
          <color auto="1"/>
          <name val="Arial"/>
          <family val="2"/>
          <scheme val="none"/>
        </font>
        <numFmt numFmtId="30" formatCode="@"/>
        <alignment horizontal="left"/>
        <border outline="0">
          <right style="thin">
            <color indexed="64"/>
          </right>
        </border>
      </ndxf>
    </rcc>
    <rcc rId="0" sId="18" dxf="1">
      <nc r="N10" t="inlineStr">
        <is>
          <t>There is more traffic on weekdays than weekends; without correcting for this, annual VMT would be overestimated.</t>
        </is>
      </nc>
      <ndxf>
        <font>
          <b val="0"/>
          <sz val="9"/>
          <color auto="1"/>
          <name val="Arial"/>
          <family val="2"/>
          <scheme val="none"/>
        </font>
        <border outline="0">
          <left style="thin">
            <color indexed="64"/>
          </left>
          <right style="thin">
            <color indexed="64"/>
          </right>
        </border>
      </ndxf>
    </rcc>
    <rcc rId="0" sId="18" dxf="1" numFmtId="4">
      <nc r="O10">
        <v>1</v>
      </nc>
      <ndxf>
        <font>
          <b val="0"/>
          <sz val="9"/>
          <color auto="1"/>
          <name val="Arial"/>
          <family val="2"/>
          <scheme val="none"/>
        </font>
        <numFmt numFmtId="4" formatCode="#,##0.00"/>
        <fill>
          <patternFill patternType="solid">
            <bgColor theme="9" tint="0.59999389629810485"/>
          </patternFill>
        </fill>
        <alignment horizontal="left" vertical="top"/>
      </ndxf>
    </rcc>
    <rfmt sheetId="18" sqref="P10" start="0" length="0">
      <dxf>
        <font>
          <b val="0"/>
          <sz val="9"/>
          <color auto="1"/>
          <name val="Arial"/>
          <family val="2"/>
          <scheme val="none"/>
        </font>
        <numFmt numFmtId="3" formatCode="#,##0"/>
        <alignment horizontal="left"/>
      </dxf>
    </rfmt>
    <rfmt sheetId="18" sqref="Q10" start="0" length="0">
      <dxf>
        <font>
          <b val="0"/>
          <sz val="9"/>
          <color auto="1"/>
          <name val="Arial"/>
          <family val="2"/>
          <scheme val="none"/>
        </font>
        <numFmt numFmtId="3" formatCode="#,##0"/>
        <alignment horizontal="left"/>
      </dxf>
    </rfmt>
    <rcc rId="0" sId="18" dxf="1">
      <nc r="R10" t="inlineStr">
        <is>
          <t>we no longer need to correct VMT</t>
        </is>
      </nc>
      <ndxf>
        <font>
          <b val="0"/>
          <sz val="9"/>
          <color auto="1"/>
          <name val="Arial"/>
          <family val="2"/>
          <scheme val="none"/>
        </font>
        <numFmt numFmtId="3" formatCode="#,##0"/>
        <alignment horizontal="left" vertical="top"/>
        <border outline="0">
          <right style="thin">
            <color indexed="64"/>
          </right>
        </border>
      </ndxf>
    </rcc>
  </rrc>
  <rrc rId="1389" sId="18" ref="A10:XFD10" action="deleteRow">
    <rfmt sheetId="18" xfDxf="1" sqref="A10:XFD10" start="0" length="0">
      <dxf>
        <font>
          <b/>
          <family val="2"/>
        </font>
        <alignment vertical="bottom"/>
      </dxf>
    </rfmt>
    <rcc rId="0" sId="18" dxf="1">
      <nc r="A10" t="inlineStr">
        <is>
          <t>calculation steps</t>
        </is>
      </nc>
      <ndxf>
        <numFmt numFmtId="30" formatCode="@"/>
        <fill>
          <patternFill patternType="solid">
            <bgColor rgb="FF00B0F0"/>
          </patternFill>
        </fill>
        <alignment horizontal="left"/>
        <border outline="0">
          <right style="thin">
            <color indexed="64"/>
          </right>
        </border>
      </ndxf>
    </rcc>
    <rfmt sheetId="18" sqref="B10" start="0" length="0">
      <dxf>
        <font>
          <b val="0"/>
          <sz val="9"/>
          <color auto="1"/>
          <name val="Arial"/>
          <family val="2"/>
          <scheme val="none"/>
        </font>
        <numFmt numFmtId="3" formatCode="#,##0"/>
        <alignment horizontal="right" vertical="top"/>
      </dxf>
    </rfmt>
    <rfmt sheetId="18" sqref="C10" start="0" length="0">
      <dxf>
        <font>
          <b val="0"/>
          <sz val="9"/>
          <color auto="1"/>
          <name val="Arial"/>
          <family val="2"/>
          <scheme val="none"/>
        </font>
        <numFmt numFmtId="30" formatCode="@"/>
        <alignment horizontal="center" vertical="top"/>
      </dxf>
    </rfmt>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fmt sheetId="18" sqref="F10" start="0" length="0">
      <dxf>
        <font>
          <b val="0"/>
          <sz val="9"/>
          <color auto="1"/>
          <name val="Arial"/>
          <family val="2"/>
          <scheme val="none"/>
        </font>
        <numFmt numFmtId="178" formatCode="0.0%"/>
        <alignment horizontal="right" vertical="top"/>
      </dxf>
    </rfmt>
    <rfmt sheetId="18" sqref="G10" start="0" length="0">
      <dxf>
        <font>
          <b val="0"/>
          <sz val="9"/>
          <color auto="1"/>
          <name val="Arial"/>
          <family val="2"/>
          <scheme val="none"/>
        </font>
        <numFmt numFmtId="3" formatCode="#,##0"/>
        <alignment vertical="top"/>
      </dxf>
    </rfmt>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fmt sheetId="18" sqref="J10" start="0" length="0">
      <dxf>
        <font>
          <b val="0"/>
          <sz val="9"/>
          <color auto="1"/>
          <name val="Arial"/>
          <family val="2"/>
          <scheme val="none"/>
        </font>
        <numFmt numFmtId="30" formatCode="@"/>
        <alignment horizontal="left" vertical="top"/>
      </dxf>
    </rfmt>
    <rfmt sheetId="18" sqref="K10" start="0" length="0">
      <dxf>
        <font>
          <b val="0"/>
          <sz val="9"/>
          <color auto="1"/>
          <name val="Arial"/>
          <family val="2"/>
          <scheme val="none"/>
        </font>
        <numFmt numFmtId="30" formatCode="@"/>
        <alignment horizontal="left" vertical="top"/>
      </dxf>
    </rfmt>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fmt sheetId="18" sqref="O10" start="0" length="0">
      <dxf>
        <font>
          <b val="0"/>
          <sz val="9"/>
          <color auto="1"/>
          <name val="Arial"/>
          <family val="2"/>
          <scheme val="none"/>
        </font>
        <numFmt numFmtId="3" formatCode="#,##0"/>
        <alignment horizontal="left" vertical="top"/>
      </dxf>
    </rfmt>
    <rfmt sheetId="18" sqref="P10" start="0" length="0">
      <dxf>
        <font>
          <b val="0"/>
          <sz val="9"/>
          <color auto="1"/>
          <name val="Arial"/>
          <family val="2"/>
          <scheme val="none"/>
        </font>
        <numFmt numFmtId="3" formatCode="#,##0"/>
        <alignment horizontal="left" vertical="top"/>
      </dxf>
    </rfmt>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0" sId="18" ref="A10:XFD10" action="deleteRow">
    <undo index="0" exp="ref" v="1" dr="O10" r="O11" sId="18"/>
    <undo index="0" exp="ref" v="1" dr="J10" r="J11" sId="18"/>
    <undo index="0" exp="ref" v="1" dr="F10" r="F11" sId="18"/>
    <undo index="0" exp="ref" v="1" dr="B10" r="B11" sId="18"/>
    <rfmt sheetId="18" xfDxf="1" sqref="A10:XFD10" start="0" length="0">
      <dxf>
        <font>
          <b/>
          <family val="2"/>
        </font>
        <alignment vertical="bottom"/>
      </dxf>
    </rfmt>
    <rcc rId="0" sId="18" dxf="1">
      <nc r="A10" t="inlineStr">
        <is>
          <t>1. aggregate baseline DVMT</t>
        </is>
      </nc>
      <ndxf>
        <font>
          <b val="0"/>
          <family val="2"/>
        </font>
        <numFmt numFmtId="30" formatCode="@"/>
        <alignment horizontal="left"/>
        <border outline="0">
          <right style="thin">
            <color indexed="64"/>
          </right>
        </border>
      </ndxf>
    </rcc>
    <rcc rId="0" sId="18" dxf="1">
      <nc r="B10">
        <f>SUM(B7:B9)</f>
      </nc>
      <ndxf>
        <font>
          <b val="0"/>
          <sz val="9"/>
          <color auto="1"/>
          <name val="Arial"/>
          <family val="2"/>
          <scheme val="none"/>
        </font>
        <numFmt numFmtId="3" formatCode="#,##0"/>
        <alignment horizontal="right" vertical="top"/>
      </ndxf>
    </rcc>
    <rcc rId="0" sId="18" dxf="1">
      <nc r="C10" t="inlineStr">
        <is>
          <t>mi</t>
        </is>
      </nc>
      <ndxf>
        <font>
          <b val="0"/>
          <sz val="9"/>
          <color auto="1"/>
          <name val="Arial"/>
          <family val="2"/>
          <scheme val="none"/>
        </font>
        <numFmt numFmtId="3" formatCode="#,##0"/>
        <alignment vertical="top"/>
      </ndxf>
    </rcc>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c r="F10">
        <f>SUM(F7:F9)</f>
      </nc>
      <ndxf>
        <font>
          <b val="0"/>
          <sz val="9"/>
          <color auto="1"/>
          <name val="Arial"/>
          <family val="2"/>
          <scheme val="none"/>
        </font>
        <numFmt numFmtId="3" formatCode="#,##0"/>
        <alignment horizontal="right" vertical="top"/>
      </ndxf>
    </rcc>
    <rcc rId="0" sId="18" dxf="1">
      <nc r="G10" t="inlineStr">
        <is>
          <t>mi</t>
        </is>
      </nc>
      <ndxf>
        <font>
          <b val="0"/>
          <sz val="9"/>
          <color auto="1"/>
          <name val="Arial"/>
          <family val="2"/>
          <scheme val="none"/>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SUM(J7:J9)</f>
      </nc>
      <ndxf>
        <font>
          <b val="0"/>
          <sz val="9"/>
          <color auto="1"/>
          <name val="Arial"/>
          <family val="2"/>
          <scheme val="none"/>
        </font>
        <numFmt numFmtId="3" formatCode="#,##0"/>
        <alignment horizontal="right" vertical="top"/>
      </ndxf>
    </rcc>
    <rcc rId="0" sId="18" dxf="1">
      <nc r="K10" t="inlineStr">
        <is>
          <t>mi</t>
        </is>
      </nc>
      <ndxf>
        <font>
          <b val="0"/>
          <sz val="9"/>
          <color auto="1"/>
          <name val="Arial"/>
          <family val="2"/>
          <scheme val="none"/>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cc rId="0" sId="18" dxf="1">
      <nc r="O10">
        <f>SUM(O7:O9)</f>
      </nc>
      <ndxf>
        <font>
          <b val="0"/>
          <sz val="9"/>
          <color auto="1"/>
          <name val="Arial"/>
          <family val="2"/>
          <scheme val="none"/>
        </font>
        <numFmt numFmtId="3" formatCode="#,##0"/>
        <alignment horizontal="right" vertical="top"/>
      </ndxf>
    </rcc>
    <rcc rId="0" sId="18" dxf="1">
      <nc r="P10" t="inlineStr">
        <is>
          <t>mi</t>
        </is>
      </nc>
      <ndxf>
        <font>
          <b val="0"/>
          <sz val="9"/>
          <color auto="1"/>
          <name val="Arial"/>
          <family val="2"/>
          <scheme val="none"/>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1" sId="18" ref="A10:XFD10" action="deleteRow">
    <undo index="0" exp="ref" v="1" dr="O10" r="O11" sId="18"/>
    <undo index="0" exp="ref" v="1" dr="J10" r="J11" sId="18"/>
    <undo index="0" exp="ref" v="1" dr="F10" r="F11" sId="18"/>
    <undo index="0" exp="ref" v="1" dr="B10" r="B11" sId="18"/>
    <rfmt sheetId="18" xfDxf="1" sqref="A10:XFD10" start="0" length="0">
      <dxf>
        <font>
          <b/>
          <family val="2"/>
        </font>
        <alignment vertical="bottom"/>
      </dxf>
    </rfmt>
    <rcc rId="0" sId="18" dxf="1">
      <nc r="A10" t="inlineStr">
        <is>
          <t>2. convert to km</t>
        </is>
      </nc>
      <ndxf>
        <font>
          <b val="0"/>
          <family val="2"/>
        </font>
        <numFmt numFmtId="30" formatCode="@"/>
        <alignment horizontal="left"/>
        <border outline="0">
          <right style="thin">
            <color indexed="64"/>
          </right>
        </border>
      </ndxf>
    </rcc>
    <rcc rId="0" sId="18" dxf="1">
      <nc r="B10">
        <f>#REF!*miTOkm</f>
      </nc>
      <ndxf>
        <font>
          <b val="0"/>
          <sz val="9"/>
          <color auto="1"/>
          <name val="Arial"/>
          <family val="2"/>
          <scheme val="none"/>
        </font>
        <numFmt numFmtId="3" formatCode="#,##0"/>
        <alignment horizontal="right" vertical="top"/>
      </ndxf>
    </rcc>
    <rcc rId="0" sId="18" dxf="1">
      <nc r="C10" t="inlineStr">
        <is>
          <t>km</t>
        </is>
      </nc>
      <ndxf>
        <font>
          <b val="0"/>
          <sz val="9"/>
          <color auto="1"/>
          <name val="Arial"/>
          <family val="2"/>
          <scheme val="none"/>
        </font>
        <numFmt numFmtId="3" formatCode="#,##0"/>
        <alignment vertical="top"/>
      </ndxf>
    </rcc>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c r="F10">
        <f>#REF!*miTOkm</f>
      </nc>
      <ndxf>
        <font>
          <b val="0"/>
          <sz val="9"/>
          <color auto="1"/>
          <name val="Arial"/>
          <family val="2"/>
          <scheme val="none"/>
        </font>
        <numFmt numFmtId="3" formatCode="#,##0"/>
        <alignment horizontal="right" vertical="top"/>
      </ndxf>
    </rcc>
    <rcc rId="0" sId="18" dxf="1">
      <nc r="G10" t="inlineStr">
        <is>
          <t>km</t>
        </is>
      </nc>
      <ndxf>
        <font>
          <b val="0"/>
          <sz val="9"/>
          <color auto="1"/>
          <name val="Arial"/>
          <family val="2"/>
          <scheme val="none"/>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#REF!*miTOkm</f>
      </nc>
      <ndxf>
        <font>
          <b val="0"/>
          <sz val="9"/>
          <color auto="1"/>
          <name val="Arial"/>
          <family val="2"/>
          <scheme val="none"/>
        </font>
        <numFmt numFmtId="3" formatCode="#,##0"/>
        <alignment horizontal="right" vertical="top"/>
      </ndxf>
    </rcc>
    <rcc rId="0" sId="18" dxf="1">
      <nc r="K10" t="inlineStr">
        <is>
          <t>km</t>
        </is>
      </nc>
      <ndxf>
        <font>
          <b val="0"/>
          <sz val="9"/>
          <color auto="1"/>
          <name val="Arial"/>
          <family val="2"/>
          <scheme val="none"/>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cc rId="0" sId="18" dxf="1">
      <nc r="O10">
        <f>#REF!*miTOkm</f>
      </nc>
      <ndxf>
        <font>
          <b val="0"/>
          <sz val="9"/>
          <color auto="1"/>
          <name val="Arial"/>
          <family val="2"/>
          <scheme val="none"/>
        </font>
        <numFmt numFmtId="3" formatCode="#,##0"/>
        <alignment horizontal="right" vertical="top"/>
      </ndxf>
    </rcc>
    <rcc rId="0" sId="18" dxf="1">
      <nc r="P10" t="inlineStr">
        <is>
          <t>km</t>
        </is>
      </nc>
      <ndxf>
        <font>
          <b val="0"/>
          <sz val="9"/>
          <color auto="1"/>
          <name val="Arial"/>
          <family val="2"/>
          <scheme val="none"/>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2" sId="18" ref="A10:XFD10" action="deleteRow">
    <undo index="0" exp="ref" v="1" dr="O10" r="O11" sId="18"/>
    <undo index="0" exp="ref" v="1" dr="J10" r="J11" sId="18"/>
    <undo index="0" exp="ref" v="1" dr="F10" r="F11" sId="18"/>
    <undo index="0" exp="ref" v="1" dr="B10" r="B11" sId="18"/>
    <rfmt sheetId="18" xfDxf="1" sqref="A10:XFD10" start="0" length="0">
      <dxf>
        <font>
          <b/>
          <family val="2"/>
        </font>
        <alignment vertical="bottom"/>
      </dxf>
    </rfmt>
    <rcc rId="0" sId="18" dxf="1">
      <nc r="A10" t="inlineStr">
        <is>
          <t>3. calculate average daily VMT: multiply by ratio of ADT/ AWDT</t>
        </is>
      </nc>
      <ndxf>
        <font>
          <b val="0"/>
          <sz val="9"/>
          <color auto="1"/>
          <name val="Arial"/>
          <family val="2"/>
          <scheme val="none"/>
        </font>
        <numFmt numFmtId="30" formatCode="@"/>
        <alignment horizontal="left"/>
        <border outline="0">
          <right style="thin">
            <color indexed="64"/>
          </right>
        </border>
      </ndxf>
    </rcc>
    <rcc rId="0" sId="18" dxf="1">
      <nc r="B10">
        <f>#REF!*#REF!</f>
      </nc>
      <ndxf>
        <font>
          <b val="0"/>
          <sz val="9"/>
          <color auto="1"/>
          <name val="Arial"/>
          <family val="2"/>
          <scheme val="none"/>
        </font>
        <numFmt numFmtId="3" formatCode="#,##0"/>
        <alignment horizontal="right" vertical="top"/>
      </ndxf>
    </rcc>
    <rcc rId="0" sId="18" dxf="1">
      <nc r="C10" t="inlineStr">
        <is>
          <t>km</t>
        </is>
      </nc>
      <ndxf>
        <font>
          <b val="0"/>
          <family val="2"/>
        </font>
        <numFmt numFmtId="3" formatCode="#,##0"/>
        <alignment vertical="top"/>
      </ndxf>
    </rcc>
    <rfmt sheetId="18" sqref="D10" start="0" length="0">
      <dxf>
        <font>
          <b val="0"/>
          <sz val="9"/>
          <color auto="1"/>
          <name val="Arial"/>
          <family val="2"/>
          <scheme val="none"/>
        </font>
        <numFmt numFmtId="30" formatCode="@"/>
        <alignment horizontal="left" vertical="top" wrapText="1"/>
      </dxf>
    </rfmt>
    <rfmt sheetId="18" sqref="E10" start="0" length="0">
      <dxf>
        <font>
          <b val="0"/>
          <sz val="9"/>
          <color auto="1"/>
          <name val="Arial"/>
          <family val="2"/>
          <scheme val="none"/>
        </font>
        <numFmt numFmtId="30" formatCode="@"/>
        <alignment horizontal="left" vertical="top" wrapText="1"/>
        <border outline="0">
          <right style="thin">
            <color indexed="64"/>
          </right>
        </border>
      </dxf>
    </rfmt>
    <rcc rId="0" sId="18" dxf="1">
      <nc r="F10">
        <f>#REF!*#REF!</f>
      </nc>
      <ndxf>
        <font>
          <b val="0"/>
          <sz val="9"/>
          <color auto="1"/>
          <name val="Arial"/>
          <family val="2"/>
          <scheme val="none"/>
        </font>
        <numFmt numFmtId="3" formatCode="#,##0"/>
        <alignment horizontal="right" vertical="top"/>
      </ndxf>
    </rcc>
    <rcc rId="0" sId="18" dxf="1">
      <nc r="G10" t="inlineStr">
        <is>
          <t>km</t>
        </is>
      </nc>
      <ndxf>
        <font>
          <b val="0"/>
          <family val="2"/>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#REF!*#REF!</f>
      </nc>
      <ndxf>
        <font>
          <b val="0"/>
          <sz val="9"/>
          <color auto="1"/>
          <name val="Arial"/>
          <family val="2"/>
          <scheme val="none"/>
        </font>
        <numFmt numFmtId="3" formatCode="#,##0"/>
        <alignment horizontal="right" vertical="top"/>
      </ndxf>
    </rcc>
    <rcc rId="0" sId="18" dxf="1">
      <nc r="K10" t="inlineStr">
        <is>
          <t>km</t>
        </is>
      </nc>
      <ndxf>
        <font>
          <b val="0"/>
          <family val="2"/>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cc rId="0" sId="18" dxf="1">
      <nc r="O10">
        <f>#REF!*#REF!</f>
      </nc>
      <ndxf>
        <font>
          <b val="0"/>
          <sz val="9"/>
          <color auto="1"/>
          <name val="Arial"/>
          <family val="2"/>
          <scheme val="none"/>
        </font>
        <numFmt numFmtId="3" formatCode="#,##0"/>
        <alignment horizontal="right" vertical="top"/>
      </ndxf>
    </rcc>
    <rcc rId="0" sId="18" dxf="1">
      <nc r="P10" t="inlineStr">
        <is>
          <t>km</t>
        </is>
      </nc>
      <ndxf>
        <font>
          <b val="0"/>
          <family val="2"/>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3" sId="18" ref="A10:XFD10" action="deleteRow">
    <undo index="0" exp="ref" v="1" dr="J10" r="J14" sId="18"/>
    <undo index="0" exp="ref" v="1" dr="F10" r="F14" sId="18"/>
    <undo index="0" exp="ref" v="1" dr="B10" r="B14" sId="18"/>
    <rfmt sheetId="18" xfDxf="1" sqref="A10:XFD10" start="0" length="0">
      <dxf>
        <font>
          <b/>
          <family val="2"/>
        </font>
        <alignment vertical="bottom"/>
      </dxf>
    </rfmt>
    <rcc rId="0" sId="18" dxf="1">
      <nc r="A10" t="inlineStr">
        <is>
          <t>4. calculate annual VMT: multiple average daily VMT by 365</t>
        </is>
      </nc>
      <ndxf>
        <font>
          <b val="0"/>
          <sz val="9"/>
          <color auto="1"/>
          <name val="Arial"/>
          <family val="2"/>
          <scheme val="none"/>
        </font>
        <numFmt numFmtId="30" formatCode="@"/>
        <alignment horizontal="left"/>
        <border outline="0">
          <right style="thin">
            <color indexed="64"/>
          </right>
        </border>
      </ndxf>
    </rcc>
    <rcc rId="0" sId="18" dxf="1">
      <nc r="B10">
        <f>#REF!*365.25</f>
      </nc>
      <ndxf>
        <font>
          <b val="0"/>
          <sz val="9"/>
          <color auto="1"/>
          <name val="Arial"/>
          <family val="2"/>
          <scheme val="none"/>
        </font>
        <numFmt numFmtId="3" formatCode="#,##0"/>
        <alignment horizontal="right" vertical="top"/>
      </ndxf>
    </rcc>
    <rcc rId="0" sId="18" dxf="1">
      <nc r="C10" t="inlineStr">
        <is>
          <t>km</t>
        </is>
      </nc>
      <ndxf>
        <font>
          <b val="0"/>
          <family val="2"/>
        </font>
        <numFmt numFmtId="3" formatCode="#,##0"/>
        <alignment vertical="top"/>
      </ndxf>
    </rcc>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c r="F10">
        <f>#REF!*365.25</f>
      </nc>
      <ndxf>
        <font>
          <b val="0"/>
          <sz val="9"/>
          <color auto="1"/>
          <name val="Arial"/>
          <family val="2"/>
          <scheme val="none"/>
        </font>
        <numFmt numFmtId="3" formatCode="#,##0"/>
        <alignment horizontal="right" vertical="top"/>
      </ndxf>
    </rcc>
    <rcc rId="0" sId="18" dxf="1">
      <nc r="G10" t="inlineStr">
        <is>
          <t>km</t>
        </is>
      </nc>
      <ndxf>
        <font>
          <b val="0"/>
          <family val="2"/>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#REF!*365.25</f>
      </nc>
      <ndxf>
        <font>
          <b val="0"/>
          <sz val="9"/>
          <color auto="1"/>
          <name val="Arial"/>
          <family val="2"/>
          <scheme val="none"/>
        </font>
        <numFmt numFmtId="3" formatCode="#,##0"/>
        <alignment horizontal="right" vertical="top"/>
      </ndxf>
    </rcc>
    <rcc rId="0" sId="18" dxf="1">
      <nc r="K10" t="inlineStr">
        <is>
          <t>km</t>
        </is>
      </nc>
      <ndxf>
        <font>
          <b val="0"/>
          <family val="2"/>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font>
          <b val="0"/>
          <sz val="7"/>
          <family val="2"/>
        </font>
        <border outline="0">
          <left style="thin">
            <color indexed="64"/>
          </left>
          <right style="thin">
            <color indexed="64"/>
          </right>
        </border>
      </dxf>
    </rfmt>
    <rcc rId="0" sId="18" dxf="1">
      <nc r="O10">
        <f>#REF!*365.25</f>
      </nc>
      <ndxf>
        <font>
          <b val="0"/>
          <sz val="9"/>
          <color auto="1"/>
          <name val="Arial"/>
          <family val="2"/>
          <scheme val="none"/>
        </font>
        <numFmt numFmtId="3" formatCode="#,##0"/>
        <alignment horizontal="right" vertical="top"/>
      </ndxf>
    </rcc>
    <rcc rId="0" sId="18" dxf="1">
      <nc r="P10" t="inlineStr">
        <is>
          <t>km</t>
        </is>
      </nc>
      <ndxf>
        <font>
          <b val="0"/>
          <family val="2"/>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4" sId="18" ref="A10:XFD10" action="deleteRow">
    <undo index="0" exp="ref" v="1" dr="O10" r="O11" sId="18"/>
    <undo index="0" exp="ref" v="1" dr="J10" r="J11" sId="18"/>
    <undo index="0" exp="ref" v="1" dr="F10" r="F11" sId="18"/>
    <undo index="0" exp="ref" v="1" dr="B10" r="B11" sId="18"/>
    <rfmt sheetId="18" xfDxf="1" sqref="A10:XFD10" start="0" length="0">
      <dxf>
        <font>
          <b/>
          <family val="2"/>
        </font>
        <alignment vertical="bottom"/>
      </dxf>
    </rfmt>
    <rcc rId="0" sId="18" dxf="1">
      <nc r="A10" t="inlineStr">
        <is>
          <t>5. compute aggregate fuel efficiency</t>
        </is>
      </nc>
      <ndxf>
        <font>
          <b val="0"/>
          <sz val="9"/>
          <color auto="1"/>
          <name val="Arial"/>
          <family val="2"/>
          <scheme val="none"/>
        </font>
        <numFmt numFmtId="30" formatCode="@"/>
        <alignment horizontal="left"/>
        <border outline="0">
          <right style="thin">
            <color indexed="64"/>
          </right>
        </border>
      </ndxf>
    </rcc>
    <rcc rId="0" sId="18" dxf="1">
      <nc r="B10">
        <f>SUM(#REF!)/SUM(#REF!)</f>
      </nc>
      <ndxf>
        <font>
          <b val="0"/>
          <sz val="9"/>
          <color auto="1"/>
          <name val="Arial"/>
          <family val="2"/>
          <scheme val="none"/>
        </font>
        <numFmt numFmtId="165" formatCode="#,##0.0"/>
        <alignment horizontal="right" vertical="top"/>
      </ndxf>
    </rcc>
    <rcc rId="0" sId="18" dxf="1">
      <nc r="C10" t="inlineStr">
        <is>
          <t>mi/gal</t>
        </is>
      </nc>
      <ndxf>
        <font>
          <b val="0"/>
          <family val="2"/>
        </font>
        <numFmt numFmtId="3" formatCode="#,##0"/>
        <alignment vertical="top"/>
      </ndxf>
    </rcc>
    <rfmt sheetId="18" sqref="D10" start="0" length="0">
      <dxf>
        <font>
          <b val="0"/>
          <sz val="9"/>
          <color auto="1"/>
          <name val="Arial"/>
          <family val="2"/>
          <scheme val="none"/>
        </font>
        <alignment horizontal="left" vertical="top"/>
      </dxf>
    </rfmt>
    <rfmt sheetId="18" sqref="E10" start="0" length="0">
      <dxf>
        <font>
          <b val="0"/>
          <sz val="9"/>
          <color auto="1"/>
          <name val="Arial"/>
          <family val="2"/>
          <scheme val="none"/>
        </font>
        <alignment horizontal="left" vertical="top"/>
        <border outline="0">
          <right style="thin">
            <color indexed="64"/>
          </right>
        </border>
      </dxf>
    </rfmt>
    <rcc rId="0" sId="18" dxf="1">
      <nc r="F10">
        <f>SUM(#REF!)/SUM(#REF!)</f>
      </nc>
      <ndxf>
        <font>
          <b val="0"/>
          <sz val="9"/>
          <color auto="1"/>
          <name val="Arial"/>
          <family val="2"/>
          <scheme val="none"/>
        </font>
        <numFmt numFmtId="165" formatCode="#,##0.0"/>
        <alignment horizontal="right" vertical="top"/>
      </ndxf>
    </rcc>
    <rcc rId="0" sId="18" dxf="1">
      <nc r="G10" t="inlineStr">
        <is>
          <t>mi/gal</t>
        </is>
      </nc>
      <ndxf>
        <font>
          <b val="0"/>
          <family val="2"/>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F10</f>
      </nc>
      <ndxf>
        <font>
          <b val="0"/>
          <sz val="9"/>
          <color auto="1"/>
          <name val="Arial"/>
          <family val="2"/>
          <scheme val="none"/>
        </font>
        <numFmt numFmtId="165" formatCode="#,##0.0"/>
        <alignment horizontal="right" vertical="top"/>
      </ndxf>
    </rcc>
    <rcc rId="0" sId="18" dxf="1">
      <nc r="K10" t="inlineStr">
        <is>
          <t>mi/gal</t>
        </is>
      </nc>
      <ndxf>
        <font>
          <b val="0"/>
          <family val="2"/>
        </font>
        <numFmt numFmtId="3" formatCode="#,##0"/>
        <alignment vertical="top"/>
      </ndxf>
    </rcc>
    <rfmt sheetId="18" sqref="L10" start="0" length="0">
      <dxf>
        <font>
          <b val="0"/>
          <sz val="9"/>
          <color auto="1"/>
          <name val="Arial"/>
          <family val="2"/>
          <scheme val="none"/>
        </font>
        <numFmt numFmtId="30" formatCode="@"/>
        <alignment horizontal="left" vertical="top"/>
      </dxf>
    </rfmt>
    <rcc rId="0" sId="18" dxf="1">
      <nc r="M10" t="inlineStr">
        <is>
          <r>
            <t xml:space="preserve">Assumed same as 2008 while awaiting updated data using comparable method.  Preliminary data from Table VM-1 of DOT's </t>
          </r>
          <r>
            <rPr>
              <i/>
              <sz val="9"/>
              <rFont val="Arial"/>
              <family val="2"/>
            </rPr>
            <t xml:space="preserve">Highway Statistics </t>
          </r>
          <r>
            <rPr>
              <sz val="9"/>
              <rFont val="Arial"/>
              <family val="2"/>
            </rPr>
            <t>suggests fuel efficiency has held steady 2008-2009 or dropped slightly</t>
          </r>
        </is>
      </nc>
      <ndxf>
        <font>
          <b val="0"/>
          <sz val="9"/>
          <color auto="1"/>
          <name val="Arial"/>
          <family val="2"/>
          <scheme val="none"/>
        </font>
        <numFmt numFmtId="30" formatCode="@"/>
        <alignment horizontal="left" vertical="top"/>
        <border outline="0">
          <right style="thin">
            <color indexed="64"/>
          </right>
        </border>
      </ndxf>
    </rcc>
    <rcc rId="0" sId="18" dxf="1">
      <nc r="N10" t="inlineStr">
        <is>
          <t>Perhaps update with KC-specific mpg in future.</t>
        </is>
      </nc>
      <ndxf>
        <font>
          <b val="0"/>
          <sz val="9"/>
          <color auto="1"/>
          <name val="Arial"/>
          <family val="2"/>
          <scheme val="none"/>
        </font>
        <border outline="0">
          <left style="thin">
            <color indexed="64"/>
          </left>
          <right style="thin">
            <color indexed="64"/>
          </right>
        </border>
      </ndxf>
    </rcc>
    <rcc rId="0" sId="18" dxf="1">
      <nc r="O10">
        <f>#REF!/#REF!</f>
      </nc>
      <ndxf>
        <font>
          <b val="0"/>
          <sz val="9"/>
          <color auto="1"/>
          <name val="Arial"/>
          <family val="2"/>
          <scheme val="none"/>
        </font>
        <numFmt numFmtId="165" formatCode="#,##0.0"/>
        <alignment horizontal="right" vertical="top"/>
      </ndxf>
    </rcc>
    <rcc rId="0" sId="18" dxf="1">
      <nc r="P10" t="inlineStr">
        <is>
          <t>mi/gal</t>
        </is>
      </nc>
      <ndxf>
        <font>
          <b val="0"/>
          <sz val="9"/>
          <color auto="1"/>
          <name val="Arial"/>
          <family val="2"/>
          <scheme val="none"/>
        </font>
        <numFmt numFmtId="3" formatCode="#,##0"/>
        <alignment horizontal="left" vertical="top"/>
      </ndxf>
    </rcc>
    <rfmt sheetId="18" sqref="Q10" start="0" length="0">
      <dxf>
        <font>
          <b val="0"/>
          <sz val="9"/>
          <color auto="1"/>
          <name val="Arial"/>
          <family val="2"/>
          <scheme val="none"/>
        </font>
        <numFmt numFmtId="3" formatCode="#,##0"/>
        <alignment horizontal="left" vertical="top"/>
      </dxf>
    </rfmt>
    <rcc rId="0" sId="18" dxf="1">
      <nc r="R10" t="inlineStr">
        <is>
          <t>We will need  to update this to have a new ef</t>
        </is>
      </nc>
      <ndxf>
        <font>
          <b val="0"/>
          <sz val="9"/>
          <color auto="1"/>
          <name val="Arial"/>
          <family val="2"/>
          <scheme val="none"/>
        </font>
        <numFmt numFmtId="3" formatCode="#,##0"/>
        <alignment horizontal="left" vertical="top"/>
        <border outline="0">
          <right style="thin">
            <color indexed="64"/>
          </right>
        </border>
      </ndxf>
    </rcc>
  </rrc>
  <rrc rId="1395" sId="18" ref="A10:XFD10" action="deleteRow">
    <undo index="65535" exp="ref" v="1" dr="O10" r="O11" sId="18"/>
    <undo index="65535" exp="ref" v="1" dr="J10" r="J11" sId="18"/>
    <undo index="65535" exp="ref" v="1" dr="F10" r="F11" sId="18"/>
    <undo index="65535" exp="ref" v="1" dr="B10" r="B11" sId="18"/>
    <rfmt sheetId="18" xfDxf="1" sqref="A10:XFD10" start="0" length="0">
      <dxf>
        <font>
          <b/>
          <family val="2"/>
        </font>
        <alignment vertical="bottom"/>
      </dxf>
    </rfmt>
    <rcc rId="0" sId="18" dxf="1">
      <nc r="A10" t="inlineStr">
        <is>
          <t>6. convert to metric units</t>
        </is>
      </nc>
      <ndxf>
        <font>
          <b val="0"/>
          <sz val="9"/>
          <color auto="1"/>
          <name val="Arial"/>
          <family val="2"/>
          <scheme val="none"/>
        </font>
        <numFmt numFmtId="30" formatCode="@"/>
        <alignment horizontal="left"/>
        <border outline="0">
          <right style="thin">
            <color indexed="64"/>
          </right>
        </border>
      </ndxf>
    </rcc>
    <rcc rId="0" sId="18" dxf="1">
      <nc r="B10">
        <f>#REF!*miTOkm/galTOL</f>
      </nc>
      <ndxf>
        <font>
          <b val="0"/>
          <sz val="9"/>
          <color auto="1"/>
          <name val="Arial"/>
          <family val="2"/>
          <scheme val="none"/>
        </font>
        <numFmt numFmtId="165" formatCode="#,##0.0"/>
        <alignment horizontal="right" vertical="top"/>
      </ndxf>
    </rcc>
    <rcc rId="0" sId="18" dxf="1">
      <nc r="C10" t="inlineStr">
        <is>
          <t>km/L</t>
        </is>
      </nc>
      <ndxf>
        <font>
          <b val="0"/>
          <family val="2"/>
        </font>
        <numFmt numFmtId="3" formatCode="#,##0"/>
        <alignment vertical="top"/>
      </ndxf>
    </rcc>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c r="F10">
        <f>#REF!*miTOkm/galTOL</f>
      </nc>
      <ndxf>
        <font>
          <b val="0"/>
          <sz val="9"/>
          <color auto="1"/>
          <name val="Arial"/>
          <family val="2"/>
          <scheme val="none"/>
        </font>
        <numFmt numFmtId="165" formatCode="#,##0.0"/>
        <alignment horizontal="right" vertical="top"/>
      </ndxf>
    </rcc>
    <rcc rId="0" sId="18" dxf="1">
      <nc r="G10" t="inlineStr">
        <is>
          <t>km/L</t>
        </is>
      </nc>
      <ndxf>
        <font>
          <b val="0"/>
          <family val="2"/>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#REF!*miTOkm/galTOL</f>
      </nc>
      <ndxf>
        <font>
          <b val="0"/>
          <sz val="9"/>
          <color auto="1"/>
          <name val="Arial"/>
          <family val="2"/>
          <scheme val="none"/>
        </font>
        <numFmt numFmtId="165" formatCode="#,##0.0"/>
        <alignment horizontal="right" vertical="top"/>
      </ndxf>
    </rcc>
    <rcc rId="0" sId="18" dxf="1">
      <nc r="K10" t="inlineStr">
        <is>
          <t>km/L</t>
        </is>
      </nc>
      <ndxf>
        <font>
          <b val="0"/>
          <family val="2"/>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cc rId="0" sId="18" dxf="1">
      <nc r="O10">
        <f>#REF!*miTOkm/galTOL</f>
      </nc>
      <ndxf>
        <font>
          <b val="0"/>
          <sz val="9"/>
          <color auto="1"/>
          <name val="Arial"/>
          <family val="2"/>
          <scheme val="none"/>
        </font>
        <numFmt numFmtId="165" formatCode="#,##0.0"/>
        <alignment horizontal="right" vertical="top"/>
      </ndxf>
    </rcc>
    <rcc rId="0" sId="18" dxf="1">
      <nc r="P10" t="inlineStr">
        <is>
          <t>km/L</t>
        </is>
      </nc>
      <ndxf>
        <font>
          <b val="0"/>
          <family val="2"/>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rc rId="1396" sId="18" ref="A10:XFD10" action="deleteRow">
    <undo index="1" exp="ref" v="1" dr="J10" r="J11" sId="18"/>
    <undo index="1" exp="ref" v="1" dr="F10" r="F11" sId="18"/>
    <undo index="1" exp="ref" v="1" dr="B10" r="B11" sId="18"/>
    <rfmt sheetId="18" xfDxf="1" sqref="A10:XFD10" start="0" length="0">
      <dxf>
        <font>
          <b/>
          <family val="2"/>
        </font>
        <alignment vertical="bottom"/>
      </dxf>
    </rfmt>
    <rcc rId="0" sId="18" dxf="1">
      <nc r="A10" t="inlineStr">
        <is>
          <t>7. compute emissions factor</t>
        </is>
      </nc>
      <ndxf>
        <font>
          <b val="0"/>
          <sz val="9"/>
          <color auto="1"/>
          <name val="Arial"/>
          <family val="2"/>
          <scheme val="none"/>
        </font>
        <numFmt numFmtId="30" formatCode="@"/>
        <alignment horizontal="left"/>
        <border outline="0">
          <right style="thin">
            <color indexed="64"/>
          </right>
        </border>
      </ndxf>
    </rcc>
    <rcc rId="0" sId="18" dxf="1">
      <nc r="B10">
        <f>efgasoline03/#REF!</f>
      </nc>
      <ndxf>
        <font>
          <b val="0"/>
          <sz val="9"/>
          <color auto="1"/>
          <name val="Arial"/>
          <family val="2"/>
          <scheme val="none"/>
        </font>
        <numFmt numFmtId="3" formatCode="#,##0"/>
        <alignment horizontal="right" vertical="top"/>
      </ndxf>
    </rcc>
    <rcc rId="0" sId="18" dxf="1">
      <nc r="C10" t="inlineStr">
        <is>
          <r>
            <t>gCO</t>
          </r>
          <r>
            <rPr>
              <vertAlign val="subscript"/>
              <sz val="9"/>
              <rFont val="Arial"/>
              <family val="2"/>
            </rPr>
            <t>2</t>
          </r>
          <r>
            <rPr>
              <sz val="9"/>
              <rFont val="Arial"/>
              <family val="2"/>
            </rPr>
            <t>/km</t>
          </r>
        </is>
      </nc>
      <ndxf>
        <font>
          <b val="0"/>
          <family val="2"/>
        </font>
        <numFmt numFmtId="3" formatCode="#,##0"/>
        <alignment vertical="top"/>
      </ndxf>
    </rcc>
    <rfmt sheetId="18" sqref="D10" start="0" length="0">
      <dxf>
        <font>
          <b val="0"/>
          <sz val="9"/>
          <color auto="1"/>
          <name val="Arial"/>
          <family val="2"/>
          <scheme val="none"/>
        </font>
        <numFmt numFmtId="30" formatCode="@"/>
        <alignment horizontal="left" vertical="top"/>
      </dxf>
    </rfmt>
    <rfmt sheetId="18" sqref="E10" start="0" length="0">
      <dxf>
        <font>
          <b val="0"/>
          <sz val="9"/>
          <color auto="1"/>
          <name val="Arial"/>
          <family val="2"/>
          <scheme val="none"/>
        </font>
        <numFmt numFmtId="30" formatCode="@"/>
        <alignment horizontal="left" vertical="top"/>
        <border outline="0">
          <right style="thin">
            <color indexed="64"/>
          </right>
        </border>
      </dxf>
    </rfmt>
    <rcc rId="0" sId="18" dxf="1">
      <nc r="F10">
        <f>efgasoline08/#REF!</f>
      </nc>
      <ndxf>
        <font>
          <b val="0"/>
          <sz val="9"/>
          <color auto="1"/>
          <name val="Arial"/>
          <family val="2"/>
          <scheme val="none"/>
        </font>
        <numFmt numFmtId="3" formatCode="#,##0"/>
        <alignment horizontal="right" vertical="top"/>
      </ndxf>
    </rcc>
    <rcc rId="0" sId="18" dxf="1">
      <nc r="G10" t="inlineStr">
        <is>
          <r>
            <t>gCO</t>
          </r>
          <r>
            <rPr>
              <vertAlign val="subscript"/>
              <sz val="9"/>
              <rFont val="Arial"/>
              <family val="2"/>
            </rPr>
            <t>2</t>
          </r>
          <r>
            <rPr>
              <sz val="9"/>
              <rFont val="Arial"/>
              <family val="2"/>
            </rPr>
            <t>/km</t>
          </r>
        </is>
      </nc>
      <ndxf>
        <font>
          <b val="0"/>
          <family val="2"/>
        </font>
        <numFmt numFmtId="3" formatCode="#,##0"/>
        <alignment vertical="top"/>
      </ndxf>
    </rcc>
    <rfmt sheetId="18" sqref="H10" start="0" length="0">
      <dxf>
        <font>
          <b val="0"/>
          <sz val="9"/>
          <color auto="1"/>
          <name val="Arial"/>
          <family val="2"/>
          <scheme val="none"/>
        </font>
        <numFmt numFmtId="30" formatCode="@"/>
        <alignment horizontal="left" vertical="top"/>
      </dxf>
    </rfmt>
    <rfmt sheetId="18" sqref="I10" start="0" length="0">
      <dxf>
        <font>
          <b val="0"/>
          <sz val="9"/>
          <color auto="1"/>
          <name val="Arial"/>
          <family val="2"/>
          <scheme val="none"/>
        </font>
        <numFmt numFmtId="30" formatCode="@"/>
        <alignment horizontal="left" vertical="top"/>
        <border outline="0">
          <right style="thin">
            <color indexed="64"/>
          </right>
        </border>
      </dxf>
    </rfmt>
    <rcc rId="0" sId="18" dxf="1">
      <nc r="J10">
        <f>efgasoline09/#REF!</f>
      </nc>
      <ndxf>
        <font>
          <b val="0"/>
          <sz val="9"/>
          <color auto="1"/>
          <name val="Arial"/>
          <family val="2"/>
          <scheme val="none"/>
        </font>
        <numFmt numFmtId="3" formatCode="#,##0"/>
        <alignment horizontal="right" vertical="top"/>
      </ndxf>
    </rcc>
    <rcc rId="0" sId="18" dxf="1">
      <nc r="K10" t="inlineStr">
        <is>
          <r>
            <t>gCO</t>
          </r>
          <r>
            <rPr>
              <vertAlign val="subscript"/>
              <sz val="9"/>
              <rFont val="Arial"/>
              <family val="2"/>
            </rPr>
            <t>2</t>
          </r>
          <r>
            <rPr>
              <sz val="9"/>
              <rFont val="Arial"/>
              <family val="2"/>
            </rPr>
            <t>/km</t>
          </r>
        </is>
      </nc>
      <ndxf>
        <font>
          <b val="0"/>
          <family val="2"/>
        </font>
        <numFmt numFmtId="3" formatCode="#,##0"/>
        <alignment vertical="top"/>
      </ndxf>
    </rcc>
    <rfmt sheetId="18" sqref="L10" start="0" length="0">
      <dxf>
        <font>
          <b val="0"/>
          <sz val="9"/>
          <color auto="1"/>
          <name val="Arial"/>
          <family val="2"/>
          <scheme val="none"/>
        </font>
        <numFmt numFmtId="30" formatCode="@"/>
        <alignment horizontal="left" vertical="top"/>
      </dxf>
    </rfmt>
    <rfmt sheetId="18" sqref="M10" start="0" length="0">
      <dxf>
        <font>
          <b val="0"/>
          <sz val="9"/>
          <color auto="1"/>
          <name val="Arial"/>
          <family val="2"/>
          <scheme val="none"/>
        </font>
        <numFmt numFmtId="30" formatCode="@"/>
        <alignment horizontal="left" vertical="top"/>
        <border outline="0">
          <right style="thin">
            <color indexed="64"/>
          </right>
        </border>
      </dxf>
    </rfmt>
    <rfmt sheetId="18" sqref="N10" start="0" length="0">
      <dxf>
        <border outline="0">
          <left style="thin">
            <color indexed="64"/>
          </left>
          <right style="thin">
            <color indexed="64"/>
          </right>
        </border>
      </dxf>
    </rfmt>
    <rcc rId="0" sId="18" dxf="1">
      <nc r="O10">
        <f>efgasoline05/#REF!</f>
      </nc>
      <ndxf>
        <font>
          <b val="0"/>
          <sz val="9"/>
          <color auto="1"/>
          <name val="Arial"/>
          <family val="2"/>
          <scheme val="none"/>
        </font>
        <numFmt numFmtId="3" formatCode="#,##0"/>
        <alignment horizontal="right" vertical="top"/>
      </ndxf>
    </rcc>
    <rcc rId="0" sId="18" dxf="1">
      <nc r="P10" t="inlineStr">
        <is>
          <r>
            <t>gCO</t>
          </r>
          <r>
            <rPr>
              <vertAlign val="subscript"/>
              <sz val="9"/>
              <rFont val="Arial"/>
              <family val="2"/>
            </rPr>
            <t>2</t>
          </r>
          <r>
            <rPr>
              <sz val="9"/>
              <rFont val="Arial"/>
              <family val="2"/>
            </rPr>
            <t>/km</t>
          </r>
        </is>
      </nc>
      <ndxf>
        <font>
          <b val="0"/>
          <family val="2"/>
        </font>
        <numFmt numFmtId="3" formatCode="#,##0"/>
        <alignment vertical="top"/>
      </ndxf>
    </rcc>
    <rfmt sheetId="18" sqref="Q10" start="0" length="0">
      <dxf>
        <font>
          <b val="0"/>
          <sz val="9"/>
          <color auto="1"/>
          <name val="Arial"/>
          <family val="2"/>
          <scheme val="none"/>
        </font>
        <numFmt numFmtId="3" formatCode="#,##0"/>
        <alignment horizontal="left" vertical="top"/>
      </dxf>
    </rfmt>
    <rfmt sheetId="18" sqref="R10" start="0" length="0">
      <dxf>
        <font>
          <b val="0"/>
          <sz val="9"/>
          <color auto="1"/>
          <name val="Arial"/>
          <family val="2"/>
          <scheme val="none"/>
        </font>
        <numFmt numFmtId="3" formatCode="#,##0"/>
        <alignment horizontal="left" vertical="top"/>
        <border outline="0">
          <right style="thin">
            <color indexed="64"/>
          </right>
        </border>
      </dxf>
    </rfmt>
  </rrc>
  <rcc rId="1397" sId="18" numFmtId="4">
    <oc r="O7">
      <v>40788876.044990078</v>
    </oc>
    <nc r="O7">
      <v>29644648.64168825</v>
    </nc>
  </rcc>
  <rcc rId="1398" sId="18" numFmtId="4">
    <nc r="O8">
      <v>7589916.2060248218</v>
    </nc>
  </rcc>
  <rcc rId="1399" sId="18" numFmtId="4">
    <nc r="O9">
      <v>3641454.6037253658</v>
    </nc>
  </rcc>
  <rrc rId="1400" sId="18" ref="A10:XFD10" action="insertRow"/>
  <rrc rId="1401" sId="18" ref="A10:XFD10" action="insertRow"/>
  <rcc rId="1402" sId="18" odxf="1" dxf="1">
    <nc r="A10" t="inlineStr">
      <is>
        <t>Running Emissions</t>
      </is>
    </nc>
    <odxf>
      <font>
        <family val="2"/>
      </font>
    </odxf>
    <ndxf>
      <font>
        <sz val="9"/>
        <color auto="1"/>
        <name val="Arial"/>
        <family val="2"/>
        <scheme val="none"/>
      </font>
    </ndxf>
  </rcc>
  <rcc rId="1403" sId="18" odxf="1" dxf="1">
    <nc r="A11" t="inlineStr">
      <is>
        <t>Start Emissions</t>
      </is>
    </nc>
    <odxf>
      <font>
        <family val="2"/>
      </font>
    </odxf>
    <ndxf>
      <font>
        <sz val="9"/>
        <color auto="1"/>
        <name val="Arial"/>
        <family val="2"/>
        <scheme val="none"/>
      </font>
    </ndxf>
  </rcc>
  <rcc rId="1404" sId="18" numFmtId="4">
    <nc r="O10">
      <v>4815582.5725452872</v>
    </nc>
  </rcc>
  <rcc rId="1405" sId="18" numFmtId="4">
    <nc r="O11">
      <v>24436.078117790417</v>
    </nc>
  </rcc>
  <rfmt sheetId="18" sqref="O8:O11">
    <dxf>
      <alignment horizontal="right"/>
    </dxf>
  </rfmt>
  <rrc rId="1406" sId="18" ref="A10:XFD10" action="insertRow"/>
  <rcc rId="1407" sId="18" odxf="1" dxf="1">
    <nc r="A10" t="inlineStr">
      <is>
        <t>Day to Year Conversion Factor</t>
      </is>
    </nc>
    <odxf>
      <font>
        <family val="2"/>
      </font>
    </odxf>
    <ndxf>
      <font>
        <sz val="9"/>
        <color auto="1"/>
        <name val="Arial"/>
        <family val="2"/>
        <scheme val="none"/>
      </font>
    </ndxf>
  </rcc>
  <rcc rId="1408" sId="18" numFmtId="4">
    <nc r="O10">
      <v>290</v>
    </nc>
  </rcc>
  <rrc rId="1409" sId="18" ref="A11:XFD11" action="insertRow"/>
  <rcc rId="1410" sId="18">
    <nc r="A11" t="inlineStr">
      <is>
        <t>Annual VMT</t>
      </is>
    </nc>
  </rcc>
  <rcc rId="1411" sId="18">
    <nc r="O11">
      <f>SUM(O7:O9)*O10</f>
    </nc>
  </rcc>
  <rrc rId="1412" sId="18" ref="A11:XFD11" action="deleteRow">
    <rfmt sheetId="18" xfDxf="1" sqref="A11:XFD11" start="0" length="0">
      <dxf>
        <font>
          <b/>
          <family val="2"/>
        </font>
        <alignment vertical="bottom"/>
      </dxf>
    </rfmt>
    <rcc rId="0" sId="18" dxf="1">
      <nc r="A11" t="inlineStr">
        <is>
          <t>Annual VMT</t>
        </is>
      </nc>
      <ndxf>
        <font>
          <b val="0"/>
          <sz val="9"/>
          <color auto="1"/>
          <name val="Arial"/>
          <family val="2"/>
          <scheme val="none"/>
        </font>
        <numFmt numFmtId="30" formatCode="@"/>
        <alignment horizontal="left" indent="2"/>
        <border outline="0">
          <right style="thin">
            <color indexed="64"/>
          </right>
        </border>
      </ndxf>
    </rcc>
    <rfmt sheetId="18" sqref="B11" start="0" length="0">
      <dxf>
        <font>
          <b val="0"/>
          <sz val="9"/>
          <color auto="1"/>
          <name val="Arial"/>
          <family val="2"/>
          <scheme val="none"/>
        </font>
        <numFmt numFmtId="3" formatCode="#,##0"/>
        <alignment horizontal="right" vertical="top"/>
      </dxf>
    </rfmt>
    <rfmt sheetId="18" sqref="C11" start="0" length="0">
      <dxf>
        <font>
          <b val="0"/>
          <sz val="9"/>
          <color auto="1"/>
          <name val="Arial"/>
          <family val="2"/>
          <scheme val="none"/>
        </font>
        <numFmt numFmtId="30" formatCode="@"/>
        <alignment horizontal="center" vertical="top"/>
      </dxf>
    </rfmt>
    <rfmt sheetId="18" sqref="D11" start="0" length="0">
      <dxf>
        <font>
          <b val="0"/>
          <sz val="9"/>
          <color auto="1"/>
          <name val="Arial"/>
          <family val="2"/>
          <scheme val="none"/>
        </font>
      </dxf>
    </rfmt>
    <rfmt sheetId="18" sqref="E11" start="0" length="0">
      <dxf>
        <font>
          <b val="0"/>
          <sz val="9"/>
          <color auto="1"/>
          <name val="Arial"/>
          <family val="2"/>
          <scheme val="none"/>
        </font>
        <numFmt numFmtId="30" formatCode="@"/>
        <alignment horizontal="left" vertical="top"/>
        <border outline="0">
          <right style="thin">
            <color indexed="64"/>
          </right>
        </border>
      </dxf>
    </rfmt>
    <rfmt sheetId="18" sqref="F11" start="0" length="0">
      <dxf>
        <font>
          <b val="0"/>
          <sz val="9"/>
          <color auto="1"/>
          <name val="Arial"/>
          <family val="2"/>
          <scheme val="none"/>
        </font>
        <numFmt numFmtId="3" formatCode="#,##0"/>
        <alignment horizontal="right"/>
      </dxf>
    </rfmt>
    <rfmt sheetId="18" sqref="G11" start="0" length="0">
      <dxf>
        <font>
          <b val="0"/>
          <sz val="9"/>
          <color auto="1"/>
          <name val="Arial"/>
          <family val="2"/>
          <scheme val="none"/>
        </font>
        <numFmt numFmtId="3" formatCode="#,##0"/>
        <alignment vertical="top"/>
      </dxf>
    </rfmt>
    <rfmt sheetId="18" sqref="H11" start="0" length="0">
      <dxf>
        <font>
          <b val="0"/>
          <sz val="9"/>
          <color auto="1"/>
          <name val="Arial"/>
          <family val="2"/>
          <scheme val="none"/>
        </font>
      </dxf>
    </rfmt>
    <rfmt sheetId="18" sqref="I11" start="0" length="0">
      <dxf>
        <font>
          <b val="0"/>
          <sz val="9"/>
          <color auto="1"/>
          <name val="Arial"/>
          <family val="2"/>
          <scheme val="none"/>
        </font>
        <numFmt numFmtId="30" formatCode="@"/>
        <alignment horizontal="left" vertical="top"/>
        <border outline="0">
          <right style="thin">
            <color indexed="64"/>
          </right>
        </border>
      </dxf>
    </rfmt>
    <rfmt sheetId="18" s="1" sqref="J11" start="0" length="0">
      <dxf>
        <font>
          <b val="0"/>
          <sz val="9"/>
          <color auto="1"/>
          <name val="Arial"/>
          <family val="2"/>
          <scheme val="none"/>
        </font>
        <numFmt numFmtId="181" formatCode="_(* #,##0_);_(* \(#,##0\);_(* &quot;-&quot;??_);_(@_)"/>
        <alignment horizontal="left" vertical="top"/>
      </dxf>
    </rfmt>
    <rfmt sheetId="18" sqref="K11" start="0" length="0">
      <dxf>
        <font>
          <b val="0"/>
          <sz val="9"/>
          <color auto="1"/>
          <name val="Arial"/>
          <family val="2"/>
          <scheme val="none"/>
        </font>
        <numFmt numFmtId="3" formatCode="#,##0"/>
        <alignment vertical="top"/>
      </dxf>
    </rfmt>
    <rfmt sheetId="18" sqref="L11" start="0" length="0">
      <dxf>
        <font>
          <b val="0"/>
          <sz val="9"/>
          <color auto="1"/>
          <name val="Arial"/>
          <family val="2"/>
          <scheme val="none"/>
        </font>
      </dxf>
    </rfmt>
    <rfmt sheetId="18" sqref="M11" start="0" length="0">
      <dxf>
        <font>
          <b val="0"/>
          <sz val="9"/>
          <color auto="1"/>
          <name val="Arial"/>
          <family val="2"/>
          <scheme val="none"/>
        </font>
        <numFmt numFmtId="30" formatCode="@"/>
        <alignment horizontal="left" vertical="top"/>
        <border outline="0">
          <right style="thin">
            <color indexed="64"/>
          </right>
        </border>
      </dxf>
    </rfmt>
    <rfmt sheetId="18" sqref="N11" start="0" length="0">
      <dxf>
        <border outline="0">
          <left style="thin">
            <color indexed="64"/>
          </left>
          <right style="thin">
            <color indexed="64"/>
          </right>
        </border>
      </dxf>
    </rfmt>
    <rcc rId="0" sId="18" dxf="1">
      <nc r="O11">
        <f>SUM(O7:O9)*O10</f>
      </nc>
      <ndxf>
        <font>
          <b val="0"/>
          <sz val="9"/>
          <color auto="1"/>
          <name val="Arial"/>
          <family val="2"/>
          <scheme val="none"/>
        </font>
        <numFmt numFmtId="3" formatCode="#,##0"/>
        <fill>
          <patternFill patternType="solid">
            <bgColor theme="9" tint="0.59999389629810485"/>
          </patternFill>
        </fill>
        <alignment horizontal="right" vertical="top"/>
      </ndxf>
    </rcc>
    <rfmt sheetId="18" sqref="P11" start="0" length="0">
      <dxf>
        <font>
          <b val="0"/>
          <sz val="9"/>
          <color auto="1"/>
          <name val="Arial"/>
          <family val="2"/>
          <scheme val="none"/>
        </font>
        <numFmt numFmtId="3" formatCode="#,##0"/>
        <alignment horizontal="left" vertical="top"/>
      </dxf>
    </rfmt>
    <rfmt sheetId="18" sqref="Q11" start="0" length="0">
      <dxf>
        <font>
          <b val="0"/>
          <sz val="9"/>
          <color auto="1"/>
          <name val="Arial"/>
          <family val="2"/>
          <scheme val="none"/>
        </font>
        <numFmt numFmtId="3" formatCode="#,##0"/>
        <alignment horizontal="left" vertical="top"/>
      </dxf>
    </rfmt>
    <rfmt sheetId="18" sqref="R11" start="0" length="0">
      <dxf>
        <font>
          <b val="0"/>
          <sz val="9"/>
          <color auto="1"/>
          <name val="Arial"/>
          <family val="2"/>
          <scheme val="none"/>
        </font>
        <numFmt numFmtId="3" formatCode="#,##0"/>
        <alignment horizontal="left" vertical="top"/>
        <border outline="0">
          <right style="thin">
            <color indexed="64"/>
          </right>
        </border>
      </dxf>
    </rfmt>
  </rrc>
  <rrc rId="1413" sId="18" ref="A65:XFD65" action="deleteRow">
    <undo index="0" exp="ref" v="1" dr="J65" r="J74" sId="18"/>
    <undo index="0" exp="area" dr="F65:F66" r="F74" sId="18"/>
    <undo index="0" exp="area" dr="B65:B66" r="B74" sId="18"/>
    <rfmt sheetId="18" xfDxf="1" sqref="A65:XFD65" start="0" length="0"/>
    <rcc rId="0" sId="18" dxf="1">
      <nc r="A65" t="inlineStr">
        <is>
          <t>US Single-unit truck miles</t>
        </is>
      </nc>
      <ndxf>
        <font>
          <sz val="9"/>
          <color auto="1"/>
          <name val="Arial"/>
          <family val="2"/>
          <scheme val="none"/>
        </font>
        <numFmt numFmtId="30" formatCode="@"/>
        <alignment horizontal="left" vertical="bottom"/>
        <border outline="0">
          <right style="thin">
            <color indexed="64"/>
          </right>
        </border>
      </ndxf>
    </rcc>
    <rcc rId="0" sId="18" dxf="1" numFmtId="4">
      <nc r="B65">
        <v>77757</v>
      </nc>
      <ndxf>
        <font>
          <sz val="9"/>
          <color auto="1"/>
          <name val="Arial"/>
          <family val="2"/>
          <scheme val="none"/>
        </font>
        <numFmt numFmtId="3" formatCode="#,##0"/>
        <alignment horizontal="right"/>
      </ndxf>
    </rcc>
    <rcc rId="0" sId="18" dxf="1">
      <nc r="C65" t="inlineStr">
        <is>
          <r>
            <t>10</t>
          </r>
          <r>
            <rPr>
              <vertAlign val="superscript"/>
              <sz val="9"/>
              <rFont val="Arial"/>
              <family val="2"/>
            </rPr>
            <t>6</t>
          </r>
          <r>
            <rPr>
              <sz val="9"/>
              <rFont val="Arial"/>
              <family val="2"/>
            </rPr>
            <t xml:space="preserve"> mi</t>
          </r>
        </is>
      </nc>
      <ndxf/>
    </rcc>
    <rcc rId="0" sId="18" dxf="1">
      <nc r="D65" t="inlineStr">
        <is>
          <t>KC08-11-10_SingUnitTruck</t>
        </is>
      </nc>
      <ndxf>
        <numFmt numFmtId="30" formatCode="@"/>
        <alignment horizontal="left"/>
      </ndxf>
    </rcc>
    <rfmt sheetId="18" sqref="E65" start="0" length="0">
      <dxf>
        <numFmt numFmtId="30" formatCode="@"/>
        <alignment horizontal="left"/>
        <border outline="0">
          <right style="thin">
            <color indexed="64"/>
          </right>
        </border>
      </dxf>
    </rfmt>
    <rcc rId="0" sId="18" s="1" dxf="1" numFmtId="34">
      <nc r="F65">
        <v>126855</v>
      </nc>
      <ndxf>
        <numFmt numFmtId="181" formatCode="_(* #,##0_);_(* \(#,##0\);_(* &quot;-&quot;??_);_(@_)"/>
        <alignment horizontal="right"/>
      </ndxf>
    </rcc>
    <rcc rId="0" sId="18" dxf="1">
      <nc r="G65" t="inlineStr">
        <is>
          <r>
            <t>10</t>
          </r>
          <r>
            <rPr>
              <vertAlign val="superscript"/>
              <sz val="9"/>
              <rFont val="Arial"/>
              <family val="2"/>
            </rPr>
            <t>6</t>
          </r>
          <r>
            <rPr>
              <sz val="9"/>
              <rFont val="Arial"/>
              <family val="2"/>
            </rPr>
            <t xml:space="preserve"> mi</t>
          </r>
        </is>
      </nc>
      <ndxf/>
    </rcc>
    <rcc rId="0" sId="18" dxf="1">
      <nc r="H65" t="inlineStr">
        <is>
          <t>KC08-11-10_SingUnitTruck</t>
        </is>
      </nc>
      <ndxf>
        <numFmt numFmtId="30" formatCode="@"/>
        <alignment horizontal="left"/>
      </ndxf>
    </rcc>
    <rfmt sheetId="18" sqref="I65" start="0" length="0">
      <dxf>
        <numFmt numFmtId="30" formatCode="@"/>
        <alignment horizontal="left"/>
        <border outline="0">
          <right style="thin">
            <color indexed="64"/>
          </right>
        </border>
      </dxf>
    </rfmt>
    <rcc rId="0" sId="18" s="1" dxf="1" numFmtId="34">
      <nc r="J65">
        <v>288004.72367905086</v>
      </nc>
      <ndxf>
        <numFmt numFmtId="181" formatCode="_(* #,##0_);_(* \(#,##0\);_(* &quot;-&quot;??_);_(@_)"/>
        <alignment horizontal="right"/>
      </ndxf>
    </rcc>
    <rcc rId="0" sId="18" dxf="1">
      <nc r="K65" t="inlineStr">
        <is>
          <r>
            <t>10</t>
          </r>
          <r>
            <rPr>
              <vertAlign val="superscript"/>
              <sz val="9"/>
              <rFont val="Arial"/>
              <family val="2"/>
            </rPr>
            <t>6</t>
          </r>
          <r>
            <rPr>
              <sz val="9"/>
              <rFont val="Arial"/>
              <family val="2"/>
            </rPr>
            <t xml:space="preserve"> mi</t>
          </r>
        </is>
      </nc>
      <ndxf/>
    </rcc>
    <rcc rId="0" sId="18" dxf="1">
      <nc r="L65" t="inlineStr">
        <is>
          <t>KC08-11-15_FHWA2009</t>
        </is>
      </nc>
      <ndxf>
        <numFmt numFmtId="30" formatCode="@"/>
        <alignment horizontal="left" vertical="bottom"/>
      </ndxf>
    </rcc>
    <rcc rId="0" sId="18" dxf="1">
      <nc r="M65" t="inlineStr">
        <is>
          <t>Using 2009. Single-unit 2-axle 6-tire or more and combination trucks, total rural and urban</t>
        </is>
      </nc>
      <ndxf>
        <numFmt numFmtId="30" formatCode="@"/>
        <alignment horizontal="left"/>
        <border outline="0">
          <right style="thin">
            <color indexed="64"/>
          </right>
        </border>
      </ndxf>
    </rcc>
    <rcc rId="0" sId="18" dxf="1">
      <nc r="N65" t="inlineStr">
        <is>
          <t xml:space="preserve"> </t>
        </is>
      </nc>
      <ndxf>
        <border outline="0">
          <left style="thin">
            <color indexed="64"/>
          </left>
          <right style="thin">
            <color indexed="64"/>
          </right>
        </border>
      </ndxf>
    </rcc>
    <rfmt sheetId="18" s="1" sqref="O65" start="0" length="0">
      <dxf>
        <numFmt numFmtId="181" formatCode="_(* #,##0_);_(* \(#,##0\);_(* &quot;-&quot;??_);_(@_)"/>
        <fill>
          <patternFill patternType="solid">
            <bgColor theme="9" tint="0.59999389629810485"/>
          </patternFill>
        </fill>
        <alignment horizontal="right"/>
      </dxf>
    </rfmt>
    <rcc rId="0" sId="18" dxf="1">
      <nc r="P65" t="inlineStr">
        <is>
          <r>
            <t>10</t>
          </r>
          <r>
            <rPr>
              <vertAlign val="superscript"/>
              <sz val="9"/>
              <rFont val="Arial"/>
              <family val="2"/>
            </rPr>
            <t>6</t>
          </r>
          <r>
            <rPr>
              <sz val="9"/>
              <rFont val="Arial"/>
              <family val="2"/>
            </rPr>
            <t xml:space="preserve"> mi</t>
          </r>
        </is>
      </nc>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14" sId="18" ref="A65:XFD65" action="deleteRow">
    <undo index="65535" exp="ref" v="1" dr="O65" r="O76" sId="18"/>
    <undo index="0" exp="area" dr="F65" r="F73" sId="18"/>
    <undo index="0" exp="area" dr="B65" r="B73" sId="18"/>
    <rfmt sheetId="18" xfDxf="1" sqref="A65:XFD65" start="0" length="0"/>
    <rcc rId="0" sId="18" dxf="1">
      <nc r="A65" t="inlineStr">
        <is>
          <t>US Combination truck miles</t>
        </is>
      </nc>
      <ndxf>
        <font>
          <sz val="9"/>
          <color auto="1"/>
          <name val="Arial"/>
          <family val="2"/>
          <scheme val="none"/>
        </font>
        <numFmt numFmtId="30" formatCode="@"/>
        <alignment horizontal="left" vertical="bottom"/>
        <border outline="0">
          <right style="thin">
            <color indexed="64"/>
          </right>
        </border>
      </ndxf>
    </rcc>
    <rcc rId="0" sId="18" dxf="1" numFmtId="4">
      <nc r="B65">
        <v>140160</v>
      </nc>
      <ndxf>
        <font>
          <sz val="9"/>
          <color auto="1"/>
          <name val="Arial"/>
          <family val="2"/>
          <scheme val="none"/>
        </font>
        <numFmt numFmtId="3" formatCode="#,##0"/>
        <alignment horizontal="right"/>
      </ndxf>
    </rcc>
    <rcc rId="0" sId="18" dxf="1">
      <nc r="C65" t="inlineStr">
        <is>
          <r>
            <t>10</t>
          </r>
          <r>
            <rPr>
              <vertAlign val="superscript"/>
              <sz val="9"/>
              <rFont val="Arial"/>
              <family val="2"/>
            </rPr>
            <t>6</t>
          </r>
          <r>
            <rPr>
              <sz val="9"/>
              <rFont val="Arial"/>
              <family val="2"/>
            </rPr>
            <t xml:space="preserve"> mi</t>
          </r>
        </is>
      </nc>
      <ndxf/>
    </rcc>
    <rcc rId="0" sId="18" dxf="1">
      <nc r="D65" t="inlineStr">
        <is>
          <t>KC08-11-11_CombTruck</t>
        </is>
      </nc>
      <ndxf>
        <numFmt numFmtId="30" formatCode="@"/>
        <alignment horizontal="left"/>
      </ndxf>
    </rcc>
    <rfmt sheetId="18" sqref="E65" start="0" length="0">
      <dxf>
        <numFmt numFmtId="30" formatCode="@"/>
        <alignment horizontal="left"/>
        <border outline="0">
          <right style="thin">
            <color indexed="64"/>
          </right>
        </border>
      </dxf>
    </rfmt>
    <rcc rId="0" sId="18" s="1" dxf="1" numFmtId="4">
      <nc r="F65">
        <v>183826</v>
      </nc>
      <ndxf>
        <font>
          <sz val="10"/>
          <color auto="1"/>
          <name val="Arial"/>
          <family val="2"/>
          <scheme val="none"/>
        </font>
        <numFmt numFmtId="3" formatCode="#,##0"/>
        <alignment horizontal="right" vertical="bottom"/>
      </ndxf>
    </rcc>
    <rcc rId="0" sId="18" dxf="1">
      <nc r="G65" t="inlineStr">
        <is>
          <r>
            <t>10</t>
          </r>
          <r>
            <rPr>
              <vertAlign val="superscript"/>
              <sz val="9"/>
              <rFont val="Arial"/>
              <family val="2"/>
            </rPr>
            <t>6</t>
          </r>
          <r>
            <rPr>
              <sz val="9"/>
              <rFont val="Arial"/>
              <family val="2"/>
            </rPr>
            <t xml:space="preserve"> mi</t>
          </r>
        </is>
      </nc>
      <ndxf/>
    </rcc>
    <rcc rId="0" sId="18" dxf="1">
      <nc r="H65" t="inlineStr">
        <is>
          <t>KC08-11-11_CombTruck</t>
        </is>
      </nc>
      <ndxf>
        <numFmt numFmtId="30" formatCode="@"/>
        <alignment horizontal="left"/>
      </ndxf>
    </rcc>
    <rfmt sheetId="18" sqref="I65" start="0" length="0">
      <dxf>
        <numFmt numFmtId="30" formatCode="@"/>
        <alignment horizontal="left"/>
        <border outline="0">
          <right style="thin">
            <color indexed="64"/>
          </right>
        </border>
      </dxf>
    </rfmt>
    <rfmt sheetId="18" s="1" sqref="J65" start="0" length="0">
      <dxf>
        <font>
          <sz val="10"/>
          <color auto="1"/>
          <name val="Arial"/>
          <family val="2"/>
          <scheme val="none"/>
        </font>
        <numFmt numFmtId="3" formatCode="#,##0"/>
        <alignment horizontal="right" vertical="bottom"/>
      </dxf>
    </rfmt>
    <rfmt sheetId="18" sqref="K65" start="0" length="0">
      <dxf/>
    </rfmt>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cc rId="0" sId="18" dxf="1" numFmtId="4">
      <nc r="O65">
        <v>7.9783947621024924E-4</v>
      </nc>
      <ndxf>
        <numFmt numFmtId="174" formatCode="#,##0.00000"/>
        <alignment horizontal="right" vertical="bottom"/>
      </ndxf>
    </rcc>
    <rfmt sheetId="18" sqref="P65" start="0" length="0">
      <dxf/>
    </rfmt>
    <rcc rId="0" sId="18" dxf="1">
      <nc r="Q65" t="inlineStr">
        <is>
          <t>KC15-11-09</t>
        </is>
      </nc>
      <ndxf>
        <numFmt numFmtId="3" formatCode="#,##0"/>
        <alignment horizontal="left"/>
      </ndxf>
    </rcc>
    <rfmt sheetId="18" sqref="R65" start="0" length="0">
      <dxf/>
    </rfmt>
  </rrc>
  <rrc rId="1415" sId="18" ref="A65:XFD65" action="deleteRow">
    <undo index="65535" exp="ref" v="1" dr="J65" r="J72" sId="18"/>
    <undo index="65535" exp="area" dr="F65:F66" r="F72" sId="18"/>
    <undo index="65535" exp="area" dr="B65:B66" r="B72" sId="18"/>
    <rfmt sheetId="18" xfDxf="1" sqref="A65:XFD65" start="0" length="0"/>
    <rcc rId="0" sId="18" dxf="1">
      <nc r="A65" t="inlineStr">
        <is>
          <t>US single-unit truck consumption</t>
        </is>
      </nc>
      <ndxf>
        <font>
          <sz val="9"/>
          <color auto="1"/>
          <name val="Arial"/>
          <family val="2"/>
          <scheme val="none"/>
        </font>
        <numFmt numFmtId="30" formatCode="@"/>
        <alignment horizontal="left" vertical="bottom"/>
        <border outline="0">
          <right style="thin">
            <color indexed="64"/>
          </right>
        </border>
      </ndxf>
    </rcc>
    <rcc rId="0" sId="18" dxf="1" numFmtId="4">
      <nc r="B65">
        <v>8881</v>
      </nc>
      <ndxf>
        <font>
          <sz val="9"/>
          <color auto="1"/>
          <name val="Arial"/>
          <family val="2"/>
          <scheme val="none"/>
        </font>
        <numFmt numFmtId="3" formatCode="#,##0"/>
        <alignment horizontal="right"/>
      </ndxf>
    </rcc>
    <rcc rId="0" sId="18" dxf="1">
      <nc r="C65" t="inlineStr">
        <is>
          <r>
            <t>10</t>
          </r>
          <r>
            <rPr>
              <vertAlign val="superscript"/>
              <sz val="9"/>
              <rFont val="Arial"/>
              <family val="2"/>
            </rPr>
            <t>6</t>
          </r>
          <r>
            <rPr>
              <sz val="9"/>
              <rFont val="Arial"/>
              <family val="2"/>
            </rPr>
            <t xml:space="preserve"> gal</t>
          </r>
        </is>
      </nc>
      <ndxf/>
    </rcc>
    <rcc rId="0" sId="18" dxf="1">
      <nc r="D65" t="inlineStr">
        <is>
          <t>KC08-11-10_SingUnitTruck</t>
        </is>
      </nc>
      <ndxf>
        <numFmt numFmtId="30" formatCode="@"/>
        <alignment horizontal="left"/>
      </ndxf>
    </rcc>
    <rfmt sheetId="18" sqref="E65" start="0" length="0">
      <dxf>
        <numFmt numFmtId="30" formatCode="@"/>
        <alignment horizontal="left"/>
        <border outline="0">
          <right style="thin">
            <color indexed="64"/>
          </right>
        </border>
      </dxf>
    </rfmt>
    <rcc rId="0" sId="18" s="1" dxf="1" numFmtId="34">
      <nc r="F65">
        <v>17144</v>
      </nc>
      <ndxf>
        <numFmt numFmtId="181" formatCode="_(* #,##0_);_(* \(#,##0\);_(* &quot;-&quot;??_);_(@_)"/>
        <alignment horizontal="right"/>
      </ndxf>
    </rcc>
    <rcc rId="0" sId="18" dxf="1">
      <nc r="G65" t="inlineStr">
        <is>
          <r>
            <t>10</t>
          </r>
          <r>
            <rPr>
              <vertAlign val="superscript"/>
              <sz val="9"/>
              <rFont val="Arial"/>
              <family val="2"/>
            </rPr>
            <t>6</t>
          </r>
          <r>
            <rPr>
              <sz val="9"/>
              <rFont val="Arial"/>
              <family val="2"/>
            </rPr>
            <t xml:space="preserve"> gal</t>
          </r>
        </is>
      </nc>
      <ndxf/>
    </rcc>
    <rcc rId="0" sId="18" dxf="1">
      <nc r="H65" t="inlineStr">
        <is>
          <t>KC08-11-10_SingUnitTruck</t>
        </is>
      </nc>
      <ndxf>
        <numFmt numFmtId="30" formatCode="@"/>
        <alignment horizontal="left"/>
      </ndxf>
    </rcc>
    <rfmt sheetId="18" sqref="I65" start="0" length="0">
      <dxf>
        <numFmt numFmtId="30" formatCode="@"/>
        <alignment horizontal="left"/>
        <border outline="0">
          <right style="thin">
            <color indexed="64"/>
          </right>
        </border>
      </dxf>
    </rfmt>
    <rcc rId="0" sId="18" s="1" dxf="1" numFmtId="34">
      <nc r="J65">
        <v>44472.2961033014</v>
      </nc>
      <ndxf>
        <numFmt numFmtId="181" formatCode="_(* #,##0_);_(* \(#,##0\);_(* &quot;-&quot;??_);_(@_)"/>
        <alignment horizontal="right"/>
      </ndxf>
    </rcc>
    <rcc rId="0" sId="18" dxf="1">
      <nc r="K65" t="inlineStr">
        <is>
          <r>
            <t>10</t>
          </r>
          <r>
            <rPr>
              <vertAlign val="superscript"/>
              <sz val="9"/>
              <rFont val="Arial"/>
              <family val="2"/>
            </rPr>
            <t>6</t>
          </r>
          <r>
            <rPr>
              <sz val="9"/>
              <rFont val="Arial"/>
              <family val="2"/>
            </rPr>
            <t xml:space="preserve"> gal</t>
          </r>
        </is>
      </nc>
      <ndxf/>
    </rcc>
    <rcc rId="0" sId="18" dxf="1">
      <nc r="L65" t="inlineStr">
        <is>
          <t>KC08-11-15_FHWA2009</t>
        </is>
      </nc>
      <ndxf>
        <numFmt numFmtId="30" formatCode="@"/>
        <alignment horizontal="left" vertical="bottom"/>
      </ndxf>
    </rcc>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1" sqref="O65" start="0" length="0">
      <dxf>
        <numFmt numFmtId="181" formatCode="_(* #,##0_);_(* \(#,##0\);_(* &quot;-&quot;??_);_(@_)"/>
        <fill>
          <patternFill patternType="solid">
            <bgColor theme="9" tint="0.59999389629810485"/>
          </patternFill>
        </fill>
        <alignment horizontal="right"/>
      </dxf>
    </rfmt>
    <rcc rId="0" sId="18" dxf="1">
      <nc r="P65" t="inlineStr">
        <is>
          <r>
            <t>10</t>
          </r>
          <r>
            <rPr>
              <vertAlign val="superscript"/>
              <sz val="9"/>
              <rFont val="Arial"/>
              <family val="2"/>
            </rPr>
            <t>6</t>
          </r>
          <r>
            <rPr>
              <sz val="9"/>
              <rFont val="Arial"/>
              <family val="2"/>
            </rPr>
            <t xml:space="preserve"> gal</t>
          </r>
        </is>
      </nc>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16" sId="18" ref="A65:XFD65" action="deleteRow">
    <undo index="65535" exp="area" dr="F65" r="F71" sId="18"/>
    <undo index="65535" exp="area" dr="B65" r="B71" sId="18"/>
    <rfmt sheetId="18" xfDxf="1" sqref="A65:XFD65" start="0" length="0"/>
    <rcc rId="0" sId="18" dxf="1">
      <nc r="A65" t="inlineStr">
        <is>
          <t>US combination truck consumption</t>
        </is>
      </nc>
      <ndxf>
        <font>
          <sz val="9"/>
          <color auto="1"/>
          <name val="Arial"/>
          <family val="2"/>
          <scheme val="none"/>
        </font>
        <numFmt numFmtId="30" formatCode="@"/>
        <alignment horizontal="left" vertical="bottom"/>
        <border outline="0">
          <right style="thin">
            <color indexed="64"/>
          </right>
        </border>
      </ndxf>
    </rcc>
    <rcc rId="0" sId="18" dxf="1" numFmtId="4">
      <nc r="B65">
        <v>23815</v>
      </nc>
      <ndxf>
        <font>
          <sz val="9"/>
          <color auto="1"/>
          <name val="Arial"/>
          <family val="2"/>
          <scheme val="none"/>
        </font>
        <numFmt numFmtId="3" formatCode="#,##0"/>
        <alignment horizontal="right"/>
      </ndxf>
    </rcc>
    <rcc rId="0" sId="18" dxf="1">
      <nc r="C65" t="inlineStr">
        <is>
          <r>
            <t>10</t>
          </r>
          <r>
            <rPr>
              <vertAlign val="superscript"/>
              <sz val="9"/>
              <rFont val="Arial"/>
              <family val="2"/>
            </rPr>
            <t>6</t>
          </r>
          <r>
            <rPr>
              <sz val="9"/>
              <rFont val="Arial"/>
              <family val="2"/>
            </rPr>
            <t xml:space="preserve"> gal</t>
          </r>
        </is>
      </nc>
      <ndxf/>
    </rcc>
    <rcc rId="0" sId="18" dxf="1">
      <nc r="D65" t="inlineStr">
        <is>
          <t>KC08-11-11_CombTruck</t>
        </is>
      </nc>
      <ndxf>
        <numFmt numFmtId="30" formatCode="@"/>
        <alignment horizontal="left"/>
      </ndxf>
    </rcc>
    <rfmt sheetId="18" sqref="E65" start="0" length="0">
      <dxf>
        <numFmt numFmtId="30" formatCode="@"/>
        <alignment horizontal="left"/>
        <border outline="0">
          <right style="thin">
            <color indexed="64"/>
          </right>
        </border>
      </dxf>
    </rfmt>
    <rcc rId="0" sId="18" dxf="1" numFmtId="4">
      <nc r="F65">
        <v>30561</v>
      </nc>
      <ndxf>
        <numFmt numFmtId="3" formatCode="#,##0"/>
        <alignment horizontal="right"/>
      </ndxf>
    </rcc>
    <rcc rId="0" sId="18" dxf="1">
      <nc r="G65" t="inlineStr">
        <is>
          <r>
            <t>10</t>
          </r>
          <r>
            <rPr>
              <vertAlign val="superscript"/>
              <sz val="9"/>
              <rFont val="Arial"/>
              <family val="2"/>
            </rPr>
            <t>6</t>
          </r>
          <r>
            <rPr>
              <sz val="9"/>
              <rFont val="Arial"/>
              <family val="2"/>
            </rPr>
            <t xml:space="preserve"> gal</t>
          </r>
        </is>
      </nc>
      <ndxf/>
    </rcc>
    <rcc rId="0" sId="18" dxf="1">
      <nc r="H65" t="inlineStr">
        <is>
          <t>KC08-11-11_CombTruck</t>
        </is>
      </nc>
      <ndxf>
        <numFmt numFmtId="30" formatCode="@"/>
        <alignment horizontal="left"/>
      </ndxf>
    </rcc>
    <rfmt sheetId="18" sqref="I65" start="0" length="0">
      <dxf>
        <numFmt numFmtId="30" formatCode="@"/>
        <alignment horizontal="left"/>
        <border outline="0">
          <right style="thin">
            <color indexed="64"/>
          </right>
        </border>
      </dxf>
    </rfmt>
    <rfmt sheetId="18" sqref="J65" start="0" length="0">
      <dxf>
        <numFmt numFmtId="3" formatCode="#,##0"/>
        <alignment horizontal="right"/>
      </dxf>
    </rfmt>
    <rfmt sheetId="18" sqref="K65" start="0" length="0">
      <dxf/>
    </rfmt>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alignment horizontal="right"/>
      </dxf>
    </rfmt>
    <rfmt sheetId="18" sqref="P65" start="0" length="0">
      <dxf/>
    </rfmt>
    <rfmt sheetId="18" sqref="Q65" start="0" length="0">
      <dxf>
        <numFmt numFmtId="3" formatCode="#,##0"/>
        <alignment horizontal="left"/>
      </dxf>
    </rfmt>
    <rfmt sheetId="18" sqref="R65" start="0" length="0">
      <dxf/>
    </rfmt>
  </rrc>
  <rrc rId="1417" sId="18" ref="A65:XFD65" action="deleteRow">
    <rfmt sheetId="18" xfDxf="1" sqref="A65:XFD65" start="0" length="0"/>
    <rfmt sheetId="18" sqref="A65" start="0" length="0">
      <dxf>
        <font>
          <sz val="9"/>
          <color auto="1"/>
          <name val="Arial"/>
          <family val="2"/>
          <scheme val="none"/>
        </font>
        <numFmt numFmtId="30" formatCode="@"/>
        <alignment horizontal="left" vertical="bottom"/>
        <border outline="0">
          <right style="thin">
            <color indexed="64"/>
          </right>
        </border>
      </dxf>
    </rfmt>
    <rfmt sheetId="18" sqref="B65" start="0" length="0">
      <dxf>
        <font>
          <sz val="9"/>
          <color auto="1"/>
          <name val="Arial"/>
          <family val="2"/>
          <scheme val="none"/>
        </font>
        <numFmt numFmtId="3" formatCode="#,##0"/>
        <alignment horizontal="right"/>
      </dxf>
    </rfmt>
    <rfmt sheetId="18" sqref="C65" start="0" length="0">
      <dxf/>
    </rfmt>
    <rfmt sheetId="18" sqref="D65" start="0" length="0">
      <dxf>
        <font>
          <sz val="9"/>
          <color auto="1"/>
          <name val="Arial"/>
          <family val="2"/>
          <scheme val="none"/>
        </font>
        <numFmt numFmtId="30" formatCode="@"/>
        <alignment horizontal="left"/>
      </dxf>
    </rfmt>
    <rfmt sheetId="18" sqref="E65" start="0" length="0">
      <dxf>
        <numFmt numFmtId="30" formatCode="@"/>
        <alignment horizontal="left"/>
        <border outline="0">
          <right style="thin">
            <color indexed="64"/>
          </right>
        </border>
      </dxf>
    </rfmt>
    <rfmt sheetId="18" sqref="F65" start="0" length="0">
      <dxf>
        <numFmt numFmtId="181" formatCode="_(* #,##0_);_(* \(#,##0\);_(* &quot;-&quot;??_);_(@_)"/>
        <alignment horizontal="right"/>
      </dxf>
    </rfmt>
    <rfmt sheetId="18" sqref="G65" start="0" length="0">
      <dxf/>
    </rfmt>
    <rfmt sheetId="18" sqref="H65" start="0" length="0">
      <dxf>
        <font>
          <sz val="9"/>
          <color auto="1"/>
          <name val="Arial"/>
          <family val="2"/>
          <scheme val="none"/>
        </font>
        <numFmt numFmtId="30" formatCode="@"/>
        <alignment horizontal="left"/>
      </dxf>
    </rfmt>
    <rfmt sheetId="18" sqref="I65" start="0" length="0">
      <dxf>
        <numFmt numFmtId="30" formatCode="@"/>
        <alignment horizontal="left"/>
        <border outline="0">
          <right style="thin">
            <color indexed="64"/>
          </right>
        </border>
      </dxf>
    </rfmt>
    <rfmt sheetId="18" sqref="J65" start="0" length="0">
      <dxf>
        <alignment horizontal="right"/>
      </dxf>
    </rfmt>
    <rfmt sheetId="18" sqref="K65" start="0" length="0">
      <dxf/>
    </rfmt>
    <rfmt sheetId="18" sqref="L65" start="0" length="0">
      <dxf>
        <font>
          <sz val="9"/>
          <color auto="1"/>
          <name val="Arial"/>
          <family val="2"/>
          <scheme val="none"/>
        </font>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alignment horizontal="right"/>
      </dxf>
    </rfmt>
    <rfmt sheetId="18" sqref="P65" start="0" length="0">
      <dxf/>
    </rfmt>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18" sId="18" ref="A65:XFD65" action="deleteRow">
    <rfmt sheetId="18" xfDxf="1" sqref="A65:XFD65" start="0" length="0"/>
    <rcc rId="0" sId="18" dxf="1">
      <nc r="A65" t="inlineStr">
        <is>
          <t>calculation steps</t>
        </is>
      </nc>
      <ndxf>
        <font>
          <b/>
          <sz val="9"/>
          <color auto="1"/>
          <name val="Arial"/>
          <family val="2"/>
          <scheme val="none"/>
        </font>
        <numFmt numFmtId="30" formatCode="@"/>
        <fill>
          <patternFill patternType="solid">
            <bgColor rgb="FF00B0F0"/>
          </patternFill>
        </fill>
        <alignment horizontal="left" vertical="bottom"/>
        <border outline="0">
          <right style="thin">
            <color indexed="64"/>
          </right>
        </border>
      </ndxf>
    </rcc>
    <rfmt sheetId="18" sqref="B65" start="0" length="0">
      <dxf>
        <alignment horizontal="right"/>
      </dxf>
    </rfmt>
    <rfmt sheetId="18" sqref="C65" start="0" length="0">
      <dxf/>
    </rfmt>
    <rfmt sheetId="18" sqref="D65" start="0" length="0">
      <dxf>
        <alignment horizontal="left"/>
      </dxf>
    </rfmt>
    <rfmt sheetId="18" sqref="E65" start="0" length="0">
      <dxf>
        <alignment horizontal="left"/>
        <border outline="0">
          <right style="thin">
            <color indexed="64"/>
          </right>
        </border>
      </dxf>
    </rfmt>
    <rfmt sheetId="18" sqref="F65" start="0" length="0">
      <dxf>
        <alignment horizontal="right"/>
      </dxf>
    </rfmt>
    <rfmt sheetId="18" sqref="G65" start="0" length="0">
      <dxf/>
    </rfmt>
    <rfmt sheetId="18" sqref="H65" start="0" length="0">
      <dxf>
        <numFmt numFmtId="30" formatCode="@"/>
        <alignment horizontal="left"/>
      </dxf>
    </rfmt>
    <rfmt sheetId="18" sqref="I65" start="0" length="0">
      <dxf>
        <numFmt numFmtId="30" formatCode="@"/>
        <alignment horizontal="left"/>
        <border outline="0">
          <right style="thin">
            <color indexed="64"/>
          </right>
        </border>
      </dxf>
    </rfmt>
    <rfmt sheetId="18" sqref="J65" start="0" length="0">
      <dxf>
        <alignment horizontal="right"/>
      </dxf>
    </rfmt>
    <rfmt sheetId="18" sqref="K65" start="0" length="0">
      <dxf/>
    </rfmt>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alignment horizontal="right"/>
      </dxf>
    </rfmt>
    <rfmt sheetId="18" sqref="P65" start="0" length="0">
      <dxf/>
    </rfmt>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19" sId="18" ref="A65:XFD65" action="deleteRow">
    <undo index="0" exp="ref" v="1" dr="O65" r="O66" sId="18"/>
    <undo index="0" exp="ref" v="1" dr="J65" r="J66" sId="18"/>
    <undo index="0" exp="ref" v="1" dr="F65" r="F66" sId="18"/>
    <undo index="0" exp="ref" v="1" dr="B65" r="B66" sId="18"/>
    <rfmt sheetId="18" xfDxf="1" sqref="A65:XFD65" start="0" length="0"/>
    <rcc rId="0" sId="18" dxf="1">
      <nc r="A65" t="inlineStr">
        <is>
          <t>1. convert DVMT to km</t>
        </is>
      </nc>
      <ndxf>
        <font>
          <sz val="9"/>
          <color auto="1"/>
          <name val="Arial"/>
          <family val="2"/>
          <scheme val="none"/>
        </font>
        <numFmt numFmtId="30" formatCode="@"/>
        <alignment horizontal="left" vertical="bottom"/>
        <border outline="0">
          <right style="thin">
            <color indexed="64"/>
          </right>
        </border>
      </ndxf>
    </rcc>
    <rcc rId="0" sId="18" s="1" dxf="1">
      <nc r="B65">
        <f>B64*miTOkm</f>
      </nc>
      <ndxf>
        <numFmt numFmtId="181" formatCode="_(* #,##0_);_(* \(#,##0\);_(* &quot;-&quot;??_);_(@_)"/>
        <alignment horizontal="right"/>
      </ndxf>
    </rcc>
    <rcc rId="0" sId="18" dxf="1">
      <nc r="C65" t="inlineStr">
        <is>
          <t>km</t>
        </is>
      </nc>
      <ndxf/>
    </rcc>
    <rfmt sheetId="18" sqref="D65" start="0" length="0">
      <dxf>
        <alignment horizontal="left"/>
      </dxf>
    </rfmt>
    <rfmt sheetId="18" sqref="E65" start="0" length="0">
      <dxf>
        <alignment horizontal="left"/>
        <border outline="0">
          <right style="thin">
            <color indexed="64"/>
          </right>
        </border>
      </dxf>
    </rfmt>
    <rcc rId="0" sId="18" s="1" dxf="1">
      <nc r="F65">
        <f>F64*miTOkm</f>
      </nc>
      <ndxf>
        <numFmt numFmtId="181" formatCode="_(* #,##0_);_(* \(#,##0\);_(* &quot;-&quot;??_);_(@_)"/>
      </ndxf>
    </rcc>
    <rcc rId="0" sId="18" dxf="1">
      <nc r="G65" t="inlineStr">
        <is>
          <t>km</t>
        </is>
      </nc>
      <ndxf>
        <numFmt numFmtId="3" formatCode="#,##0"/>
      </ndxf>
    </rcc>
    <rfmt sheetId="18" sqref="H65" start="0" length="0">
      <dxf>
        <numFmt numFmtId="30" formatCode="@"/>
        <alignment horizontal="left"/>
      </dxf>
    </rfmt>
    <rfmt sheetId="18" sqref="I65" start="0" length="0">
      <dxf>
        <numFmt numFmtId="30" formatCode="@"/>
        <alignment horizontal="left"/>
        <border outline="0">
          <right style="thin">
            <color indexed="64"/>
          </right>
        </border>
      </dxf>
    </rfmt>
    <rcc rId="0" sId="18" s="1" dxf="1">
      <nc r="J65">
        <f>J64*miTOkm</f>
      </nc>
      <ndxf>
        <numFmt numFmtId="181" formatCode="_(* #,##0_);_(* \(#,##0\);_(* &quot;-&quot;??_);_(@_)"/>
      </ndxf>
    </rcc>
    <rcc rId="0" sId="18" dxf="1">
      <nc r="K65" t="inlineStr">
        <is>
          <t>km</t>
        </is>
      </nc>
      <ndxf>
        <numFmt numFmtId="3" formatCode="#,##0"/>
      </ndxf>
    </rcc>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cc rId="0" sId="18" s="1" dxf="1">
      <nc r="O65">
        <f>O64*miTOkm</f>
      </nc>
      <ndxf>
        <numFmt numFmtId="5" formatCode="#,##0_);\(#,##0\)"/>
      </ndxf>
    </rcc>
    <rcc rId="0" sId="18" dxf="1">
      <nc r="P65" t="inlineStr">
        <is>
          <t>km</t>
        </is>
      </nc>
      <ndxf>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0" sId="18" ref="A65:XFD65" action="deleteRow">
    <undo index="0" exp="ref" v="1" dr="O65" r="O66" sId="18"/>
    <undo index="0" exp="ref" v="1" dr="J65" r="J66" sId="18"/>
    <undo index="0" exp="ref" v="1" dr="F65" r="F66" sId="18"/>
    <undo index="0" exp="ref" v="1" dr="B65" r="B66" sId="18"/>
    <rfmt sheetId="18" xfDxf="1" sqref="A65:XFD65" start="0" length="0"/>
    <rcc rId="0" sId="18" dxf="1">
      <nc r="A65" t="inlineStr">
        <is>
          <t>2. calculate average daily VMT: multiply by ratio of ADT/ AWDT</t>
        </is>
      </nc>
      <ndxf>
        <numFmt numFmtId="30" formatCode="@"/>
        <alignment horizontal="left" vertical="bottom"/>
        <border outline="0">
          <right style="thin">
            <color indexed="64"/>
          </right>
        </border>
      </ndxf>
    </rcc>
    <rcc rId="0" sId="18" dxf="1">
      <nc r="B65">
        <f>#REF!*#REF!</f>
      </nc>
      <ndxf>
        <numFmt numFmtId="3" formatCode="#,##0"/>
        <alignment horizontal="right"/>
      </ndxf>
    </rcc>
    <rcc rId="0" sId="18" dxf="1">
      <nc r="C65" t="inlineStr">
        <is>
          <t>km</t>
        </is>
      </nc>
      <ndxf>
        <font>
          <sz val="9"/>
          <color auto="1"/>
          <name val="Arial"/>
          <family val="2"/>
          <scheme val="none"/>
        </font>
        <numFmt numFmtId="3" formatCode="#,##0"/>
      </ndxf>
    </rcc>
    <rfmt sheetId="18" sqref="D65" start="0" length="0">
      <dxf>
        <numFmt numFmtId="30" formatCode="@"/>
        <alignment horizontal="left"/>
      </dxf>
    </rfmt>
    <rfmt sheetId="18" sqref="E65" start="0" length="0">
      <dxf>
        <numFmt numFmtId="2" formatCode="0.00"/>
        <alignment horizontal="left"/>
        <border outline="0">
          <right style="thin">
            <color indexed="64"/>
          </right>
        </border>
      </dxf>
    </rfmt>
    <rcc rId="0" sId="18" dxf="1">
      <nc r="F65">
        <f>#REF!*#REF!</f>
      </nc>
      <ndxf>
        <numFmt numFmtId="3" formatCode="#,##0"/>
        <alignment horizontal="right"/>
      </ndxf>
    </rcc>
    <rcc rId="0" sId="18" dxf="1">
      <nc r="G65" t="inlineStr">
        <is>
          <t>km</t>
        </is>
      </nc>
      <ndxf>
        <font>
          <sz val="9"/>
          <color auto="1"/>
          <name val="Arial"/>
          <family val="2"/>
          <scheme val="none"/>
        </font>
        <numFmt numFmtId="3" formatCode="#,##0"/>
      </ndxf>
    </rcc>
    <rfmt sheetId="18" sqref="H65" start="0" length="0">
      <dxf>
        <numFmt numFmtId="30" formatCode="@"/>
        <alignment horizontal="left"/>
      </dxf>
    </rfmt>
    <rfmt sheetId="18" sqref="I65" start="0" length="0">
      <dxf>
        <numFmt numFmtId="30" formatCode="@"/>
        <alignment horizontal="left"/>
        <border outline="0">
          <right style="thin">
            <color indexed="64"/>
          </right>
        </border>
      </dxf>
    </rfmt>
    <rcc rId="0" sId="18" dxf="1">
      <nc r="J65">
        <f>#REF!*#REF!</f>
      </nc>
      <ndxf>
        <numFmt numFmtId="3" formatCode="#,##0"/>
        <alignment horizontal="right"/>
      </ndxf>
    </rcc>
    <rcc rId="0" sId="18" dxf="1">
      <nc r="K65" t="inlineStr">
        <is>
          <t>km</t>
        </is>
      </nc>
      <ndxf>
        <font>
          <sz val="9"/>
          <color auto="1"/>
          <name val="Arial"/>
          <family val="2"/>
          <scheme val="none"/>
        </font>
        <numFmt numFmtId="3" formatCode="#,##0"/>
      </ndxf>
    </rcc>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cc rId="0" sId="18" dxf="1">
      <nc r="O65">
        <f>#REF!*#REF!</f>
      </nc>
      <ndxf>
        <numFmt numFmtId="3" formatCode="#,##0"/>
        <alignment horizontal="right"/>
      </ndxf>
    </rcc>
    <rcc rId="0" sId="18" dxf="1">
      <nc r="P65" t="inlineStr">
        <is>
          <t>km</t>
        </is>
      </nc>
      <ndxf>
        <font>
          <sz val="9"/>
          <color auto="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1" sId="18" ref="A65:XFD65" action="deleteRow">
    <undo index="0" exp="ref" v="1" dr="O65" r="O69" sId="18"/>
    <undo index="0" exp="ref" v="1" dr="J65" r="J69" sId="18"/>
    <undo index="0" exp="ref" v="1" dr="F65" r="F69" sId="18"/>
    <undo index="0" exp="ref" v="1" dr="B65" r="B69" sId="18"/>
    <rfmt sheetId="18" xfDxf="1" sqref="A65:XFD65" start="0" length="0"/>
    <rcc rId="0" sId="18" dxf="1">
      <nc r="A65" t="inlineStr">
        <is>
          <t>3. calculate annual VMT: multiple average daily VMT by 365</t>
        </is>
      </nc>
      <ndxf>
        <numFmt numFmtId="30" formatCode="@"/>
        <alignment horizontal="left" vertical="bottom"/>
        <border outline="0">
          <right style="thin">
            <color indexed="64"/>
          </right>
        </border>
      </ndxf>
    </rcc>
    <rcc rId="0" sId="18" dxf="1">
      <nc r="B65">
        <f>#REF!*365</f>
      </nc>
      <ndxf>
        <numFmt numFmtId="3" formatCode="#,##0"/>
        <alignment horizontal="right"/>
      </ndxf>
    </rcc>
    <rcc rId="0" sId="18" dxf="1">
      <nc r="C65" t="inlineStr">
        <is>
          <t>km</t>
        </is>
      </nc>
      <ndxf>
        <font>
          <sz val="9"/>
          <color auto="1"/>
          <name val="Arial"/>
          <family val="2"/>
          <scheme val="none"/>
        </font>
        <numFmt numFmtId="3" formatCode="#,##0"/>
      </ndxf>
    </rcc>
    <rfmt sheetId="18" sqref="D65" start="0" length="0">
      <dxf>
        <numFmt numFmtId="30" formatCode="@"/>
        <alignment horizontal="center"/>
      </dxf>
    </rfmt>
    <rfmt sheetId="18" sqref="E65" start="0" length="0">
      <dxf>
        <numFmt numFmtId="30" formatCode="@"/>
        <alignment horizontal="left"/>
        <border outline="0">
          <right style="thin">
            <color indexed="64"/>
          </right>
        </border>
      </dxf>
    </rfmt>
    <rcc rId="0" sId="18" dxf="1">
      <nc r="F65">
        <f>#REF!*365</f>
      </nc>
      <ndxf>
        <numFmt numFmtId="3" formatCode="#,##0"/>
        <alignment horizontal="right"/>
      </ndxf>
    </rcc>
    <rcc rId="0" sId="18" dxf="1">
      <nc r="G65" t="inlineStr">
        <is>
          <t>km</t>
        </is>
      </nc>
      <ndxf>
        <font>
          <sz val="9"/>
          <color auto="1"/>
          <name val="Arial"/>
          <family val="2"/>
          <scheme val="none"/>
        </font>
        <numFmt numFmtId="3" formatCode="#,##0"/>
      </ndxf>
    </rcc>
    <rfmt sheetId="18" sqref="H65" start="0" length="0">
      <dxf>
        <numFmt numFmtId="30" formatCode="@"/>
        <alignment horizontal="left"/>
      </dxf>
    </rfmt>
    <rfmt sheetId="18" sqref="I65" start="0" length="0">
      <dxf>
        <numFmt numFmtId="30" formatCode="@"/>
        <alignment horizontal="left"/>
        <border outline="0">
          <right style="thin">
            <color indexed="64"/>
          </right>
        </border>
      </dxf>
    </rfmt>
    <rcc rId="0" sId="18" dxf="1">
      <nc r="J65">
        <f>#REF!*365</f>
      </nc>
      <ndxf>
        <numFmt numFmtId="3" formatCode="#,##0"/>
        <alignment horizontal="right"/>
      </ndxf>
    </rcc>
    <rcc rId="0" sId="18" dxf="1">
      <nc r="K65" t="inlineStr">
        <is>
          <t>km</t>
        </is>
      </nc>
      <ndxf>
        <font>
          <sz val="9"/>
          <color auto="1"/>
          <name val="Arial"/>
          <family val="2"/>
          <scheme val="none"/>
        </font>
        <numFmt numFmtId="3" formatCode="#,##0"/>
      </ndxf>
    </rcc>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cc rId="0" sId="18" dxf="1">
      <nc r="O65">
        <f>#REF!*365</f>
      </nc>
      <ndxf>
        <numFmt numFmtId="3" formatCode="#,##0"/>
        <alignment horizontal="right"/>
      </ndxf>
    </rcc>
    <rcc rId="0" sId="18" dxf="1">
      <nc r="P65" t="inlineStr">
        <is>
          <t>km</t>
        </is>
      </nc>
      <ndxf>
        <font>
          <sz val="9"/>
          <color auto="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2" sId="18" ref="A65:XFD65" action="deleteRow">
    <undo index="0" exp="ref" v="1" dr="J65" r="J66" sId="18"/>
    <undo index="0" exp="ref" v="1" dr="F65" r="F66" sId="18"/>
    <undo index="0" exp="ref" v="1" dr="B65" r="B66" sId="18"/>
    <rfmt sheetId="18" xfDxf="1" sqref="A65:XFD65" start="0" length="0"/>
    <rcc rId="0" sId="18" dxf="1">
      <nc r="A65" t="inlineStr">
        <is>
          <t>4. compute aggregate fuel efficiency</t>
        </is>
      </nc>
      <ndxf>
        <font>
          <sz val="9"/>
          <color auto="1"/>
          <name val="Arial"/>
          <family val="2"/>
          <scheme val="none"/>
        </font>
        <numFmt numFmtId="30" formatCode="@"/>
        <alignment horizontal="left" vertical="bottom"/>
        <border outline="0">
          <right style="thin">
            <color indexed="64"/>
          </right>
        </border>
      </ndxf>
    </rcc>
    <rcc rId="0" sId="18" dxf="1">
      <nc r="B65">
        <f>SUM(#REF!)/SUM(#REF!)</f>
      </nc>
      <ndxf>
        <numFmt numFmtId="2" formatCode="0.00"/>
        <alignment horizontal="right"/>
      </ndxf>
    </rcc>
    <rcc rId="0" sId="18" dxf="1">
      <nc r="C65" t="inlineStr">
        <is>
          <t>mi/gal</t>
        </is>
      </nc>
      <ndxf>
        <font>
          <sz val="9"/>
          <color auto="1"/>
          <name val="Arial"/>
          <family val="2"/>
          <scheme val="none"/>
        </font>
        <numFmt numFmtId="3" formatCode="#,##0"/>
      </ndxf>
    </rcc>
    <rfmt sheetId="18" sqref="D65" start="0" length="0">
      <dxf>
        <numFmt numFmtId="2" formatCode="0.00"/>
        <alignment horizontal="center"/>
      </dxf>
    </rfmt>
    <rfmt sheetId="18" sqref="E65" start="0" length="0">
      <dxf>
        <numFmt numFmtId="2" formatCode="0.00"/>
        <alignment horizontal="left"/>
        <border outline="0">
          <right style="thin">
            <color indexed="64"/>
          </right>
        </border>
      </dxf>
    </rfmt>
    <rcc rId="0" sId="18" dxf="1">
      <nc r="F65">
        <f>SUM(#REF!)/SUM(#REF!)</f>
      </nc>
      <ndxf>
        <numFmt numFmtId="2" formatCode="0.00"/>
        <alignment horizontal="right"/>
      </ndxf>
    </rcc>
    <rcc rId="0" sId="18" dxf="1">
      <nc r="G65" t="inlineStr">
        <is>
          <t>mi/gal</t>
        </is>
      </nc>
      <ndxf>
        <font>
          <sz val="9"/>
          <color auto="1"/>
          <name val="Arial"/>
          <family val="2"/>
          <scheme val="none"/>
        </font>
        <numFmt numFmtId="3" formatCode="#,##0"/>
      </ndxf>
    </rcc>
    <rfmt sheetId="18" sqref="H65" start="0" length="0">
      <dxf>
        <numFmt numFmtId="30" formatCode="@"/>
        <alignment horizontal="center"/>
      </dxf>
    </rfmt>
    <rfmt sheetId="18" sqref="I65" start="0" length="0">
      <dxf>
        <numFmt numFmtId="30" formatCode="@"/>
        <alignment horizontal="left"/>
        <border outline="0">
          <right style="thin">
            <color indexed="64"/>
          </right>
        </border>
      </dxf>
    </rfmt>
    <rcc rId="0" sId="18" dxf="1">
      <nc r="J65">
        <f>#REF!/#REF!</f>
      </nc>
      <ndxf>
        <numFmt numFmtId="4" formatCode="#,##0.00"/>
        <alignment horizontal="right"/>
      </ndxf>
    </rcc>
    <rcc rId="0" sId="18" dxf="1">
      <nc r="K65" t="inlineStr">
        <is>
          <t>mi/gal</t>
        </is>
      </nc>
      <ndxf>
        <font>
          <sz val="9"/>
          <color auto="1"/>
          <name val="Arial"/>
          <family val="2"/>
          <scheme val="none"/>
        </font>
        <numFmt numFmtId="3" formatCode="#,##0"/>
      </ndxf>
    </rcc>
    <rfmt sheetId="18" sqref="L65" start="0" length="0">
      <dxf>
        <numFmt numFmtId="30" formatCode="@"/>
        <alignment horizontal="center"/>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numFmt numFmtId="4" formatCode="#,##0.00"/>
        <alignment horizontal="right"/>
      </dxf>
    </rfmt>
    <rcc rId="0" sId="18" dxf="1">
      <nc r="P65" t="inlineStr">
        <is>
          <t>mi/gal</t>
        </is>
      </nc>
      <ndxf>
        <font>
          <sz val="9"/>
          <color auto="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3" sId="18" ref="A65:XFD65" action="deleteRow">
    <undo index="65535" exp="ref" v="1" dr="J65" r="J66" sId="18"/>
    <undo index="65535" exp="ref" v="1" dr="F65" r="F66" sId="18"/>
    <undo index="65535" exp="ref" v="1" dr="B65" r="B66" sId="18"/>
    <rfmt sheetId="18" xfDxf="1" sqref="A65:XFD65" start="0" length="0"/>
    <rcc rId="0" sId="18" dxf="1">
      <nc r="A65" t="inlineStr">
        <is>
          <t>5. convert vehicle efficiency to metric units</t>
        </is>
      </nc>
      <ndxf>
        <font>
          <sz val="9"/>
          <color auto="1"/>
          <name val="Arial"/>
          <family val="2"/>
          <scheme val="none"/>
        </font>
        <numFmt numFmtId="30" formatCode="@"/>
        <alignment horizontal="left" vertical="bottom"/>
        <border outline="0">
          <right style="thin">
            <color indexed="64"/>
          </right>
        </border>
      </ndxf>
    </rcc>
    <rcc rId="0" sId="18" dxf="1">
      <nc r="B65">
        <f>#REF!*miTOkm/galTOL</f>
      </nc>
      <ndxf>
        <numFmt numFmtId="2" formatCode="0.00"/>
        <alignment horizontal="right"/>
      </ndxf>
    </rcc>
    <rcc rId="0" sId="18" dxf="1">
      <nc r="C65" t="inlineStr">
        <is>
          <t>km/L</t>
        </is>
      </nc>
      <ndxf/>
    </rcc>
    <rfmt sheetId="18" sqref="D65" start="0" length="0">
      <dxf>
        <alignment horizontal="center"/>
      </dxf>
    </rfmt>
    <rfmt sheetId="18" sqref="E65" start="0" length="0">
      <dxf>
        <alignment horizontal="left"/>
        <border outline="0">
          <right style="thin">
            <color indexed="64"/>
          </right>
        </border>
      </dxf>
    </rfmt>
    <rcc rId="0" sId="18" dxf="1">
      <nc r="F65">
        <f>#REF!*miTOkm/galTOL</f>
      </nc>
      <ndxf>
        <numFmt numFmtId="2" formatCode="0.00"/>
        <alignment horizontal="right"/>
      </ndxf>
    </rcc>
    <rcc rId="0" sId="18" dxf="1">
      <nc r="G65" t="inlineStr">
        <is>
          <t>km/L</t>
        </is>
      </nc>
      <ndxf>
        <font>
          <sz val="9"/>
          <color auto="1"/>
          <name val="Arial"/>
          <family val="2"/>
          <scheme val="none"/>
        </font>
        <numFmt numFmtId="3" formatCode="#,##0"/>
      </ndxf>
    </rcc>
    <rfmt sheetId="18" sqref="H65" start="0" length="0">
      <dxf>
        <numFmt numFmtId="30" formatCode="@"/>
        <alignment horizontal="center"/>
      </dxf>
    </rfmt>
    <rfmt sheetId="18" sqref="I65" start="0" length="0">
      <dxf>
        <numFmt numFmtId="30" formatCode="@"/>
        <alignment horizontal="left"/>
        <border outline="0">
          <right style="thin">
            <color indexed="64"/>
          </right>
        </border>
      </dxf>
    </rfmt>
    <rcc rId="0" sId="18" dxf="1">
      <nc r="J65">
        <f>#REF!*miTOkm/galTOL</f>
      </nc>
      <ndxf>
        <numFmt numFmtId="2" formatCode="0.00"/>
        <alignment horizontal="right"/>
      </ndxf>
    </rcc>
    <rcc rId="0" sId="18" dxf="1">
      <nc r="K65" t="inlineStr">
        <is>
          <t>km/L</t>
        </is>
      </nc>
      <ndxf>
        <font>
          <sz val="9"/>
          <color auto="1"/>
          <name val="Arial"/>
          <family val="2"/>
          <scheme val="none"/>
        </font>
        <numFmt numFmtId="3" formatCode="#,##0"/>
      </ndxf>
    </rcc>
    <rfmt sheetId="18" sqref="L65" start="0" length="0">
      <dxf>
        <numFmt numFmtId="30" formatCode="@"/>
        <alignment horizontal="center"/>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numFmt numFmtId="2" formatCode="0.00"/>
        <alignment horizontal="right"/>
      </dxf>
    </rfmt>
    <rcc rId="0" sId="18" dxf="1">
      <nc r="P65" t="inlineStr">
        <is>
          <t>km/L</t>
        </is>
      </nc>
      <ndxf>
        <font>
          <sz val="9"/>
          <color auto="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4" sId="18" ref="A65:XFD65" action="deleteRow">
    <undo index="65535" exp="ref" v="1" dr="J65" r="J66" sId="18"/>
    <undo index="65535" exp="ref" v="1" dr="F65" r="F66" sId="18"/>
    <undo index="65535" exp="ref" v="1" dr="B65" r="B66" sId="18"/>
    <rfmt sheetId="18" xfDxf="1" sqref="A65:XFD65" start="0" length="0"/>
    <rcc rId="0" sId="18" dxf="1">
      <nc r="A65" t="inlineStr">
        <is>
          <t>6. compute emissions factor</t>
        </is>
      </nc>
      <ndxf>
        <font>
          <sz val="9"/>
          <color auto="1"/>
          <name val="Arial"/>
          <family val="2"/>
          <scheme val="none"/>
        </font>
        <numFmt numFmtId="30" formatCode="@"/>
        <alignment horizontal="left" vertical="bottom"/>
        <border outline="0">
          <right style="thin">
            <color indexed="64"/>
          </right>
        </border>
      </ndxf>
    </rcc>
    <rcc rId="0" sId="18" dxf="1">
      <nc r="B65">
        <f>efdistillate/#REF!</f>
      </nc>
      <ndxf>
        <numFmt numFmtId="3" formatCode="#,##0"/>
        <alignment horizontal="right"/>
      </ndxf>
    </rcc>
    <rcc rId="0" sId="18" dxf="1">
      <nc r="C65" t="inlineStr">
        <is>
          <r>
            <t>gCO</t>
          </r>
          <r>
            <rPr>
              <vertAlign val="subscript"/>
              <sz val="9"/>
              <rFont val="Arial"/>
              <family val="2"/>
            </rPr>
            <t>2</t>
          </r>
          <r>
            <rPr>
              <sz val="9"/>
              <rFont val="Arial"/>
              <family val="2"/>
            </rPr>
            <t>/km</t>
          </r>
        </is>
      </nc>
      <ndxf/>
    </rcc>
    <rfmt sheetId="18" sqref="D65" start="0" length="0">
      <dxf>
        <font>
          <sz val="9"/>
          <color auto="1"/>
          <name val="Arial"/>
          <family val="2"/>
          <scheme val="none"/>
        </font>
        <alignment horizontal="center"/>
      </dxf>
    </rfmt>
    <rfmt sheetId="18" sqref="E65" start="0" length="0">
      <dxf>
        <alignment horizontal="left"/>
        <border outline="0">
          <right style="thin">
            <color indexed="64"/>
          </right>
        </border>
      </dxf>
    </rfmt>
    <rcc rId="0" sId="18" dxf="1">
      <nc r="F65">
        <f>efdistillate/#REF!</f>
      </nc>
      <ndxf>
        <numFmt numFmtId="3" formatCode="#,##0"/>
        <alignment horizontal="right"/>
      </ndxf>
    </rcc>
    <rcc rId="0" sId="18" dxf="1">
      <nc r="G65" t="inlineStr">
        <is>
          <r>
            <t>gCO</t>
          </r>
          <r>
            <rPr>
              <vertAlign val="subscript"/>
              <sz val="9"/>
              <rFont val="Arial"/>
              <family val="2"/>
            </rPr>
            <t>2</t>
          </r>
          <r>
            <rPr>
              <sz val="9"/>
              <rFont val="Arial"/>
              <family val="2"/>
            </rPr>
            <t>/km</t>
          </r>
        </is>
      </nc>
      <ndxf>
        <font>
          <sz val="9"/>
          <color auto="1"/>
          <name val="Arial"/>
          <family val="2"/>
          <scheme val="none"/>
        </font>
        <numFmt numFmtId="3" formatCode="#,##0"/>
      </ndxf>
    </rcc>
    <rfmt sheetId="18" sqref="H65" start="0" length="0">
      <dxf>
        <numFmt numFmtId="30" formatCode="@"/>
        <alignment horizontal="center"/>
      </dxf>
    </rfmt>
    <rfmt sheetId="18" sqref="I65" start="0" length="0">
      <dxf>
        <numFmt numFmtId="30" formatCode="@"/>
        <alignment horizontal="left"/>
        <border outline="0">
          <right style="thin">
            <color indexed="64"/>
          </right>
        </border>
      </dxf>
    </rfmt>
    <rcc rId="0" sId="18" dxf="1">
      <nc r="J65">
        <f>efdistillate/#REF!</f>
      </nc>
      <ndxf>
        <numFmt numFmtId="3" formatCode="#,##0"/>
        <alignment horizontal="right"/>
      </ndxf>
    </rcc>
    <rcc rId="0" sId="18" dxf="1">
      <nc r="K65" t="inlineStr">
        <is>
          <r>
            <t>gCO</t>
          </r>
          <r>
            <rPr>
              <vertAlign val="subscript"/>
              <sz val="9"/>
              <rFont val="Arial"/>
              <family val="2"/>
            </rPr>
            <t>2</t>
          </r>
          <r>
            <rPr>
              <sz val="9"/>
              <rFont val="Arial"/>
              <family val="2"/>
            </rPr>
            <t>/km</t>
          </r>
        </is>
      </nc>
      <ndxf>
        <font>
          <sz val="9"/>
          <color auto="1"/>
          <name val="Arial"/>
          <family val="2"/>
          <scheme val="none"/>
        </font>
        <numFmt numFmtId="3" formatCode="#,##0"/>
      </ndxf>
    </rcc>
    <rfmt sheetId="18" sqref="L65" start="0" length="0">
      <dxf>
        <numFmt numFmtId="30" formatCode="@"/>
        <alignment horizontal="center"/>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numFmt numFmtId="3" formatCode="#,##0"/>
        <alignment horizontal="right"/>
      </dxf>
    </rfmt>
    <rcc rId="0" sId="18" dxf="1">
      <nc r="P65" t="inlineStr">
        <is>
          <r>
            <t>gCO</t>
          </r>
          <r>
            <rPr>
              <vertAlign val="subscript"/>
              <sz val="9"/>
              <rFont val="Arial"/>
              <family val="2"/>
            </rPr>
            <t>2</t>
          </r>
          <r>
            <rPr>
              <sz val="9"/>
              <rFont val="Arial"/>
              <family val="2"/>
            </rPr>
            <t>/km</t>
          </r>
        </is>
      </nc>
      <ndxf>
        <font>
          <sz val="9"/>
          <color auto="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5" sId="18" ref="A65:XFD65" action="deleteRow">
    <undo index="65535" exp="ref" ref3D="1" v="1" dr="O65" r="E27" sId="7"/>
    <undo index="65535" exp="ref" ref3D="1" v="1" dr="J65" r="D27" sId="7"/>
    <undo index="65535" exp="ref" ref3D="1" v="1" dr="F65" r="C27" sId="7"/>
    <undo index="65535" exp="ref" ref3D="1" v="1" dr="B65" r="B27" sId="7"/>
    <undo index="0" exp="ref" v="1" dr="F65" r="F73" sId="18"/>
    <undo index="65535" exp="ref" dr="O65" r="O68" sId="18"/>
    <undo index="65535" exp="ref" dr="J65" r="J68" sId="18"/>
    <undo index="65535" exp="ref" dr="F65" r="F68" sId="18"/>
    <undo index="65535" exp="ref" dr="B65" r="B68" sId="18"/>
    <rfmt sheetId="18" xfDxf="1" sqref="A65:XFD65" start="0" length="0"/>
    <rcc rId="0" sId="18" dxf="1">
      <nc r="A65" t="inlineStr">
        <is>
          <t>7. multiply emissions factor by annual miles traveled</t>
        </is>
      </nc>
      <ndxf>
        <font>
          <b/>
          <sz val="9"/>
          <color auto="1"/>
          <name val="Arial"/>
          <family val="2"/>
          <scheme val="none"/>
        </font>
        <numFmt numFmtId="30" formatCode="@"/>
        <alignment horizontal="left"/>
        <border outline="0">
          <right style="thin">
            <color indexed="64"/>
          </right>
        </border>
      </ndxf>
    </rcc>
    <rcc rId="0" sId="18" s="1" dxf="1">
      <nc r="B65">
        <f>#REF!*#REF!/1000000</f>
      </nc>
      <ndxf>
        <font>
          <b/>
          <sz val="9"/>
          <color theme="3" tint="0.39997558519241921"/>
          <name val="Arial"/>
          <family val="2"/>
          <scheme val="none"/>
        </font>
        <numFmt numFmtId="181" formatCode="_(* #,##0_);_(* \(#,##0\);_(* &quot;-&quot;??_);_(@_)"/>
        <alignment horizontal="right"/>
      </ndxf>
    </rcc>
    <rcc rId="0" sId="18" dxf="1">
      <nc r="C65" t="inlineStr">
        <is>
          <r>
            <t>MgCO</t>
          </r>
          <r>
            <rPr>
              <b/>
              <vertAlign val="subscript"/>
              <sz val="9"/>
              <color theme="3" tint="0.39997558519241921"/>
              <rFont val="Arial"/>
              <family val="2"/>
            </rPr>
            <t>2</t>
          </r>
          <r>
            <rPr>
              <b/>
              <sz val="9"/>
              <color theme="3" tint="0.39997558519241921"/>
              <rFont val="Arial"/>
              <family val="2"/>
            </rPr>
            <t>e</t>
          </r>
        </is>
      </nc>
      <ndxf>
        <font>
          <b/>
          <sz val="9"/>
          <color theme="3" tint="0.39997558519241921"/>
          <name val="Arial"/>
          <family val="2"/>
          <scheme val="none"/>
        </font>
        <numFmt numFmtId="3" formatCode="#,##0"/>
      </ndxf>
    </rcc>
    <rfmt sheetId="18" sqref="D65" start="0" length="0">
      <dxf>
        <font>
          <b/>
          <sz val="9"/>
          <color auto="1"/>
          <name val="Arial"/>
          <family val="2"/>
          <scheme val="none"/>
        </font>
        <numFmt numFmtId="15" formatCode="0.00E+00"/>
        <alignment horizontal="center"/>
      </dxf>
    </rfmt>
    <rfmt sheetId="18" sqref="E65" start="0" length="0">
      <dxf>
        <font>
          <b/>
          <sz val="9"/>
          <color auto="1"/>
          <name val="Arial"/>
          <family val="2"/>
          <scheme val="none"/>
        </font>
        <alignment horizontal="left"/>
        <border outline="0">
          <right style="thin">
            <color indexed="64"/>
          </right>
        </border>
      </dxf>
    </rfmt>
    <rcc rId="0" sId="18" dxf="1">
      <nc r="F65">
        <f>#REF!*#REF!/1000000</f>
      </nc>
      <ndxf>
        <font>
          <b/>
          <sz val="9"/>
          <color theme="3" tint="0.39997558519241921"/>
          <name val="Arial"/>
          <family val="2"/>
          <scheme val="none"/>
        </font>
        <numFmt numFmtId="3" formatCode="#,##0"/>
        <alignment horizontal="right"/>
      </ndxf>
    </rcc>
    <rcc rId="0" sId="18" dxf="1">
      <nc r="G65" t="inlineStr">
        <is>
          <r>
            <t>MgCO</t>
          </r>
          <r>
            <rPr>
              <b/>
              <vertAlign val="subscript"/>
              <sz val="9"/>
              <color theme="3" tint="0.39997558519241921"/>
              <rFont val="Arial"/>
              <family val="2"/>
            </rPr>
            <t>2</t>
          </r>
          <r>
            <rPr>
              <b/>
              <sz val="9"/>
              <color theme="3" tint="0.39997558519241921"/>
              <rFont val="Arial"/>
              <family val="2"/>
            </rPr>
            <t>e</t>
          </r>
        </is>
      </nc>
      <ndxf>
        <font>
          <b/>
          <sz val="9"/>
          <color theme="3" tint="0.39997558519241921"/>
          <name val="Arial"/>
          <family val="2"/>
          <scheme val="none"/>
        </font>
        <numFmt numFmtId="3" formatCode="#,##0"/>
      </ndxf>
    </rcc>
    <rfmt sheetId="18" sqref="H65" start="0" length="0">
      <dxf>
        <numFmt numFmtId="30" formatCode="@"/>
        <alignment horizontal="center"/>
      </dxf>
    </rfmt>
    <rfmt sheetId="18" sqref="I65" start="0" length="0">
      <dxf>
        <numFmt numFmtId="30" formatCode="@"/>
        <alignment horizontal="left"/>
        <border outline="0">
          <right style="thin">
            <color indexed="64"/>
          </right>
        </border>
      </dxf>
    </rfmt>
    <rcc rId="0" sId="18" dxf="1">
      <nc r="J65">
        <f>#REF!*#REF!/1000000</f>
      </nc>
      <ndxf>
        <font>
          <b/>
          <sz val="9"/>
          <color theme="3" tint="0.39997558519241921"/>
          <name val="Arial"/>
          <family val="2"/>
          <scheme val="none"/>
        </font>
        <numFmt numFmtId="3" formatCode="#,##0"/>
        <alignment horizontal="right"/>
      </ndxf>
    </rcc>
    <rcc rId="0" sId="18" dxf="1">
      <nc r="K65" t="inlineStr">
        <is>
          <r>
            <t>MgCO</t>
          </r>
          <r>
            <rPr>
              <b/>
              <vertAlign val="subscript"/>
              <sz val="9"/>
              <color theme="3" tint="0.39997558519241921"/>
              <rFont val="Arial"/>
              <family val="2"/>
            </rPr>
            <t>2</t>
          </r>
          <r>
            <rPr>
              <b/>
              <sz val="9"/>
              <color theme="3" tint="0.39997558519241921"/>
              <rFont val="Arial"/>
              <family val="2"/>
            </rPr>
            <t>e</t>
          </r>
        </is>
      </nc>
      <ndxf>
        <font>
          <b/>
          <sz val="9"/>
          <color theme="3" tint="0.39997558519241921"/>
          <name val="Arial"/>
          <family val="2"/>
          <scheme val="none"/>
        </font>
        <numFmt numFmtId="3" formatCode="#,##0"/>
      </ndxf>
    </rcc>
    <rfmt sheetId="18" sqref="L65" start="0" length="0">
      <dxf>
        <numFmt numFmtId="30" formatCode="@"/>
        <alignment horizontal="center"/>
      </dxf>
    </rfmt>
    <rfmt sheetId="18" sqref="M65" start="0" length="0">
      <dxf>
        <numFmt numFmtId="30" formatCode="@"/>
        <alignment horizontal="left"/>
        <border outline="0">
          <right style="thin">
            <color indexed="64"/>
          </right>
        </border>
      </dxf>
    </rfmt>
    <rfmt sheetId="18" sqref="N65" start="0" length="0">
      <dxf>
        <font>
          <sz val="9"/>
          <color theme="0" tint="-0.249977111117893"/>
          <name val="Arial"/>
          <family val="2"/>
          <scheme val="none"/>
        </font>
        <numFmt numFmtId="14" formatCode="0.00%"/>
        <border outline="0">
          <left style="thin">
            <color indexed="64"/>
          </left>
          <right style="thin">
            <color indexed="64"/>
          </right>
        </border>
      </dxf>
    </rfmt>
    <rcc rId="0" sId="18" dxf="1">
      <nc r="O65">
        <f>#REF!*kmTOmi*#REF!</f>
      </nc>
      <ndxf>
        <font>
          <b/>
          <sz val="9"/>
          <color theme="3" tint="0.39997558519241921"/>
          <name val="Arial"/>
          <family val="2"/>
          <scheme val="none"/>
        </font>
        <numFmt numFmtId="3" formatCode="#,##0"/>
        <alignment horizontal="right"/>
      </ndxf>
    </rcc>
    <rcc rId="0" sId="18" dxf="1">
      <nc r="P65" t="inlineStr">
        <is>
          <r>
            <t>MgCO</t>
          </r>
          <r>
            <rPr>
              <b/>
              <vertAlign val="subscript"/>
              <sz val="9"/>
              <color theme="3" tint="0.39997558519241921"/>
              <rFont val="Arial"/>
              <family val="2"/>
            </rPr>
            <t>2</t>
          </r>
          <r>
            <rPr>
              <b/>
              <sz val="9"/>
              <color theme="3" tint="0.39997558519241921"/>
              <rFont val="Arial"/>
              <family val="2"/>
            </rPr>
            <t>e</t>
          </r>
        </is>
      </nc>
      <ndxf>
        <font>
          <b/>
          <sz val="9"/>
          <color theme="3" tint="0.39997558519241921"/>
          <name val="Arial"/>
          <family val="2"/>
          <scheme val="none"/>
        </font>
        <numFmt numFmtId="3" formatCode="#,##0"/>
      </ndxf>
    </rcc>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6" sId="18" ref="A65:XFD65" action="deleteRow">
    <rfmt sheetId="18" xfDxf="1" sqref="A65:XFD65" start="0" length="0"/>
    <rfmt sheetId="18" sqref="A65" start="0" length="0">
      <dxf>
        <numFmt numFmtId="30" formatCode="@"/>
        <border outline="0">
          <right style="thin">
            <color indexed="64"/>
          </right>
        </border>
      </dxf>
    </rfmt>
    <rfmt sheetId="18" sqref="B65" start="0" length="0">
      <dxf>
        <numFmt numFmtId="3" formatCode="#,##0"/>
        <alignment horizontal="right"/>
      </dxf>
    </rfmt>
    <rfmt sheetId="18" sqref="C65" start="0" length="0">
      <dxf/>
    </rfmt>
    <rfmt sheetId="18" sqref="D65" start="0" length="0">
      <dxf/>
    </rfmt>
    <rfmt sheetId="18" sqref="E65" start="0" length="0">
      <dxf>
        <alignment horizontal="left"/>
        <border outline="0">
          <right style="thin">
            <color indexed="64"/>
          </right>
        </border>
      </dxf>
    </rfmt>
    <rfmt sheetId="18" sqref="F65" start="0" length="0">
      <dxf>
        <font>
          <b/>
          <sz val="9"/>
          <color auto="1"/>
          <name val="Arial"/>
          <family val="2"/>
          <scheme val="none"/>
        </font>
        <numFmt numFmtId="3" formatCode="#,##0"/>
        <alignment horizontal="right"/>
      </dxf>
    </rfmt>
    <rfmt sheetId="18" sqref="G65" start="0" length="0">
      <dxf/>
    </rfmt>
    <rfmt sheetId="18" sqref="H65" start="0" length="0">
      <dxf>
        <numFmt numFmtId="30" formatCode="@"/>
        <alignment horizontal="center"/>
      </dxf>
    </rfmt>
    <rfmt sheetId="18" sqref="I65" start="0" length="0">
      <dxf>
        <numFmt numFmtId="30" formatCode="@"/>
        <alignment horizontal="left"/>
        <border outline="0">
          <right style="thin">
            <color indexed="64"/>
          </right>
        </border>
      </dxf>
    </rfmt>
    <rfmt sheetId="18" sqref="J65" start="0" length="0">
      <dxf>
        <numFmt numFmtId="30" formatCode="@"/>
        <alignment horizontal="left"/>
      </dxf>
    </rfmt>
    <rfmt sheetId="18" sqref="K65" start="0" length="0">
      <dxf>
        <numFmt numFmtId="30" formatCode="@"/>
        <alignment horizontal="left"/>
      </dxf>
    </rfmt>
    <rfmt sheetId="18" sqref="L65" start="0" length="0">
      <dxf>
        <numFmt numFmtId="30" formatCode="@"/>
        <alignment horizontal="left"/>
      </dxf>
    </rfmt>
    <rfmt sheetId="18" sqref="M65" start="0" length="0">
      <dxf>
        <numFmt numFmtId="30" formatCode="@"/>
        <alignment horizontal="left"/>
        <border outline="0">
          <right style="thin">
            <color indexed="64"/>
          </right>
        </border>
      </dxf>
    </rfmt>
    <rfmt sheetId="18" sqref="N65" start="0" length="0">
      <dxf>
        <border outline="0">
          <left style="thin">
            <color indexed="64"/>
          </left>
          <right style="thin">
            <color indexed="64"/>
          </right>
        </border>
      </dxf>
    </rfmt>
    <rfmt sheetId="18" sqref="O65" start="0" length="0">
      <dxf>
        <numFmt numFmtId="3" formatCode="#,##0"/>
        <alignment horizontal="left"/>
      </dxf>
    </rfmt>
    <rfmt sheetId="18" sqref="P65" start="0" length="0">
      <dxf>
        <numFmt numFmtId="3" formatCode="#,##0"/>
        <alignment horizontal="left"/>
      </dxf>
    </rfmt>
    <rfmt sheetId="18" sqref="Q65" start="0" length="0">
      <dxf>
        <numFmt numFmtId="3" formatCode="#,##0"/>
        <alignment horizontal="left"/>
      </dxf>
    </rfmt>
    <rfmt sheetId="18" sqref="R65" start="0" length="0">
      <dxf>
        <numFmt numFmtId="3" formatCode="#,##0"/>
        <alignment horizontal="left"/>
        <border outline="0">
          <right style="thin">
            <color indexed="64"/>
          </right>
        </border>
      </dxf>
    </rfmt>
  </rrc>
  <rrc rId="1427" sId="18" ref="A65:XFD65" action="deleteRow">
    <rfmt sheetId="18" xfDxf="1" sqref="A65:XFD65" start="0" length="0">
      <dxf>
        <numFmt numFmtId="30" formatCode="@"/>
        <alignment horizontal="center"/>
      </dxf>
    </rfmt>
    <rfmt sheetId="18" sqref="A65" start="0" length="0">
      <dxf>
        <font>
          <sz val="11"/>
          <color indexed="62"/>
          <name val="Calibri"/>
          <family val="2"/>
          <scheme val="none"/>
        </font>
        <numFmt numFmtId="0" formatCode="General"/>
        <alignment horizontal="left" indent="5"/>
        <border outline="0">
          <right style="thin">
            <color indexed="64"/>
          </right>
        </border>
      </dxf>
    </rfmt>
    <rfmt sheetId="18" sqref="B65" start="0" length="0">
      <dxf>
        <numFmt numFmtId="3" formatCode="#,##0"/>
        <alignment horizontal="right"/>
      </dxf>
    </rfmt>
    <rfmt sheetId="18" sqref="C65" start="0" length="0">
      <dxf>
        <numFmt numFmtId="0" formatCode="General"/>
        <alignment horizontal="general"/>
      </dxf>
    </rfmt>
    <rfmt sheetId="18" sqref="D65" start="0" length="0">
      <dxf>
        <numFmt numFmtId="0" formatCode="General"/>
        <alignment horizontal="general"/>
      </dxf>
    </rfmt>
    <rfmt sheetId="18" sqref="E65" start="0" length="0">
      <dxf>
        <numFmt numFmtId="0" formatCode="General"/>
        <alignment horizontal="left"/>
        <border outline="0">
          <right style="thin">
            <color indexed="64"/>
          </right>
        </border>
      </dxf>
    </rfmt>
    <rfmt sheetId="18" sqref="F65" start="0" length="0">
      <dxf>
        <numFmt numFmtId="3" formatCode="#,##0"/>
        <alignment horizontal="right"/>
      </dxf>
    </rfmt>
    <rfmt sheetId="18" sqref="G65" start="0" length="0">
      <dxf>
        <numFmt numFmtId="0" formatCode="General"/>
        <alignment horizontal="general"/>
      </dxf>
    </rfmt>
    <rfmt sheetId="18" sqref="I65" start="0" length="0">
      <dxf>
        <alignment horizontal="left"/>
        <border outline="0">
          <right style="thin">
            <color indexed="64"/>
          </right>
        </border>
      </dxf>
    </rfmt>
    <rfmt sheetId="18" sqref="J65" start="0" length="0">
      <dxf>
        <alignment horizontal="left"/>
      </dxf>
    </rfmt>
    <rfmt sheetId="18" sqref="K65" start="0" length="0">
      <dxf>
        <alignment horizontal="left"/>
      </dxf>
    </rfmt>
    <rfmt sheetId="18" sqref="L65" start="0" length="0">
      <dxf>
        <alignment horizontal="left"/>
      </dxf>
    </rfmt>
    <rfmt sheetId="18" sqref="M65" start="0" length="0">
      <dxf>
        <alignment horizontal="left"/>
        <border outline="0">
          <right style="thin">
            <color indexed="64"/>
          </right>
        </border>
      </dxf>
    </rfmt>
    <rfmt sheetId="18" sqref="N65" start="0" length="0">
      <dxf>
        <numFmt numFmtId="0" formatCode="General"/>
        <alignment horizontal="general"/>
        <border outline="0">
          <left style="thin">
            <color indexed="64"/>
          </left>
          <right style="thin">
            <color indexed="64"/>
          </right>
        </border>
      </dxf>
    </rfmt>
    <rfmt sheetId="18" sqref="O65" start="0" length="0">
      <dxf>
        <numFmt numFmtId="3" formatCode="#,##0"/>
        <alignment horizontal="left"/>
      </dxf>
    </rfmt>
    <rfmt sheetId="18" sqref="P65" start="0" length="0">
      <dxf>
        <numFmt numFmtId="3" formatCode="#,##0"/>
        <alignment horizontal="left"/>
      </dxf>
    </rfmt>
    <rfmt sheetId="18" sqref="Q65" start="0" length="0">
      <dxf>
        <numFmt numFmtId="3" formatCode="#,##0"/>
        <alignment horizontal="left"/>
      </dxf>
    </rfmt>
    <rfmt sheetId="18" sqref="R65" start="0" length="0">
      <dxf>
        <numFmt numFmtId="3" formatCode="#,##0"/>
        <alignment horizontal="left"/>
        <border outline="0">
          <right style="thin">
            <color indexed="64"/>
          </right>
        </border>
      </dxf>
    </rfmt>
    <rfmt sheetId="18" sqref="S65" start="0" length="0">
      <dxf>
        <numFmt numFmtId="0" formatCode="General"/>
        <alignment horizontal="general"/>
      </dxf>
    </rfmt>
    <rfmt sheetId="18" sqref="T65" start="0" length="0">
      <dxf>
        <numFmt numFmtId="0" formatCode="General"/>
        <alignment horizontal="general"/>
      </dxf>
    </rfmt>
  </rrc>
  <rrc rId="1428" sId="18" ref="A65:XFD65" action="insertRow"/>
  <rrc rId="1429" sId="18" ref="A65:XFD65" action="insertRow"/>
  <rfmt sheetId="18" sqref="A65" start="0" length="0">
    <dxf>
      <font>
        <sz val="9"/>
        <color auto="1"/>
        <name val="Arial"/>
        <family val="2"/>
        <scheme val="none"/>
      </font>
    </dxf>
  </rfmt>
  <rrc rId="1430" sId="18" ref="A65:XFD65" action="insertRow"/>
  <rrc rId="1431" sId="18" ref="A65:XFD65" action="insertRow"/>
  <rrc rId="1432" sId="18" ref="A65:XFD68" action="insertRow"/>
  <rcc rId="1433" sId="18" odxf="1" dxf="1">
    <oc r="A64" t="inlineStr">
      <is>
        <t>baseline year DVMT</t>
      </is>
    </oc>
    <nc r="A64" t="inlineStr">
      <is>
        <t>Medium Truck daily VMT</t>
      </is>
    </nc>
    <odxf>
      <font>
        <family val="2"/>
      </font>
    </odxf>
    <ndxf>
      <font>
        <sz val="9"/>
        <color auto="1"/>
        <name val="Arial"/>
        <family val="2"/>
        <scheme val="none"/>
      </font>
    </ndxf>
  </rcc>
  <rcc rId="1434" sId="18" odxf="1" dxf="1">
    <nc r="A65" t="inlineStr">
      <is>
        <t>Day to Year Conversion Factor</t>
      </is>
    </nc>
    <odxf>
      <font>
        <family val="2"/>
      </font>
      <alignment indent="0"/>
    </odxf>
    <ndxf>
      <font>
        <sz val="9"/>
        <color auto="1"/>
        <name val="Arial"/>
        <family val="2"/>
        <scheme val="none"/>
      </font>
      <alignment indent="2"/>
    </ndxf>
  </rcc>
  <rfmt sheetId="18" sqref="A66" start="0" length="0">
    <dxf>
      <font>
        <sz val="9"/>
        <color auto="1"/>
        <name val="Arial"/>
        <family val="2"/>
        <scheme val="none"/>
      </font>
    </dxf>
  </rfmt>
  <rcc rId="1435" sId="18" numFmtId="4">
    <nc r="O65">
      <v>290</v>
    </nc>
  </rcc>
  <rcc rId="1436" sId="18" numFmtId="4">
    <nc r="O66">
      <v>401531.56438688713</v>
    </nc>
  </rcc>
  <rcc rId="1437" sId="18">
    <nc r="A66" t="inlineStr">
      <is>
        <t>Medium Truck annual running emissions</t>
      </is>
    </nc>
  </rcc>
  <rfmt sheetId="18" sqref="A67" start="0" length="0">
    <dxf>
      <font>
        <sz val="9"/>
        <color auto="1"/>
        <name val="Arial"/>
        <family val="2"/>
        <scheme val="none"/>
      </font>
    </dxf>
  </rfmt>
  <rcc rId="1438" sId="18">
    <nc r="A67" t="inlineStr">
      <is>
        <t>Medium Truck annual start emissions</t>
      </is>
    </nc>
  </rcc>
  <rcc rId="1439" sId="18" numFmtId="4">
    <nc r="O67">
      <v>3574.2620298266811</v>
    </nc>
  </rcc>
  <rfmt sheetId="18" sqref="A65" start="0" length="0">
    <dxf>
      <alignment relativeIndent="-1"/>
    </dxf>
  </rfmt>
  <rfmt sheetId="18" sqref="A65" start="0" length="0">
    <dxf>
      <alignment relativeIndent="-1"/>
    </dxf>
  </rfmt>
  <rcc rId="1440" sId="18" odxf="1" dxf="1">
    <nc r="A69" t="inlineStr">
      <is>
        <t>Medium Truck annual emissions</t>
      </is>
    </nc>
    <odxf>
      <font>
        <family val="2"/>
      </font>
    </odxf>
    <ndxf>
      <font>
        <sz val="9"/>
        <color auto="1"/>
        <name val="Arial"/>
        <family val="2"/>
        <scheme val="none"/>
      </font>
    </ndxf>
  </rcc>
  <rcc rId="1441" sId="18">
    <nc r="O69">
      <f>SUM(O66:O67)</f>
    </nc>
  </rcc>
  <rrc rId="1442" sId="18" ref="A70:XFD72" action="insertRow"/>
  <rrc rId="1443" sId="18" ref="A72:XFD73" action="insertRow"/>
  <rcc rId="1444" sId="18">
    <nc r="A72" t="inlineStr">
      <is>
        <t>Day to Year Conversion Factor</t>
      </is>
    </nc>
  </rcc>
  <rcc rId="1445" sId="18">
    <nc r="A71" t="inlineStr">
      <is>
        <t>Heavy Truck daily VMT</t>
      </is>
    </nc>
  </rcc>
  <rcc rId="1446" sId="18">
    <nc r="A73" t="inlineStr">
      <is>
        <t>Heavy Truck annual running emissions</t>
      </is>
    </nc>
  </rcc>
  <rcc rId="1447" sId="18">
    <nc r="A74" t="inlineStr">
      <is>
        <t>Heavy Truck annual start emissions</t>
      </is>
    </nc>
  </rcc>
  <rcc rId="1448" sId="18">
    <nc r="A76" t="inlineStr">
      <is>
        <t>Heavy Truck annual emissions</t>
      </is>
    </nc>
  </rcc>
  <rcc rId="1449" sId="18" numFmtId="4">
    <nc r="O73">
      <v>594345.81629044062</v>
    </nc>
  </rcc>
  <rcc rId="1450" sId="18" numFmtId="4">
    <nc r="O74">
      <v>84.11675857457098</v>
    </nc>
  </rcc>
  <rcc rId="1451" sId="18">
    <nc r="O76">
      <f>SUM(O73:O74)</f>
    </nc>
  </rcc>
  <rcc rId="1452" sId="18" numFmtId="4">
    <oc r="O64">
      <v>3417101.3461300526</v>
    </oc>
    <nc r="O64">
      <v>2265886.4260681556</v>
    </nc>
  </rcc>
  <rcc rId="1453" sId="18" numFmtId="4">
    <nc r="O71">
      <v>1151381.4464390981</v>
    </nc>
  </rcc>
  <rcc rId="1454" sId="18" numFmtId="4">
    <nc r="O72">
      <v>290</v>
    </nc>
  </rcc>
  <rfmt sheetId="18" sqref="O70 O68">
    <dxf>
      <fill>
        <patternFill patternType="none">
          <bgColor auto="1"/>
        </patternFill>
      </fill>
    </dxf>
  </rfmt>
  <rfmt sheetId="18" sqref="O75 O77">
    <dxf>
      <fill>
        <patternFill patternType="none">
          <bgColor auto="1"/>
        </patternFill>
      </fill>
    </dxf>
  </rfmt>
  <rcc rId="1455" sId="18">
    <oc r="O78">
      <f>SUM(O13,O26,O59,#REF!)</f>
    </oc>
    <nc r="O78">
      <f>SUM(O13,O26,O59,O69,O76)</f>
    </nc>
  </rcc>
  <rcc rId="1456" sId="18">
    <oc r="O13">
      <f>O21*kmTOmi*O15</f>
    </oc>
    <nc r="O13">
      <f>SUM(O11:O12)</f>
    </nc>
  </rcc>
  <rfmt sheetId="18" sqref="P73" start="0" length="0">
    <dxf>
      <numFmt numFmtId="3" formatCode="#,##0"/>
      <alignment horizontal="left"/>
    </dxf>
  </rfmt>
  <rfmt sheetId="18" sqref="P74" start="0" length="0">
    <dxf>
      <numFmt numFmtId="3" formatCode="#,##0"/>
      <alignment horizontal="left"/>
    </dxf>
  </rfmt>
  <rcc rId="1457" sId="18" odxf="1" dxf="1">
    <nc r="P75"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numFmt numFmtId="0" formatCode="General"/>
      <alignment horizontal="general"/>
    </odxf>
    <ndxf>
      <font>
        <b/>
        <sz val="9"/>
        <color theme="3" tint="0.39997558519241921"/>
        <name val="Arial"/>
        <family val="2"/>
        <scheme val="none"/>
      </font>
      <numFmt numFmtId="3" formatCode="#,##0"/>
      <alignment horizontal="left"/>
    </ndxf>
  </rcc>
  <rm rId="1458" sheetId="18" source="P75" destination="P76" sourceSheetId="18">
    <rfmt sheetId="18" sqref="P76" start="0" length="0">
      <dxf/>
    </rfmt>
  </rm>
  <rm rId="1459" sheetId="18" source="P73:P76" destination="P66:P69" sourceSheetId="18">
    <rfmt sheetId="18" sqref="P66" start="0" length="0">
      <dxf/>
    </rfmt>
    <rfmt sheetId="18" sqref="P67" start="0" length="0">
      <dxf/>
    </rfmt>
    <rfmt sheetId="18" sqref="P68" start="0" length="0">
      <dxf/>
    </rfmt>
    <rfmt sheetId="18" sqref="P69" start="0" length="0">
      <dxf/>
    </rfmt>
  </rm>
  <rfmt sheetId="18" sqref="P73" start="0" length="0">
    <dxf/>
  </rfmt>
  <rfmt sheetId="18" sqref="P74" start="0" length="0">
    <dxf/>
  </rfmt>
  <rcc rId="1460" sId="18" odxf="1" dxf="1">
    <nc r="P76"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odxf>
    <ndxf>
      <font>
        <b/>
        <sz val="9"/>
        <color theme="3" tint="0.39997558519241921"/>
        <name val="Arial"/>
        <family val="2"/>
        <scheme val="none"/>
      </font>
    </ndxf>
  </rcc>
  <rcc rId="1461" sId="18">
    <nc r="P71" t="inlineStr">
      <is>
        <t>mi</t>
      </is>
    </nc>
  </rcc>
  <rcc rId="1462" sId="18">
    <nc r="Q65" t="inlineStr">
      <is>
        <t>KC15-11-09</t>
      </is>
    </nc>
  </rcc>
  <rcc rId="1463" sId="18">
    <nc r="Q66" t="inlineStr">
      <is>
        <t>KC15-11-09</t>
      </is>
    </nc>
  </rcc>
  <rcc rId="1464" sId="18">
    <nc r="Q67" t="inlineStr">
      <is>
        <t>KC15-11-09</t>
      </is>
    </nc>
  </rcc>
  <rcc rId="1465" sId="18">
    <nc r="Q71" t="inlineStr">
      <is>
        <t>KC15-11-09</t>
      </is>
    </nc>
  </rcc>
  <rcc rId="1466" sId="18">
    <nc r="Q72" t="inlineStr">
      <is>
        <t>KC15-11-09</t>
      </is>
    </nc>
  </rcc>
  <rcc rId="1467" sId="18">
    <nc r="Q73" t="inlineStr">
      <is>
        <t>KC15-11-09</t>
      </is>
    </nc>
  </rcc>
  <rcc rId="1468" sId="18">
    <nc r="Q74" t="inlineStr">
      <is>
        <t>KC15-11-09</t>
      </is>
    </nc>
  </rcc>
  <rcc rId="1469" sId="18">
    <nc r="R66" t="inlineStr">
      <is>
        <t>D24</t>
      </is>
    </nc>
  </rcc>
  <rcc rId="1470" sId="18">
    <nc r="R67" t="inlineStr">
      <is>
        <t>D25</t>
      </is>
    </nc>
  </rcc>
  <rcc rId="1471" sId="18">
    <nc r="R73" t="inlineStr">
      <is>
        <t>E24</t>
      </is>
    </nc>
  </rcc>
  <rcc rId="1472" sId="18">
    <nc r="R74" t="inlineStr">
      <is>
        <t>E25</t>
      </is>
    </nc>
  </rcc>
  <rcc rId="1473" sId="18">
    <nc r="R11" t="inlineStr">
      <is>
        <t>B24</t>
      </is>
    </nc>
  </rcc>
  <rcc rId="1474" sId="18">
    <nc r="R12" t="inlineStr">
      <is>
        <t>B25</t>
      </is>
    </nc>
  </rcc>
  <rcc rId="1475" sId="18">
    <nc r="R7" t="inlineStr">
      <is>
        <t>B10</t>
      </is>
    </nc>
  </rcc>
  <rcc rId="1476" sId="18">
    <nc r="R8" t="inlineStr">
      <is>
        <t>C10</t>
      </is>
    </nc>
  </rcc>
  <rcc rId="1477" sId="18">
    <nc r="R9" t="inlineStr">
      <is>
        <t>D10</t>
      </is>
    </nc>
  </rcc>
  <rcc rId="1478" sId="18">
    <oc r="R64" t="inlineStr">
      <is>
        <t>Medium+ heavy truck</t>
      </is>
    </oc>
    <nc r="R64" t="inlineStr">
      <is>
        <t>F10</t>
      </is>
    </nc>
  </rcc>
  <rcc rId="1479" sId="18">
    <nc r="R71" t="inlineStr">
      <is>
        <t>G10</t>
      </is>
    </nc>
  </rcc>
  <rfmt sheetId="18" s="1" sqref="J7" start="0" length="0">
    <dxf>
      <numFmt numFmtId="3" formatCode="#,##0"/>
      <fill>
        <patternFill patternType="solid">
          <bgColor theme="9" tint="0.59999389629810485"/>
        </patternFill>
      </fill>
      <alignment horizontal="right"/>
    </dxf>
  </rfmt>
  <rfmt sheetId="18" sqref="K7" start="0" length="0">
    <dxf>
      <alignment horizontal="left"/>
    </dxf>
  </rfmt>
  <rcc rId="1480" sId="18" odxf="1" dxf="1">
    <oc r="L7" t="inlineStr">
      <is>
        <t>KC08-11-2_TripsVMT-KC</t>
      </is>
    </oc>
    <nc r="L7" t="inlineStr">
      <is>
        <t>KC15-11-09</t>
      </is>
    </nc>
    <odxf>
      <numFmt numFmtId="0" formatCode="General"/>
      <alignment horizontal="general" vertical="bottom"/>
    </odxf>
    <ndxf>
      <numFmt numFmtId="3" formatCode="#,##0"/>
      <alignment horizontal="left" vertical="top"/>
    </ndxf>
  </rcc>
  <rfmt sheetId="18" sqref="M7" start="0" length="0">
    <dxf>
      <numFmt numFmtId="3" formatCode="#,##0"/>
    </dxf>
  </rfmt>
  <rfmt sheetId="18" s="1" sqref="J8" start="0" length="0">
    <dxf>
      <numFmt numFmtId="3" formatCode="#,##0"/>
      <fill>
        <patternFill patternType="solid">
          <bgColor theme="9" tint="0.59999389629810485"/>
        </patternFill>
      </fill>
      <alignment horizontal="right"/>
    </dxf>
  </rfmt>
  <rfmt sheetId="18" sqref="K8" start="0" length="0">
    <dxf>
      <alignment horizontal="left"/>
    </dxf>
  </rfmt>
  <rcc rId="1481" sId="18" odxf="1" dxf="1">
    <oc r="L8" t="inlineStr">
      <is>
        <t>KC08-11-2_TripsVMT-KC</t>
      </is>
    </oc>
    <nc r="L8"/>
    <odxf>
      <numFmt numFmtId="0" formatCode="General"/>
      <alignment horizontal="general" vertical="bottom"/>
    </odxf>
    <ndxf>
      <numFmt numFmtId="3" formatCode="#,##0"/>
      <alignment horizontal="left" vertical="top"/>
    </ndxf>
  </rcc>
  <rfmt sheetId="18" sqref="M8" start="0" length="0">
    <dxf>
      <numFmt numFmtId="3" formatCode="#,##0"/>
    </dxf>
  </rfmt>
  <rfmt sheetId="18" s="1" sqref="J9" start="0" length="0">
    <dxf>
      <numFmt numFmtId="3" formatCode="#,##0"/>
      <fill>
        <patternFill patternType="solid">
          <bgColor theme="9" tint="0.59999389629810485"/>
        </patternFill>
      </fill>
      <alignment horizontal="right"/>
    </dxf>
  </rfmt>
  <rfmt sheetId="18" sqref="K9" start="0" length="0">
    <dxf>
      <alignment horizontal="left"/>
    </dxf>
  </rfmt>
  <rcc rId="1482" sId="18" odxf="1" dxf="1">
    <oc r="L9" t="inlineStr">
      <is>
        <t>KC08-11-2_TripsVMT-KC</t>
      </is>
    </oc>
    <nc r="L9"/>
    <odxf>
      <numFmt numFmtId="0" formatCode="General"/>
      <alignment horizontal="general" vertical="bottom"/>
    </odxf>
    <ndxf>
      <numFmt numFmtId="3" formatCode="#,##0"/>
      <alignment horizontal="left" vertical="top"/>
    </ndxf>
  </rcc>
  <rfmt sheetId="18" sqref="M9" start="0" length="0">
    <dxf>
      <numFmt numFmtId="3" formatCode="#,##0"/>
    </dxf>
  </rfmt>
  <rcc rId="1483" sId="18" odxf="1" s="1" dxf="1" numFmtId="4">
    <nc r="J10">
      <v>290</v>
    </nc>
    <odxf>
      <font>
        <b val="0"/>
        <i val="0"/>
        <strike val="0"/>
        <condense val="0"/>
        <extend val="0"/>
        <outline val="0"/>
        <shadow val="0"/>
        <u val="none"/>
        <vertAlign val="baseline"/>
        <sz val="9"/>
        <color auto="1"/>
        <name val="Arial"/>
        <family val="2"/>
        <scheme val="none"/>
      </font>
      <numFmt numFmtId="181" formatCode="_(* #,##0_);_(* \(#,##0\);_(* &quot;-&quot;??_);_(@_)"/>
      <fill>
        <patternFill patternType="none">
          <fgColor indexed="64"/>
          <bgColor indexed="65"/>
        </patternFill>
      </fill>
      <alignment horizontal="left" vertical="top" textRotation="0" wrapText="0" indent="0" justifyLastLine="0" shrinkToFit="0" readingOrder="0"/>
      <border diagonalUp="0" diagonalDown="0" outline="0">
        <left/>
        <right/>
        <top/>
        <bottom/>
      </border>
    </odxf>
    <ndxf>
      <numFmt numFmtId="3" formatCode="#,##0"/>
      <fill>
        <patternFill patternType="solid">
          <bgColor theme="9" tint="0.59999389629810485"/>
        </patternFill>
      </fill>
      <alignment horizontal="right"/>
    </ndxf>
  </rcc>
  <rfmt sheetId="18" sqref="K10" start="0" length="0">
    <dxf>
      <alignment horizontal="left"/>
    </dxf>
  </rfmt>
  <rfmt sheetId="18" sqref="L10" start="0" length="0">
    <dxf>
      <numFmt numFmtId="3" formatCode="#,##0"/>
      <alignment horizontal="left" vertical="top"/>
    </dxf>
  </rfmt>
  <rfmt sheetId="18" sqref="M10" start="0" length="0">
    <dxf>
      <numFmt numFmtId="3" formatCode="#,##0"/>
    </dxf>
  </rfmt>
  <rfmt sheetId="18" s="1" sqref="J11" start="0" length="0">
    <dxf>
      <numFmt numFmtId="3" formatCode="#,##0"/>
      <fill>
        <patternFill patternType="solid">
          <bgColor theme="9" tint="0.59999389629810485"/>
        </patternFill>
      </fill>
      <alignment horizontal="right"/>
    </dxf>
  </rfmt>
  <rfmt sheetId="18" sqref="K11" start="0" length="0">
    <dxf>
      <alignment horizontal="left"/>
    </dxf>
  </rfmt>
  <rfmt sheetId="18" sqref="L11" start="0" length="0">
    <dxf>
      <numFmt numFmtId="3" formatCode="#,##0"/>
      <alignment horizontal="left" vertical="top"/>
    </dxf>
  </rfmt>
  <rfmt sheetId="18" sqref="M11" start="0" length="0">
    <dxf>
      <numFmt numFmtId="3" formatCode="#,##0"/>
    </dxf>
  </rfmt>
  <rfmt sheetId="18" s="1" sqref="J12" start="0" length="0">
    <dxf>
      <numFmt numFmtId="3" formatCode="#,##0"/>
      <fill>
        <patternFill patternType="solid">
          <bgColor theme="9" tint="0.59999389629810485"/>
        </patternFill>
      </fill>
      <alignment horizontal="right"/>
    </dxf>
  </rfmt>
  <rfmt sheetId="18" sqref="K12" start="0" length="0">
    <dxf>
      <alignment horizontal="left"/>
    </dxf>
  </rfmt>
  <rfmt sheetId="18" sqref="L12" start="0" length="0">
    <dxf>
      <numFmt numFmtId="3" formatCode="#,##0"/>
      <alignment horizontal="left" vertical="top"/>
    </dxf>
  </rfmt>
  <rfmt sheetId="18" sqref="M12" start="0" length="0">
    <dxf>
      <numFmt numFmtId="3" formatCode="#,##0"/>
    </dxf>
  </rfmt>
  <rcc rId="1484" sId="18">
    <oc r="J13">
      <f>#REF!*#REF!/10^6</f>
    </oc>
    <nc r="J13">
      <f>SUM(J11:J12)</f>
    </nc>
  </rcc>
  <rfmt sheetId="18" sqref="L13" start="0" length="0">
    <dxf>
      <numFmt numFmtId="3" formatCode="#,##0"/>
    </dxf>
  </rfmt>
  <rfmt sheetId="18" sqref="M13" start="0" length="0">
    <dxf>
      <numFmt numFmtId="3" formatCode="#,##0"/>
    </dxf>
  </rfmt>
  <rcc rId="1485" sId="18" odxf="1" dxf="1" numFmtId="4">
    <oc r="F7">
      <v>29243505.355062779</v>
    </oc>
    <nc r="F7">
      <v>29644648.64168825</v>
    </nc>
    <odxf>
      <fill>
        <patternFill patternType="none">
          <bgColor indexed="65"/>
        </patternFill>
      </fill>
      <alignment vertical="bottom"/>
    </odxf>
    <ndxf>
      <fill>
        <patternFill patternType="solid">
          <bgColor theme="9" tint="0.59999389629810485"/>
        </patternFill>
      </fill>
      <alignment vertical="top"/>
    </ndxf>
  </rcc>
  <rfmt sheetId="18" sqref="G7" start="0" length="0">
    <dxf>
      <alignment horizontal="left"/>
    </dxf>
  </rfmt>
  <rcc rId="1486" sId="18" odxf="1" dxf="1">
    <oc r="H7" t="inlineStr">
      <is>
        <t>KC08-11-2_TripsVMT-KC</t>
      </is>
    </oc>
    <nc r="H7" t="inlineStr">
      <is>
        <t>KC15-11-09</t>
      </is>
    </nc>
    <odxf>
      <numFmt numFmtId="0" formatCode="General"/>
      <alignment horizontal="general" vertical="bottom"/>
    </odxf>
    <ndxf>
      <numFmt numFmtId="3" formatCode="#,##0"/>
      <alignment horizontal="left" vertical="top"/>
    </ndxf>
  </rcc>
  <rcc rId="1487" sId="18" odxf="1" dxf="1">
    <oc r="I7" t="inlineStr">
      <is>
        <t>SOV + light trucks</t>
      </is>
    </oc>
    <nc r="I7" t="inlineStr">
      <is>
        <t>B10</t>
      </is>
    </nc>
    <odxf>
      <numFmt numFmtId="30" formatCode="@"/>
    </odxf>
    <ndxf>
      <numFmt numFmtId="3" formatCode="#,##0"/>
    </ndxf>
  </rcc>
  <rcc rId="1488" sId="18" odxf="1" dxf="1" numFmtId="4">
    <oc r="F8">
      <v>5422775.6728318501</v>
    </oc>
    <nc r="F8">
      <v>7589916.2060248218</v>
    </nc>
    <odxf>
      <fill>
        <patternFill patternType="none">
          <bgColor indexed="65"/>
        </patternFill>
      </fill>
      <alignment vertical="bottom"/>
    </odxf>
    <ndxf>
      <fill>
        <patternFill patternType="solid">
          <bgColor theme="9" tint="0.59999389629810485"/>
        </patternFill>
      </fill>
      <alignment vertical="top"/>
    </ndxf>
  </rcc>
  <rfmt sheetId="18" sqref="G8" start="0" length="0">
    <dxf>
      <alignment horizontal="left"/>
    </dxf>
  </rfmt>
  <rcc rId="1489" sId="18" odxf="1" dxf="1">
    <oc r="H8" t="inlineStr">
      <is>
        <t>KC08-11-2_TripsVMT-KC</t>
      </is>
    </oc>
    <nc r="H8"/>
    <odxf>
      <numFmt numFmtId="0" formatCode="General"/>
      <alignment horizontal="general" vertical="bottom"/>
    </odxf>
    <ndxf>
      <numFmt numFmtId="3" formatCode="#,##0"/>
      <alignment horizontal="left" vertical="top"/>
    </ndxf>
  </rcc>
  <rcc rId="1490" sId="18" odxf="1" dxf="1">
    <nc r="I8" t="inlineStr">
      <is>
        <t>C10</t>
      </is>
    </nc>
    <odxf>
      <numFmt numFmtId="30" formatCode="@"/>
    </odxf>
    <ndxf>
      <numFmt numFmtId="3" formatCode="#,##0"/>
    </ndxf>
  </rcc>
  <rcc rId="1491" sId="18" odxf="1" dxf="1" numFmtId="4">
    <oc r="F9">
      <v>2736980.0294785937</v>
    </oc>
    <nc r="F9">
      <v>3641454.6037253658</v>
    </nc>
    <odxf>
      <fill>
        <patternFill patternType="none">
          <bgColor indexed="65"/>
        </patternFill>
      </fill>
      <alignment vertical="bottom"/>
    </odxf>
    <ndxf>
      <fill>
        <patternFill patternType="solid">
          <bgColor theme="9" tint="0.59999389629810485"/>
        </patternFill>
      </fill>
      <alignment vertical="top"/>
    </ndxf>
  </rcc>
  <rfmt sheetId="18" sqref="G9" start="0" length="0">
    <dxf>
      <alignment horizontal="left"/>
    </dxf>
  </rfmt>
  <rcc rId="1492" sId="18" odxf="1" dxf="1">
    <oc r="H9" t="inlineStr">
      <is>
        <t>KC08-11-2_TripsVMT-KC</t>
      </is>
    </oc>
    <nc r="H9"/>
    <odxf>
      <numFmt numFmtId="0" formatCode="General"/>
      <alignment horizontal="general" vertical="bottom"/>
    </odxf>
    <ndxf>
      <numFmt numFmtId="3" formatCode="#,##0"/>
      <alignment horizontal="left" vertical="top"/>
    </ndxf>
  </rcc>
  <rcc rId="1493" sId="18" odxf="1" dxf="1">
    <nc r="I9" t="inlineStr">
      <is>
        <t>D10</t>
      </is>
    </nc>
    <odxf>
      <numFmt numFmtId="30" formatCode="@"/>
    </odxf>
    <ndxf>
      <numFmt numFmtId="3" formatCode="#,##0"/>
    </ndxf>
  </rcc>
  <rcc rId="1494" sId="18" odxf="1" dxf="1" numFmtId="4">
    <nc r="F10">
      <v>290</v>
    </nc>
    <odxf>
      <fill>
        <patternFill patternType="none">
          <bgColor indexed="65"/>
        </patternFill>
      </fill>
      <alignment vertical="bottom"/>
    </odxf>
    <ndxf>
      <fill>
        <patternFill patternType="solid">
          <bgColor theme="9" tint="0.59999389629810485"/>
        </patternFill>
      </fill>
      <alignment vertical="top"/>
    </ndxf>
  </rcc>
  <rfmt sheetId="18" sqref="G10" start="0" length="0">
    <dxf>
      <alignment horizontal="left"/>
    </dxf>
  </rfmt>
  <rfmt sheetId="18" sqref="H10" start="0" length="0">
    <dxf>
      <numFmt numFmtId="3" formatCode="#,##0"/>
      <alignment horizontal="left" vertical="top"/>
    </dxf>
  </rfmt>
  <rfmt sheetId="18" sqref="I10" start="0" length="0">
    <dxf>
      <numFmt numFmtId="3" formatCode="#,##0"/>
    </dxf>
  </rfmt>
  <rcc rId="1495" sId="18" odxf="1" dxf="1" numFmtId="4">
    <nc r="F11">
      <v>4815582.5725452872</v>
    </nc>
    <odxf>
      <fill>
        <patternFill patternType="none">
          <bgColor indexed="65"/>
        </patternFill>
      </fill>
      <alignment vertical="bottom"/>
    </odxf>
    <ndxf>
      <fill>
        <patternFill patternType="solid">
          <bgColor theme="9" tint="0.59999389629810485"/>
        </patternFill>
      </fill>
      <alignment vertical="top"/>
    </ndxf>
  </rcc>
  <rfmt sheetId="18" sqref="G11" start="0" length="0">
    <dxf>
      <alignment horizontal="left"/>
    </dxf>
  </rfmt>
  <rfmt sheetId="18" sqref="H11" start="0" length="0">
    <dxf>
      <numFmt numFmtId="3" formatCode="#,##0"/>
      <alignment horizontal="left" vertical="top"/>
    </dxf>
  </rfmt>
  <rcc rId="1496" sId="18" odxf="1" dxf="1">
    <nc r="I11" t="inlineStr">
      <is>
        <t>B24</t>
      </is>
    </nc>
    <odxf>
      <numFmt numFmtId="30" formatCode="@"/>
    </odxf>
    <ndxf>
      <numFmt numFmtId="3" formatCode="#,##0"/>
    </ndxf>
  </rcc>
  <rcc rId="1497" sId="18" odxf="1" dxf="1" numFmtId="4">
    <nc r="F12">
      <v>24436.078117790417</v>
    </nc>
    <odxf>
      <fill>
        <patternFill patternType="none">
          <bgColor indexed="65"/>
        </patternFill>
      </fill>
      <alignment vertical="bottom"/>
    </odxf>
    <ndxf>
      <fill>
        <patternFill patternType="solid">
          <bgColor theme="9" tint="0.59999389629810485"/>
        </patternFill>
      </fill>
      <alignment vertical="top"/>
    </ndxf>
  </rcc>
  <rfmt sheetId="18" sqref="G12" start="0" length="0">
    <dxf>
      <alignment horizontal="left"/>
    </dxf>
  </rfmt>
  <rfmt sheetId="18" sqref="H12" start="0" length="0">
    <dxf>
      <numFmt numFmtId="3" formatCode="#,##0"/>
      <alignment horizontal="left" vertical="top"/>
    </dxf>
  </rfmt>
  <rcc rId="1498" sId="18" odxf="1" dxf="1">
    <nc r="I12" t="inlineStr">
      <is>
        <t>B25</t>
      </is>
    </nc>
    <odxf>
      <numFmt numFmtId="30" formatCode="@"/>
    </odxf>
    <ndxf>
      <numFmt numFmtId="3" formatCode="#,##0"/>
    </ndxf>
  </rcc>
  <rcc rId="1499" sId="18">
    <oc r="F13">
      <f>#REF!*#REF!/10^6</f>
    </oc>
    <nc r="F13">
      <f>SUM(F11:F12)</f>
    </nc>
  </rcc>
  <rfmt sheetId="18" sqref="H13" start="0" length="0">
    <dxf>
      <font>
        <sz val="9"/>
        <color auto="1"/>
        <name val="Arial"/>
        <family val="2"/>
        <scheme val="none"/>
      </font>
      <numFmt numFmtId="3" formatCode="#,##0"/>
    </dxf>
  </rfmt>
  <rfmt sheetId="18" sqref="I13" start="0" length="0">
    <dxf>
      <numFmt numFmtId="3" formatCode="#,##0"/>
    </dxf>
  </rfmt>
  <rfmt sheetId="18" sqref="J64" start="0" length="0">
    <dxf>
      <fill>
        <patternFill patternType="solid">
          <bgColor theme="9" tint="0.59999389629810485"/>
        </patternFill>
      </fill>
    </dxf>
  </rfmt>
  <rcc rId="1500" sId="18" odxf="1" dxf="1">
    <oc r="L64" t="inlineStr">
      <is>
        <t>KC08-11-2_TripsVMT-KC</t>
      </is>
    </oc>
    <nc r="L64" t="inlineStr">
      <is>
        <t>KC15-11-09</t>
      </is>
    </nc>
    <odxf>
      <numFmt numFmtId="0" formatCode="General"/>
      <alignment vertical="bottom"/>
    </odxf>
    <ndxf>
      <numFmt numFmtId="3" formatCode="#,##0"/>
      <alignment vertical="top"/>
    </ndxf>
  </rcc>
  <rfmt sheetId="18" sqref="M64" start="0" length="0">
    <dxf>
      <numFmt numFmtId="3" formatCode="#,##0"/>
    </dxf>
  </rfmt>
  <rcc rId="1501" sId="18" odxf="1" dxf="1" numFmtId="4">
    <nc r="J65">
      <v>290</v>
    </nc>
    <odxf>
      <fill>
        <patternFill patternType="none">
          <bgColor indexed="65"/>
        </patternFill>
      </fill>
    </odxf>
    <ndxf>
      <fill>
        <patternFill patternType="solid">
          <bgColor theme="9" tint="0.59999389629810485"/>
        </patternFill>
      </fill>
    </ndxf>
  </rcc>
  <rcc rId="1502" sId="18" odxf="1" dxf="1">
    <nc r="L65" t="inlineStr">
      <is>
        <t>KC15-11-09</t>
      </is>
    </nc>
    <odxf>
      <numFmt numFmtId="0" formatCode="General"/>
      <alignment vertical="bottom"/>
    </odxf>
    <ndxf>
      <numFmt numFmtId="3" formatCode="#,##0"/>
      <alignment vertical="top"/>
    </ndxf>
  </rcc>
  <rfmt sheetId="18" sqref="M65" start="0" length="0">
    <dxf>
      <numFmt numFmtId="3" formatCode="#,##0"/>
    </dxf>
  </rfmt>
  <rfmt sheetId="18" sqref="J66" start="0" length="0">
    <dxf>
      <fill>
        <patternFill patternType="solid">
          <bgColor theme="9" tint="0.59999389629810485"/>
        </patternFill>
      </fill>
    </dxf>
  </rfmt>
  <rfmt sheetId="18" sqref="K66" start="0" length="0">
    <dxf>
      <numFmt numFmtId="3" formatCode="#,##0"/>
      <alignment horizontal="left"/>
    </dxf>
  </rfmt>
  <rcc rId="1503" sId="18" odxf="1" dxf="1">
    <nc r="L66" t="inlineStr">
      <is>
        <t>KC15-11-09</t>
      </is>
    </nc>
    <odxf>
      <numFmt numFmtId="0" formatCode="General"/>
      <alignment vertical="bottom"/>
    </odxf>
    <ndxf>
      <numFmt numFmtId="3" formatCode="#,##0"/>
      <alignment vertical="top"/>
    </ndxf>
  </rcc>
  <rfmt sheetId="18" sqref="M66" start="0" length="0">
    <dxf>
      <numFmt numFmtId="3" formatCode="#,##0"/>
    </dxf>
  </rfmt>
  <rfmt sheetId="18" sqref="J67" start="0" length="0">
    <dxf>
      <fill>
        <patternFill patternType="solid">
          <bgColor theme="9" tint="0.59999389629810485"/>
        </patternFill>
      </fill>
    </dxf>
  </rfmt>
  <rfmt sheetId="18" sqref="K67" start="0" length="0">
    <dxf>
      <numFmt numFmtId="3" formatCode="#,##0"/>
      <alignment horizontal="left"/>
    </dxf>
  </rfmt>
  <rcc rId="1504" sId="18" odxf="1" dxf="1">
    <nc r="L67" t="inlineStr">
      <is>
        <t>KC15-11-09</t>
      </is>
    </nc>
    <odxf>
      <numFmt numFmtId="0" formatCode="General"/>
      <alignment vertical="bottom"/>
    </odxf>
    <ndxf>
      <numFmt numFmtId="3" formatCode="#,##0"/>
      <alignment vertical="top"/>
    </ndxf>
  </rcc>
  <rfmt sheetId="18" sqref="M67" start="0" length="0">
    <dxf>
      <numFmt numFmtId="3" formatCode="#,##0"/>
    </dxf>
  </rfmt>
  <rfmt sheetId="18" sqref="K68" start="0" length="0">
    <dxf>
      <numFmt numFmtId="3" formatCode="#,##0"/>
      <alignment horizontal="left"/>
    </dxf>
  </rfmt>
  <rfmt sheetId="18" sqref="L68" start="0" length="0">
    <dxf>
      <numFmt numFmtId="3" formatCode="#,##0"/>
      <alignment vertical="top"/>
    </dxf>
  </rfmt>
  <rfmt sheetId="18" sqref="M68" start="0" length="0">
    <dxf>
      <numFmt numFmtId="3" formatCode="#,##0"/>
    </dxf>
  </rfmt>
  <rcc rId="1505" sId="18" odxf="1" dxf="1">
    <nc r="J69">
      <f>SUM(J66:J67)</f>
    </nc>
    <odxf>
      <fill>
        <patternFill patternType="none">
          <bgColor indexed="65"/>
        </patternFill>
      </fill>
    </odxf>
    <ndxf>
      <fill>
        <patternFill patternType="solid">
          <bgColor theme="9" tint="0.59999389629810485"/>
        </patternFill>
      </fill>
    </ndxf>
  </rcc>
  <rcc rId="1506" sId="18" odxf="1" dxf="1">
    <nc r="K69"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numFmt numFmtId="0" formatCode="General"/>
      <alignment horizontal="general"/>
    </odxf>
    <ndxf>
      <font>
        <b/>
        <sz val="9"/>
        <color theme="3" tint="0.39997558519241921"/>
        <name val="Arial"/>
        <family val="2"/>
        <scheme val="none"/>
      </font>
      <numFmt numFmtId="3" formatCode="#,##0"/>
      <alignment horizontal="left"/>
    </ndxf>
  </rcc>
  <rfmt sheetId="18" sqref="L69" start="0" length="0">
    <dxf>
      <numFmt numFmtId="3" formatCode="#,##0"/>
      <alignment vertical="top"/>
    </dxf>
  </rfmt>
  <rfmt sheetId="18" sqref="M69" start="0" length="0">
    <dxf>
      <numFmt numFmtId="3" formatCode="#,##0"/>
    </dxf>
  </rfmt>
  <rfmt sheetId="18" sqref="L70" start="0" length="0">
    <dxf>
      <numFmt numFmtId="3" formatCode="#,##0"/>
      <alignment vertical="top"/>
    </dxf>
  </rfmt>
  <rfmt sheetId="18" sqref="M70" start="0" length="0">
    <dxf>
      <numFmt numFmtId="3" formatCode="#,##0"/>
    </dxf>
  </rfmt>
  <rfmt sheetId="18" sqref="J71" start="0" length="0">
    <dxf>
      <fill>
        <patternFill patternType="solid">
          <bgColor theme="9" tint="0.59999389629810485"/>
        </patternFill>
      </fill>
    </dxf>
  </rfmt>
  <rcc rId="1507" sId="18">
    <nc r="K71" t="inlineStr">
      <is>
        <t>mi</t>
      </is>
    </nc>
  </rcc>
  <rcc rId="1508" sId="18" odxf="1" dxf="1">
    <nc r="L71" t="inlineStr">
      <is>
        <t>KC15-11-09</t>
      </is>
    </nc>
    <odxf>
      <numFmt numFmtId="0" formatCode="General"/>
      <alignment vertical="bottom"/>
    </odxf>
    <ndxf>
      <numFmt numFmtId="3" formatCode="#,##0"/>
      <alignment vertical="top"/>
    </ndxf>
  </rcc>
  <rfmt sheetId="18" sqref="M71" start="0" length="0">
    <dxf>
      <numFmt numFmtId="3" formatCode="#,##0"/>
    </dxf>
  </rfmt>
  <rcc rId="1509" sId="18" odxf="1" dxf="1" numFmtId="4">
    <nc r="J72">
      <v>290</v>
    </nc>
    <odxf>
      <fill>
        <patternFill patternType="none">
          <bgColor indexed="65"/>
        </patternFill>
      </fill>
    </odxf>
    <ndxf>
      <fill>
        <patternFill patternType="solid">
          <bgColor theme="9" tint="0.59999389629810485"/>
        </patternFill>
      </fill>
    </ndxf>
  </rcc>
  <rcc rId="1510" sId="18" odxf="1" dxf="1">
    <nc r="L72" t="inlineStr">
      <is>
        <t>KC15-11-09</t>
      </is>
    </nc>
    <odxf>
      <numFmt numFmtId="0" formatCode="General"/>
      <alignment vertical="bottom"/>
    </odxf>
    <ndxf>
      <numFmt numFmtId="3" formatCode="#,##0"/>
      <alignment vertical="top"/>
    </ndxf>
  </rcc>
  <rfmt sheetId="18" sqref="M72" start="0" length="0">
    <dxf>
      <numFmt numFmtId="3" formatCode="#,##0"/>
    </dxf>
  </rfmt>
  <rfmt sheetId="18" sqref="J73" start="0" length="0">
    <dxf>
      <fill>
        <patternFill patternType="solid">
          <bgColor theme="9" tint="0.59999389629810485"/>
        </patternFill>
      </fill>
    </dxf>
  </rfmt>
  <rfmt sheetId="18" sqref="K73" start="0" length="0">
    <dxf>
      <numFmt numFmtId="3" formatCode="#,##0"/>
      <alignment horizontal="left"/>
    </dxf>
  </rfmt>
  <rcc rId="1511" sId="18" odxf="1" dxf="1">
    <nc r="L73" t="inlineStr">
      <is>
        <t>KC15-11-09</t>
      </is>
    </nc>
    <odxf>
      <numFmt numFmtId="0" formatCode="General"/>
      <alignment vertical="bottom"/>
    </odxf>
    <ndxf>
      <numFmt numFmtId="3" formatCode="#,##0"/>
      <alignment vertical="top"/>
    </ndxf>
  </rcc>
  <rfmt sheetId="18" sqref="M73" start="0" length="0">
    <dxf>
      <numFmt numFmtId="3" formatCode="#,##0"/>
    </dxf>
  </rfmt>
  <rfmt sheetId="18" sqref="J74" start="0" length="0">
    <dxf>
      <fill>
        <patternFill patternType="solid">
          <bgColor theme="9" tint="0.59999389629810485"/>
        </patternFill>
      </fill>
    </dxf>
  </rfmt>
  <rfmt sheetId="18" sqref="K74" start="0" length="0">
    <dxf>
      <numFmt numFmtId="3" formatCode="#,##0"/>
      <alignment horizontal="left"/>
    </dxf>
  </rfmt>
  <rcc rId="1512" sId="18" odxf="1" dxf="1">
    <nc r="L74" t="inlineStr">
      <is>
        <t>KC15-11-09</t>
      </is>
    </nc>
    <odxf>
      <numFmt numFmtId="0" formatCode="General"/>
      <alignment vertical="bottom"/>
    </odxf>
    <ndxf>
      <numFmt numFmtId="3" formatCode="#,##0"/>
      <alignment vertical="top"/>
    </ndxf>
  </rcc>
  <rfmt sheetId="18" sqref="M74" start="0" length="0">
    <dxf>
      <numFmt numFmtId="3" formatCode="#,##0"/>
    </dxf>
  </rfmt>
  <rfmt sheetId="18" sqref="K75" start="0" length="0">
    <dxf>
      <numFmt numFmtId="3" formatCode="#,##0"/>
      <alignment horizontal="left"/>
    </dxf>
  </rfmt>
  <rfmt sheetId="18" sqref="L75" start="0" length="0">
    <dxf>
      <numFmt numFmtId="3" formatCode="#,##0"/>
      <alignment vertical="top"/>
    </dxf>
  </rfmt>
  <rfmt sheetId="18" sqref="M75" start="0" length="0">
    <dxf>
      <numFmt numFmtId="3" formatCode="#,##0"/>
    </dxf>
  </rfmt>
  <rcc rId="1513" sId="18" odxf="1" dxf="1">
    <nc r="J76">
      <f>SUM(J73:J74)</f>
    </nc>
    <odxf>
      <fill>
        <patternFill patternType="none">
          <bgColor indexed="65"/>
        </patternFill>
      </fill>
    </odxf>
    <ndxf>
      <fill>
        <patternFill patternType="solid">
          <bgColor theme="9" tint="0.59999389629810485"/>
        </patternFill>
      </fill>
    </ndxf>
  </rcc>
  <rcc rId="1514" sId="18" odxf="1" dxf="1">
    <nc r="K76"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numFmt numFmtId="0" formatCode="General"/>
      <alignment horizontal="general"/>
    </odxf>
    <ndxf>
      <font>
        <b/>
        <sz val="9"/>
        <color theme="3" tint="0.39997558519241921"/>
        <name val="Arial"/>
        <family val="2"/>
        <scheme val="none"/>
      </font>
      <numFmt numFmtId="3" formatCode="#,##0"/>
      <alignment horizontal="left"/>
    </ndxf>
  </rcc>
  <rfmt sheetId="18" sqref="L76" start="0" length="0">
    <dxf>
      <numFmt numFmtId="3" formatCode="#,##0"/>
      <alignment vertical="top"/>
    </dxf>
  </rfmt>
  <rfmt sheetId="18" sqref="M76" start="0" length="0">
    <dxf>
      <numFmt numFmtId="3" formatCode="#,##0"/>
    </dxf>
  </rfmt>
  <rfmt sheetId="18" sqref="L77" start="0" length="0">
    <dxf>
      <numFmt numFmtId="3" formatCode="#,##0"/>
      <alignment vertical="top"/>
    </dxf>
  </rfmt>
  <rfmt sheetId="18" sqref="M77" start="0" length="0">
    <dxf>
      <numFmt numFmtId="3" formatCode="#,##0"/>
    </dxf>
  </rfmt>
  <rcc rId="1515" sId="18" odxf="1" dxf="1" numFmtId="4">
    <oc r="F64">
      <v>5724399.2557274476</v>
    </oc>
    <nc r="F64">
      <v>2265886.4260681556</v>
    </nc>
    <odxf>
      <fill>
        <patternFill patternType="none">
          <bgColor indexed="65"/>
        </patternFill>
      </fill>
    </odxf>
    <ndxf>
      <fill>
        <patternFill patternType="solid">
          <bgColor theme="9" tint="0.59999389629810485"/>
        </patternFill>
      </fill>
    </ndxf>
  </rcc>
  <rcc rId="1516" sId="18" odxf="1" dxf="1">
    <oc r="H64" t="inlineStr">
      <is>
        <t>KC08-11-2_TripsVMT-KC</t>
      </is>
    </oc>
    <nc r="H64" t="inlineStr">
      <is>
        <t>KC15-11-09</t>
      </is>
    </nc>
    <odxf>
      <numFmt numFmtId="0" formatCode="General"/>
      <alignment vertical="bottom"/>
    </odxf>
    <ndxf>
      <numFmt numFmtId="3" formatCode="#,##0"/>
      <alignment vertical="top"/>
    </ndxf>
  </rcc>
  <rcc rId="1517" sId="18" odxf="1" dxf="1">
    <oc r="I64" t="inlineStr">
      <is>
        <t>Medium + heavy truck</t>
      </is>
    </oc>
    <nc r="I64" t="inlineStr">
      <is>
        <t>F10</t>
      </is>
    </nc>
    <odxf>
      <numFmt numFmtId="30" formatCode="@"/>
    </odxf>
    <ndxf>
      <numFmt numFmtId="3" formatCode="#,##0"/>
    </ndxf>
  </rcc>
  <rcc rId="1518" sId="18" odxf="1" dxf="1" numFmtId="4">
    <nc r="F65">
      <v>290</v>
    </nc>
    <odxf>
      <fill>
        <patternFill patternType="none">
          <bgColor indexed="65"/>
        </patternFill>
      </fill>
    </odxf>
    <ndxf>
      <fill>
        <patternFill patternType="solid">
          <bgColor theme="9" tint="0.59999389629810485"/>
        </patternFill>
      </fill>
    </ndxf>
  </rcc>
  <rcc rId="1519" sId="18" odxf="1" dxf="1">
    <nc r="H65" t="inlineStr">
      <is>
        <t>KC15-11-09</t>
      </is>
    </nc>
    <odxf>
      <numFmt numFmtId="0" formatCode="General"/>
      <alignment vertical="bottom"/>
    </odxf>
    <ndxf>
      <numFmt numFmtId="3" formatCode="#,##0"/>
      <alignment vertical="top"/>
    </ndxf>
  </rcc>
  <rfmt sheetId="18" sqref="I65" start="0" length="0">
    <dxf>
      <numFmt numFmtId="3" formatCode="#,##0"/>
    </dxf>
  </rfmt>
  <rcc rId="1520" sId="18" odxf="1" dxf="1" numFmtId="4">
    <nc r="F66">
      <v>401531.56438688713</v>
    </nc>
    <odxf>
      <fill>
        <patternFill patternType="none">
          <bgColor indexed="65"/>
        </patternFill>
      </fill>
    </odxf>
    <ndxf>
      <fill>
        <patternFill patternType="solid">
          <bgColor theme="9" tint="0.59999389629810485"/>
        </patternFill>
      </fill>
    </ndxf>
  </rcc>
  <rfmt sheetId="18" sqref="G66" start="0" length="0">
    <dxf>
      <numFmt numFmtId="3" formatCode="#,##0"/>
      <alignment horizontal="left"/>
    </dxf>
  </rfmt>
  <rcc rId="1521" sId="18" odxf="1" dxf="1">
    <nc r="H66" t="inlineStr">
      <is>
        <t>KC15-11-09</t>
      </is>
    </nc>
    <odxf>
      <numFmt numFmtId="0" formatCode="General"/>
      <alignment vertical="bottom"/>
    </odxf>
    <ndxf>
      <numFmt numFmtId="3" formatCode="#,##0"/>
      <alignment vertical="top"/>
    </ndxf>
  </rcc>
  <rcc rId="1522" sId="18" odxf="1" dxf="1">
    <nc r="I66" t="inlineStr">
      <is>
        <t>D24</t>
      </is>
    </nc>
    <odxf>
      <numFmt numFmtId="30" formatCode="@"/>
    </odxf>
    <ndxf>
      <numFmt numFmtId="3" formatCode="#,##0"/>
    </ndxf>
  </rcc>
  <rcc rId="1523" sId="18" odxf="1" dxf="1" numFmtId="4">
    <nc r="F67">
      <v>3574.2620298266811</v>
    </nc>
    <odxf>
      <fill>
        <patternFill patternType="none">
          <bgColor indexed="65"/>
        </patternFill>
      </fill>
    </odxf>
    <ndxf>
      <fill>
        <patternFill patternType="solid">
          <bgColor theme="9" tint="0.59999389629810485"/>
        </patternFill>
      </fill>
    </ndxf>
  </rcc>
  <rfmt sheetId="18" sqref="G67" start="0" length="0">
    <dxf>
      <numFmt numFmtId="3" formatCode="#,##0"/>
      <alignment horizontal="left"/>
    </dxf>
  </rfmt>
  <rcc rId="1524" sId="18" odxf="1" dxf="1">
    <nc r="H67" t="inlineStr">
      <is>
        <t>KC15-11-09</t>
      </is>
    </nc>
    <odxf>
      <numFmt numFmtId="0" formatCode="General"/>
      <alignment vertical="bottom"/>
    </odxf>
    <ndxf>
      <numFmt numFmtId="3" formatCode="#,##0"/>
      <alignment vertical="top"/>
    </ndxf>
  </rcc>
  <rcc rId="1525" sId="18" odxf="1" dxf="1">
    <nc r="I67" t="inlineStr">
      <is>
        <t>D25</t>
      </is>
    </nc>
    <odxf>
      <numFmt numFmtId="30" formatCode="@"/>
    </odxf>
    <ndxf>
      <numFmt numFmtId="3" formatCode="#,##0"/>
    </ndxf>
  </rcc>
  <rfmt sheetId="18" sqref="F68" start="0" length="0">
    <dxf/>
  </rfmt>
  <rfmt sheetId="18" sqref="G68" start="0" length="0">
    <dxf>
      <numFmt numFmtId="3" formatCode="#,##0"/>
      <alignment horizontal="left"/>
    </dxf>
  </rfmt>
  <rfmt sheetId="18" sqref="H68" start="0" length="0">
    <dxf>
      <numFmt numFmtId="3" formatCode="#,##0"/>
      <alignment vertical="top"/>
    </dxf>
  </rfmt>
  <rfmt sheetId="18" sqref="I68" start="0" length="0">
    <dxf>
      <numFmt numFmtId="3" formatCode="#,##0"/>
    </dxf>
  </rfmt>
  <rcc rId="1526" sId="18" odxf="1" dxf="1">
    <nc r="F69">
      <f>SUM(F66:F67)</f>
    </nc>
    <odxf>
      <fill>
        <patternFill patternType="none">
          <bgColor indexed="65"/>
        </patternFill>
      </fill>
    </odxf>
    <ndxf>
      <fill>
        <patternFill patternType="solid">
          <bgColor theme="9" tint="0.59999389629810485"/>
        </patternFill>
      </fill>
    </ndxf>
  </rcc>
  <rcc rId="1527" sId="18" odxf="1" dxf="1">
    <nc r="G69"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numFmt numFmtId="0" formatCode="General"/>
      <alignment horizontal="general"/>
    </odxf>
    <ndxf>
      <font>
        <b/>
        <sz val="9"/>
        <color theme="3" tint="0.39997558519241921"/>
        <name val="Arial"/>
        <family val="2"/>
        <scheme val="none"/>
      </font>
      <numFmt numFmtId="3" formatCode="#,##0"/>
      <alignment horizontal="left"/>
    </ndxf>
  </rcc>
  <rfmt sheetId="18" sqref="H69" start="0" length="0">
    <dxf>
      <numFmt numFmtId="3" formatCode="#,##0"/>
      <alignment vertical="top"/>
    </dxf>
  </rfmt>
  <rfmt sheetId="18" sqref="I69" start="0" length="0">
    <dxf>
      <numFmt numFmtId="3" formatCode="#,##0"/>
    </dxf>
  </rfmt>
  <rfmt sheetId="18" sqref="F70" start="0" length="0">
    <dxf/>
  </rfmt>
  <rfmt sheetId="18" sqref="H70" start="0" length="0">
    <dxf>
      <numFmt numFmtId="3" formatCode="#,##0"/>
      <alignment vertical="top"/>
    </dxf>
  </rfmt>
  <rfmt sheetId="18" sqref="I70" start="0" length="0">
    <dxf>
      <numFmt numFmtId="3" formatCode="#,##0"/>
    </dxf>
  </rfmt>
  <rcc rId="1528" sId="18" odxf="1" dxf="1" numFmtId="4">
    <nc r="F71">
      <v>1151381.4464390981</v>
    </nc>
    <odxf>
      <fill>
        <patternFill patternType="none">
          <bgColor indexed="65"/>
        </patternFill>
      </fill>
    </odxf>
    <ndxf>
      <fill>
        <patternFill patternType="solid">
          <bgColor theme="9" tint="0.59999389629810485"/>
        </patternFill>
      </fill>
    </ndxf>
  </rcc>
  <rcc rId="1529" sId="18">
    <nc r="G71" t="inlineStr">
      <is>
        <t>mi</t>
      </is>
    </nc>
  </rcc>
  <rcc rId="1530" sId="18" odxf="1" dxf="1">
    <nc r="H71" t="inlineStr">
      <is>
        <t>KC15-11-09</t>
      </is>
    </nc>
    <odxf>
      <numFmt numFmtId="0" formatCode="General"/>
      <alignment vertical="bottom"/>
    </odxf>
    <ndxf>
      <numFmt numFmtId="3" formatCode="#,##0"/>
      <alignment vertical="top"/>
    </ndxf>
  </rcc>
  <rcc rId="1531" sId="18" odxf="1" dxf="1">
    <nc r="I71" t="inlineStr">
      <is>
        <t>G10</t>
      </is>
    </nc>
    <odxf>
      <numFmt numFmtId="30" formatCode="@"/>
    </odxf>
    <ndxf>
      <numFmt numFmtId="3" formatCode="#,##0"/>
    </ndxf>
  </rcc>
  <rcc rId="1532" sId="18" odxf="1" dxf="1" numFmtId="4">
    <nc r="F72">
      <v>290</v>
    </nc>
    <odxf>
      <fill>
        <patternFill patternType="none">
          <bgColor indexed="65"/>
        </patternFill>
      </fill>
    </odxf>
    <ndxf>
      <fill>
        <patternFill patternType="solid">
          <bgColor theme="9" tint="0.59999389629810485"/>
        </patternFill>
      </fill>
    </ndxf>
  </rcc>
  <rcc rId="1533" sId="18" odxf="1" dxf="1">
    <nc r="H72" t="inlineStr">
      <is>
        <t>KC15-11-09</t>
      </is>
    </nc>
    <odxf>
      <numFmt numFmtId="0" formatCode="General"/>
      <alignment vertical="bottom"/>
    </odxf>
    <ndxf>
      <numFmt numFmtId="3" formatCode="#,##0"/>
      <alignment vertical="top"/>
    </ndxf>
  </rcc>
  <rfmt sheetId="18" sqref="I72" start="0" length="0">
    <dxf>
      <numFmt numFmtId="3" formatCode="#,##0"/>
    </dxf>
  </rfmt>
  <rfmt sheetId="18" sqref="F73" start="0" length="0">
    <dxf>
      <fill>
        <patternFill patternType="solid">
          <bgColor theme="9" tint="0.59999389629810485"/>
        </patternFill>
      </fill>
    </dxf>
  </rfmt>
  <rfmt sheetId="18" sqref="G73" start="0" length="0">
    <dxf>
      <numFmt numFmtId="3" formatCode="#,##0"/>
      <alignment horizontal="left"/>
    </dxf>
  </rfmt>
  <rcc rId="1534" sId="18" odxf="1" dxf="1">
    <nc r="H73" t="inlineStr">
      <is>
        <t>KC15-11-09</t>
      </is>
    </nc>
    <odxf>
      <numFmt numFmtId="0" formatCode="General"/>
      <alignment vertical="bottom"/>
    </odxf>
    <ndxf>
      <numFmt numFmtId="3" formatCode="#,##0"/>
      <alignment vertical="top"/>
    </ndxf>
  </rcc>
  <rcc rId="1535" sId="18" odxf="1" dxf="1">
    <nc r="I73" t="inlineStr">
      <is>
        <t>E24</t>
      </is>
    </nc>
    <odxf>
      <numFmt numFmtId="30" formatCode="@"/>
    </odxf>
    <ndxf>
      <numFmt numFmtId="3" formatCode="#,##0"/>
    </ndxf>
  </rcc>
  <rfmt sheetId="18" sqref="F74" start="0" length="0">
    <dxf>
      <fill>
        <patternFill patternType="solid">
          <bgColor theme="9" tint="0.59999389629810485"/>
        </patternFill>
      </fill>
    </dxf>
  </rfmt>
  <rfmt sheetId="18" sqref="G74" start="0" length="0">
    <dxf>
      <numFmt numFmtId="3" formatCode="#,##0"/>
      <alignment horizontal="left"/>
    </dxf>
  </rfmt>
  <rcc rId="1536" sId="18" odxf="1" dxf="1">
    <nc r="H74" t="inlineStr">
      <is>
        <t>KC15-11-09</t>
      </is>
    </nc>
    <odxf>
      <numFmt numFmtId="0" formatCode="General"/>
      <alignment vertical="bottom"/>
    </odxf>
    <ndxf>
      <numFmt numFmtId="3" formatCode="#,##0"/>
      <alignment vertical="top"/>
    </ndxf>
  </rcc>
  <rcc rId="1537" sId="18" odxf="1" dxf="1">
    <nc r="I74" t="inlineStr">
      <is>
        <t>E25</t>
      </is>
    </nc>
    <odxf>
      <numFmt numFmtId="30" formatCode="@"/>
    </odxf>
    <ndxf>
      <numFmt numFmtId="3" formatCode="#,##0"/>
    </ndxf>
  </rcc>
  <rfmt sheetId="18" sqref="F75" start="0" length="0">
    <dxf/>
  </rfmt>
  <rfmt sheetId="18" sqref="G75" start="0" length="0">
    <dxf>
      <numFmt numFmtId="3" formatCode="#,##0"/>
      <alignment horizontal="left"/>
    </dxf>
  </rfmt>
  <rfmt sheetId="18" sqref="H75" start="0" length="0">
    <dxf>
      <numFmt numFmtId="3" formatCode="#,##0"/>
      <alignment vertical="top"/>
    </dxf>
  </rfmt>
  <rfmt sheetId="18" sqref="I75" start="0" length="0">
    <dxf>
      <numFmt numFmtId="3" formatCode="#,##0"/>
    </dxf>
  </rfmt>
  <rcc rId="1538" sId="18" odxf="1" dxf="1">
    <nc r="F76">
      <f>SUM(F73:F74)</f>
    </nc>
    <odxf>
      <fill>
        <patternFill patternType="none">
          <bgColor indexed="65"/>
        </patternFill>
      </fill>
    </odxf>
    <ndxf>
      <fill>
        <patternFill patternType="solid">
          <bgColor theme="9" tint="0.59999389629810485"/>
        </patternFill>
      </fill>
    </ndxf>
  </rcc>
  <rcc rId="1539" sId="18" odxf="1" dxf="1">
    <nc r="G76" t="inlineStr">
      <is>
        <r>
          <t>MgCO</t>
        </r>
        <r>
          <rPr>
            <vertAlign val="subscript"/>
            <sz val="9"/>
            <color theme="3" tint="0.39997558519241921"/>
            <rFont val="Arial"/>
            <family val="2"/>
          </rPr>
          <t>2</t>
        </r>
        <r>
          <rPr>
            <sz val="9"/>
            <color theme="3" tint="0.39997558519241921"/>
            <rFont val="Arial"/>
            <family val="2"/>
          </rPr>
          <t>e</t>
        </r>
      </is>
    </nc>
    <odxf>
      <font>
        <b val="0"/>
        <sz val="9"/>
        <color auto="1"/>
        <name val="Arial"/>
        <family val="2"/>
        <scheme val="none"/>
      </font>
      <numFmt numFmtId="0" formatCode="General"/>
      <alignment horizontal="general"/>
    </odxf>
    <ndxf>
      <font>
        <b/>
        <sz val="9"/>
        <color theme="3" tint="0.39997558519241921"/>
        <name val="Arial"/>
        <family val="2"/>
        <scheme val="none"/>
      </font>
      <numFmt numFmtId="3" formatCode="#,##0"/>
      <alignment horizontal="left"/>
    </ndxf>
  </rcc>
  <rfmt sheetId="18" sqref="H76" start="0" length="0">
    <dxf>
      <numFmt numFmtId="3" formatCode="#,##0"/>
      <alignment vertical="top"/>
    </dxf>
  </rfmt>
  <rfmt sheetId="18" sqref="I76" start="0" length="0">
    <dxf>
      <numFmt numFmtId="3" formatCode="#,##0"/>
    </dxf>
  </rfmt>
  <rfmt sheetId="18" sqref="F77" start="0" length="0">
    <dxf/>
  </rfmt>
  <rfmt sheetId="18" sqref="H77" start="0" length="0">
    <dxf>
      <numFmt numFmtId="3" formatCode="#,##0"/>
      <alignment vertical="top"/>
    </dxf>
  </rfmt>
  <rfmt sheetId="18" sqref="I77" start="0" length="0">
    <dxf>
      <numFmt numFmtId="3" formatCode="#,##0"/>
    </dxf>
  </rfmt>
  <rcc rId="1540" sId="18" odxf="1" dxf="1" numFmtId="4">
    <oc r="B64">
      <v>5785452.1836326607</v>
    </oc>
    <nc r="B64">
      <v>2265886.4260681556</v>
    </nc>
    <odxf>
      <fill>
        <patternFill patternType="none">
          <bgColor indexed="65"/>
        </patternFill>
      </fill>
      <alignment vertical="top"/>
    </odxf>
    <ndxf>
      <fill>
        <patternFill patternType="solid">
          <bgColor theme="9" tint="0.59999389629810485"/>
        </patternFill>
      </fill>
      <alignment vertical="bottom"/>
    </ndxf>
  </rcc>
  <rfmt sheetId="18" sqref="C64" start="0" length="0">
    <dxf>
      <font>
        <sz val="9"/>
        <color auto="1"/>
        <name val="Arial"/>
        <family val="2"/>
        <scheme val="none"/>
      </font>
    </dxf>
  </rfmt>
  <rcc rId="1541" sId="18" odxf="1" dxf="1">
    <oc r="D64" t="inlineStr">
      <is>
        <t>KC08-11-2_TripsVMT-KC</t>
      </is>
    </oc>
    <nc r="D64" t="inlineStr">
      <is>
        <t>KC15-11-09</t>
      </is>
    </nc>
    <odxf>
      <numFmt numFmtId="0" formatCode="General"/>
      <alignment vertical="bottom"/>
    </odxf>
    <ndxf>
      <numFmt numFmtId="3" formatCode="#,##0"/>
      <alignment vertical="top"/>
    </ndxf>
  </rcc>
  <rcc rId="1542" sId="18" odxf="1" dxf="1">
    <oc r="E64" t="inlineStr">
      <is>
        <t>Medium + heavy truck</t>
      </is>
    </oc>
    <nc r="E64" t="inlineStr">
      <is>
        <t>F10</t>
      </is>
    </nc>
    <odxf>
      <numFmt numFmtId="30" formatCode="@"/>
    </odxf>
    <ndxf>
      <numFmt numFmtId="3" formatCode="#,##0"/>
    </ndxf>
  </rcc>
  <rcc rId="1543" sId="18" odxf="1" dxf="1" numFmtId="4">
    <nc r="B65">
      <v>290</v>
    </nc>
    <odxf>
      <fill>
        <patternFill patternType="none">
          <bgColor indexed="65"/>
        </patternFill>
      </fill>
      <alignment vertical="top"/>
    </odxf>
    <ndxf>
      <fill>
        <patternFill patternType="solid">
          <bgColor theme="9" tint="0.59999389629810485"/>
        </patternFill>
      </fill>
      <alignment vertical="bottom"/>
    </ndxf>
  </rcc>
  <rfmt sheetId="18" sqref="C65" start="0" length="0">
    <dxf>
      <font>
        <sz val="9"/>
        <color auto="1"/>
        <name val="Arial"/>
        <family val="2"/>
        <scheme val="none"/>
      </font>
    </dxf>
  </rfmt>
  <rcc rId="1544" sId="18" odxf="1" dxf="1">
    <nc r="D65" t="inlineStr">
      <is>
        <t>KC15-11-09</t>
      </is>
    </nc>
    <odxf>
      <numFmt numFmtId="0" formatCode="General"/>
      <alignment vertical="bottom"/>
    </odxf>
    <ndxf>
      <numFmt numFmtId="3" formatCode="#,##0"/>
      <alignment vertical="top"/>
    </ndxf>
  </rcc>
  <rfmt sheetId="18" sqref="E65" start="0" length="0">
    <dxf>
      <numFmt numFmtId="3" formatCode="#,##0"/>
    </dxf>
  </rfmt>
  <rcc rId="1545" sId="18" odxf="1" dxf="1" numFmtId="4">
    <nc r="B66">
      <v>401531.56438688713</v>
    </nc>
    <odxf>
      <fill>
        <patternFill patternType="none">
          <bgColor indexed="65"/>
        </patternFill>
      </fill>
      <alignment vertical="top"/>
    </odxf>
    <ndxf>
      <fill>
        <patternFill patternType="solid">
          <bgColor theme="9" tint="0.59999389629810485"/>
        </patternFill>
      </fill>
      <alignment vertical="bottom"/>
    </ndxf>
  </rcc>
  <rfmt sheetId="18" sqref="C66" start="0" length="0">
    <dxf>
      <font>
        <sz val="9"/>
        <color auto="1"/>
        <name val="Arial"/>
        <family val="2"/>
        <scheme val="none"/>
      </font>
      <numFmt numFmtId="3" formatCode="#,##0"/>
      <alignment horizontal="left"/>
    </dxf>
  </rfmt>
  <rcc rId="1546" sId="18" odxf="1" dxf="1">
    <nc r="D66" t="inlineStr">
      <is>
        <t>KC15-11-09</t>
      </is>
    </nc>
    <odxf>
      <numFmt numFmtId="0" formatCode="General"/>
      <alignment vertical="bottom"/>
    </odxf>
    <ndxf>
      <numFmt numFmtId="3" formatCode="#,##0"/>
      <alignment vertical="top"/>
    </ndxf>
  </rcc>
  <rcc rId="1547" sId="18" odxf="1" dxf="1">
    <nc r="E66" t="inlineStr">
      <is>
        <t>D24</t>
      </is>
    </nc>
    <odxf>
      <numFmt numFmtId="30" formatCode="@"/>
    </odxf>
    <ndxf>
      <numFmt numFmtId="3" formatCode="#,##0"/>
    </ndxf>
  </rcc>
  <rcc rId="1548" sId="18" odxf="1" dxf="1" numFmtId="4">
    <nc r="B67">
      <v>3574.2620298266811</v>
    </nc>
    <odxf>
      <fill>
        <patternFill patternType="none">
          <bgColor indexed="65"/>
        </patternFill>
      </fill>
      <alignment vertical="top"/>
    </odxf>
    <ndxf>
      <fill>
        <patternFill patternType="solid">
          <bgColor theme="9" tint="0.59999389629810485"/>
        </patternFill>
      </fill>
      <alignment vertical="bottom"/>
    </ndxf>
  </rcc>
  <rfmt sheetId="18" sqref="C67" start="0" length="0">
    <dxf>
      <font>
        <sz val="9"/>
        <color auto="1"/>
        <name val="Arial"/>
        <family val="2"/>
        <scheme val="none"/>
      </font>
      <numFmt numFmtId="3" formatCode="#,##0"/>
      <alignment horizontal="left"/>
    </dxf>
  </rfmt>
  <rcc rId="1549" sId="18" odxf="1" dxf="1">
    <nc r="D67" t="inlineStr">
      <is>
        <t>KC15-11-09</t>
      </is>
    </nc>
    <odxf>
      <numFmt numFmtId="0" formatCode="General"/>
      <alignment vertical="bottom"/>
    </odxf>
    <ndxf>
      <numFmt numFmtId="3" formatCode="#,##0"/>
      <alignment vertical="top"/>
    </ndxf>
  </rcc>
  <rcc rId="1550" sId="18" odxf="1" dxf="1">
    <nc r="E67" t="inlineStr">
      <is>
        <t>D25</t>
      </is>
    </nc>
    <odxf>
      <numFmt numFmtId="30" formatCode="@"/>
    </odxf>
    <ndxf>
      <numFmt numFmtId="3" formatCode="#,##0"/>
    </ndxf>
  </rcc>
  <rfmt sheetId="18" sqref="B68" start="0" length="0">
    <dxf>
      <alignment vertical="bottom"/>
    </dxf>
  </rfmt>
  <rfmt sheetId="18" sqref="C68" start="0" length="0">
    <dxf>
      <font>
        <sz val="9"/>
        <color auto="1"/>
        <name val="Arial"/>
        <family val="2"/>
        <scheme val="none"/>
      </font>
      <numFmt numFmtId="3" formatCode="#,##0"/>
      <alignment horizontal="left"/>
    </dxf>
  </rfmt>
  <rfmt sheetId="18" sqref="D68" start="0" length="0">
    <dxf>
      <numFmt numFmtId="3" formatCode="#,##0"/>
      <alignment vertical="top"/>
    </dxf>
  </rfmt>
  <rfmt sheetId="18" sqref="E68" start="0" length="0">
    <dxf>
      <numFmt numFmtId="3" formatCode="#,##0"/>
    </dxf>
  </rfmt>
  <rcc rId="1551" sId="18" odxf="1" dxf="1">
    <nc r="B69">
      <f>SUM(B66:B67)</f>
    </nc>
    <odxf>
      <fill>
        <patternFill patternType="none">
          <bgColor indexed="65"/>
        </patternFill>
      </fill>
      <alignment vertical="top"/>
    </odxf>
    <ndxf>
      <fill>
        <patternFill patternType="solid">
          <bgColor theme="9" tint="0.59999389629810485"/>
        </patternFill>
      </fill>
      <alignment vertical="bottom"/>
    </ndxf>
  </rcc>
  <rcc rId="1552" sId="18" odxf="1" dxf="1">
    <nc r="C69" t="inlineStr">
      <is>
        <r>
          <t>MgCO</t>
        </r>
        <r>
          <rPr>
            <vertAlign val="subscript"/>
            <sz val="9"/>
            <color theme="3" tint="0.39997558519241921"/>
            <rFont val="Arial"/>
            <family val="2"/>
          </rPr>
          <t>2</t>
        </r>
        <r>
          <rPr>
            <sz val="9"/>
            <color theme="3" tint="0.39997558519241921"/>
            <rFont val="Arial"/>
            <family val="2"/>
          </rPr>
          <t>e</t>
        </r>
      </is>
    </nc>
    <odxf>
      <font>
        <b val="0"/>
        <family val="2"/>
      </font>
      <numFmt numFmtId="0" formatCode="General"/>
      <alignment horizontal="general"/>
    </odxf>
    <ndxf>
      <font>
        <b/>
        <color theme="3" tint="0.39997558519241921"/>
        <family val="2"/>
      </font>
      <numFmt numFmtId="3" formatCode="#,##0"/>
      <alignment horizontal="left"/>
    </ndxf>
  </rcc>
  <rfmt sheetId="18" sqref="D69" start="0" length="0">
    <dxf>
      <numFmt numFmtId="3" formatCode="#,##0"/>
      <alignment vertical="top"/>
    </dxf>
  </rfmt>
  <rfmt sheetId="18" sqref="E69" start="0" length="0">
    <dxf>
      <numFmt numFmtId="3" formatCode="#,##0"/>
    </dxf>
  </rfmt>
  <rfmt sheetId="18" sqref="B70" start="0" length="0">
    <dxf>
      <alignment vertical="bottom"/>
    </dxf>
  </rfmt>
  <rfmt sheetId="18" sqref="C70" start="0" length="0">
    <dxf>
      <font>
        <sz val="9"/>
        <color auto="1"/>
        <name val="Arial"/>
        <family val="2"/>
        <scheme val="none"/>
      </font>
    </dxf>
  </rfmt>
  <rfmt sheetId="18" sqref="D70" start="0" length="0">
    <dxf>
      <numFmt numFmtId="3" formatCode="#,##0"/>
      <alignment vertical="top"/>
    </dxf>
  </rfmt>
  <rfmt sheetId="18" sqref="E70" start="0" length="0">
    <dxf>
      <numFmt numFmtId="3" formatCode="#,##0"/>
    </dxf>
  </rfmt>
  <rcc rId="1553" sId="18" odxf="1" dxf="1" numFmtId="4">
    <nc r="B71">
      <v>1151381.4464390981</v>
    </nc>
    <odxf>
      <fill>
        <patternFill patternType="none">
          <bgColor indexed="65"/>
        </patternFill>
      </fill>
      <alignment vertical="top"/>
    </odxf>
    <ndxf>
      <fill>
        <patternFill patternType="solid">
          <bgColor theme="9" tint="0.59999389629810485"/>
        </patternFill>
      </fill>
      <alignment vertical="bottom"/>
    </ndxf>
  </rcc>
  <rcc rId="1554" sId="18" odxf="1" dxf="1">
    <nc r="C71" t="inlineStr">
      <is>
        <t>mi</t>
      </is>
    </nc>
    <odxf>
      <font>
        <family val="2"/>
      </font>
    </odxf>
    <ndxf>
      <font>
        <sz val="9"/>
        <color auto="1"/>
        <name val="Arial"/>
        <family val="2"/>
        <scheme val="none"/>
      </font>
    </ndxf>
  </rcc>
  <rcc rId="1555" sId="18" odxf="1" dxf="1">
    <nc r="D71" t="inlineStr">
      <is>
        <t>KC15-11-09</t>
      </is>
    </nc>
    <odxf>
      <numFmt numFmtId="0" formatCode="General"/>
      <alignment vertical="bottom"/>
    </odxf>
    <ndxf>
      <numFmt numFmtId="3" formatCode="#,##0"/>
      <alignment vertical="top"/>
    </ndxf>
  </rcc>
  <rcc rId="1556" sId="18" odxf="1" dxf="1">
    <nc r="E71" t="inlineStr">
      <is>
        <t>G10</t>
      </is>
    </nc>
    <odxf>
      <numFmt numFmtId="30" formatCode="@"/>
    </odxf>
    <ndxf>
      <numFmt numFmtId="3" formatCode="#,##0"/>
    </ndxf>
  </rcc>
  <rcc rId="1557" sId="18" odxf="1" dxf="1" numFmtId="4">
    <nc r="B72">
      <v>290</v>
    </nc>
    <odxf>
      <fill>
        <patternFill patternType="none">
          <bgColor indexed="65"/>
        </patternFill>
      </fill>
      <alignment vertical="top"/>
    </odxf>
    <ndxf>
      <fill>
        <patternFill patternType="solid">
          <bgColor theme="9" tint="0.59999389629810485"/>
        </patternFill>
      </fill>
      <alignment vertical="bottom"/>
    </ndxf>
  </rcc>
  <rfmt sheetId="18" sqref="C72" start="0" length="0">
    <dxf>
      <font>
        <sz val="9"/>
        <color auto="1"/>
        <name val="Arial"/>
        <family val="2"/>
        <scheme val="none"/>
      </font>
    </dxf>
  </rfmt>
  <rcc rId="1558" sId="18" odxf="1" dxf="1">
    <nc r="D72" t="inlineStr">
      <is>
        <t>KC15-11-09</t>
      </is>
    </nc>
    <odxf>
      <numFmt numFmtId="0" formatCode="General"/>
      <alignment vertical="bottom"/>
    </odxf>
    <ndxf>
      <numFmt numFmtId="3" formatCode="#,##0"/>
      <alignment vertical="top"/>
    </ndxf>
  </rcc>
  <rfmt sheetId="18" sqref="E72" start="0" length="0">
    <dxf>
      <numFmt numFmtId="3" formatCode="#,##0"/>
    </dxf>
  </rfmt>
  <rcc rId="1559" sId="18" odxf="1" dxf="1" numFmtId="4">
    <nc r="B73">
      <v>594345.81629044062</v>
    </nc>
    <odxf>
      <fill>
        <patternFill patternType="none">
          <bgColor indexed="65"/>
        </patternFill>
      </fill>
      <alignment vertical="top"/>
    </odxf>
    <ndxf>
      <fill>
        <patternFill patternType="solid">
          <bgColor theme="9" tint="0.59999389629810485"/>
        </patternFill>
      </fill>
      <alignment vertical="bottom"/>
    </ndxf>
  </rcc>
  <rfmt sheetId="18" sqref="C73" start="0" length="0">
    <dxf>
      <font>
        <sz val="9"/>
        <color auto="1"/>
        <name val="Arial"/>
        <family val="2"/>
        <scheme val="none"/>
      </font>
      <numFmt numFmtId="3" formatCode="#,##0"/>
      <alignment horizontal="left"/>
    </dxf>
  </rfmt>
  <rcc rId="1560" sId="18" odxf="1" dxf="1">
    <nc r="D73" t="inlineStr">
      <is>
        <t>KC15-11-09</t>
      </is>
    </nc>
    <odxf>
      <numFmt numFmtId="0" formatCode="General"/>
      <alignment vertical="bottom"/>
    </odxf>
    <ndxf>
      <numFmt numFmtId="3" formatCode="#,##0"/>
      <alignment vertical="top"/>
    </ndxf>
  </rcc>
  <rcc rId="1561" sId="18" odxf="1" dxf="1">
    <nc r="E73" t="inlineStr">
      <is>
        <t>E24</t>
      </is>
    </nc>
    <odxf>
      <numFmt numFmtId="30" formatCode="@"/>
    </odxf>
    <ndxf>
      <numFmt numFmtId="3" formatCode="#,##0"/>
    </ndxf>
  </rcc>
  <rcc rId="1562" sId="18" odxf="1" dxf="1" numFmtId="4">
    <nc r="B74">
      <v>84.11675857457098</v>
    </nc>
    <odxf>
      <fill>
        <patternFill patternType="none">
          <bgColor indexed="65"/>
        </patternFill>
      </fill>
      <alignment vertical="top"/>
    </odxf>
    <ndxf>
      <fill>
        <patternFill patternType="solid">
          <bgColor theme="9" tint="0.59999389629810485"/>
        </patternFill>
      </fill>
      <alignment vertical="bottom"/>
    </ndxf>
  </rcc>
  <rfmt sheetId="18" sqref="C74" start="0" length="0">
    <dxf>
      <font>
        <sz val="9"/>
        <color auto="1"/>
        <name val="Arial"/>
        <family val="2"/>
        <scheme val="none"/>
      </font>
      <numFmt numFmtId="3" formatCode="#,##0"/>
      <alignment horizontal="left"/>
    </dxf>
  </rfmt>
  <rcc rId="1563" sId="18" odxf="1" dxf="1">
    <nc r="D74" t="inlineStr">
      <is>
        <t>KC15-11-09</t>
      </is>
    </nc>
    <odxf>
      <numFmt numFmtId="0" formatCode="General"/>
      <alignment vertical="bottom"/>
    </odxf>
    <ndxf>
      <numFmt numFmtId="3" formatCode="#,##0"/>
      <alignment vertical="top"/>
    </ndxf>
  </rcc>
  <rcc rId="1564" sId="18" odxf="1" dxf="1">
    <nc r="E74" t="inlineStr">
      <is>
        <t>E25</t>
      </is>
    </nc>
    <odxf>
      <numFmt numFmtId="30" formatCode="@"/>
    </odxf>
    <ndxf>
      <numFmt numFmtId="3" formatCode="#,##0"/>
    </ndxf>
  </rcc>
  <rfmt sheetId="18" sqref="B75" start="0" length="0">
    <dxf>
      <alignment vertical="bottom"/>
    </dxf>
  </rfmt>
  <rfmt sheetId="18" sqref="C75" start="0" length="0">
    <dxf>
      <font>
        <sz val="9"/>
        <color auto="1"/>
        <name val="Arial"/>
        <family val="2"/>
        <scheme val="none"/>
      </font>
      <numFmt numFmtId="3" formatCode="#,##0"/>
      <alignment horizontal="left"/>
    </dxf>
  </rfmt>
  <rfmt sheetId="18" sqref="D75" start="0" length="0">
    <dxf>
      <numFmt numFmtId="3" formatCode="#,##0"/>
      <alignment vertical="top"/>
    </dxf>
  </rfmt>
  <rfmt sheetId="18" sqref="E75" start="0" length="0">
    <dxf>
      <numFmt numFmtId="3" formatCode="#,##0"/>
    </dxf>
  </rfmt>
  <rcc rId="1565" sId="18" odxf="1" dxf="1">
    <nc r="B76">
      <f>SUM(B73:B74)</f>
    </nc>
    <odxf>
      <fill>
        <patternFill patternType="none">
          <bgColor indexed="65"/>
        </patternFill>
      </fill>
      <alignment vertical="top"/>
    </odxf>
    <ndxf>
      <fill>
        <patternFill patternType="solid">
          <bgColor theme="9" tint="0.59999389629810485"/>
        </patternFill>
      </fill>
      <alignment vertical="bottom"/>
    </ndxf>
  </rcc>
  <rcc rId="1566" sId="18" odxf="1" dxf="1">
    <nc r="C76" t="inlineStr">
      <is>
        <r>
          <t>MgCO</t>
        </r>
        <r>
          <rPr>
            <vertAlign val="subscript"/>
            <sz val="9"/>
            <color theme="3" tint="0.39997558519241921"/>
            <rFont val="Arial"/>
            <family val="2"/>
          </rPr>
          <t>2</t>
        </r>
        <r>
          <rPr>
            <sz val="9"/>
            <color theme="3" tint="0.39997558519241921"/>
            <rFont val="Arial"/>
            <family val="2"/>
          </rPr>
          <t>e</t>
        </r>
      </is>
    </nc>
    <odxf>
      <font>
        <b val="0"/>
        <family val="2"/>
      </font>
      <numFmt numFmtId="0" formatCode="General"/>
      <alignment horizontal="general"/>
    </odxf>
    <ndxf>
      <font>
        <b/>
        <color theme="3" tint="0.39997558519241921"/>
        <family val="2"/>
      </font>
      <numFmt numFmtId="3" formatCode="#,##0"/>
      <alignment horizontal="left"/>
    </ndxf>
  </rcc>
  <rfmt sheetId="18" sqref="D76" start="0" length="0">
    <dxf>
      <numFmt numFmtId="3" formatCode="#,##0"/>
      <alignment vertical="top"/>
    </dxf>
  </rfmt>
  <rfmt sheetId="18" sqref="E76" start="0" length="0">
    <dxf>
      <numFmt numFmtId="3" formatCode="#,##0"/>
    </dxf>
  </rfmt>
  <rfmt sheetId="18" sqref="B77" start="0" length="0">
    <dxf>
      <alignment vertical="bottom"/>
    </dxf>
  </rfmt>
  <rfmt sheetId="18" sqref="C77" start="0" length="0">
    <dxf>
      <font>
        <sz val="9"/>
        <color auto="1"/>
        <name val="Arial"/>
        <family val="2"/>
        <scheme val="none"/>
      </font>
    </dxf>
  </rfmt>
  <rfmt sheetId="18" sqref="D77" start="0" length="0">
    <dxf>
      <numFmt numFmtId="3" formatCode="#,##0"/>
      <alignment vertical="top"/>
    </dxf>
  </rfmt>
  <rfmt sheetId="18" sqref="E77" start="0" length="0">
    <dxf>
      <numFmt numFmtId="3" formatCode="#,##0"/>
    </dxf>
  </rfmt>
  <rcc rId="1567" sId="18" odxf="1" dxf="1" numFmtId="4">
    <oc r="B7">
      <v>29555398.62881583</v>
    </oc>
    <nc r="B7">
      <v>29644648.64168825</v>
    </nc>
    <odxf>
      <fill>
        <patternFill patternType="none">
          <bgColor indexed="65"/>
        </patternFill>
      </fill>
    </odxf>
    <ndxf>
      <fill>
        <patternFill patternType="solid">
          <bgColor theme="9" tint="0.59999389629810485"/>
        </patternFill>
      </fill>
    </ndxf>
  </rcc>
  <rfmt sheetId="18" sqref="C7" start="0" length="0">
    <dxf>
      <numFmt numFmtId="3" formatCode="#,##0"/>
      <alignment horizontal="left"/>
    </dxf>
  </rfmt>
  <rcc rId="1568" sId="18" odxf="1" dxf="1">
    <oc r="D7" t="inlineStr">
      <is>
        <t>KC08-11-2_TripsVMT-KC</t>
      </is>
    </oc>
    <nc r="D7" t="inlineStr">
      <is>
        <t>KC15-11-09</t>
      </is>
    </nc>
    <odxf>
      <numFmt numFmtId="0" formatCode="General"/>
      <alignment horizontal="general" vertical="bottom"/>
    </odxf>
    <ndxf>
      <numFmt numFmtId="3" formatCode="#,##0"/>
      <alignment horizontal="left" vertical="top"/>
    </ndxf>
  </rcc>
  <rcc rId="1569" sId="18" odxf="1" dxf="1">
    <oc r="E7" t="inlineStr">
      <is>
        <t>SOV + light trucks</t>
      </is>
    </oc>
    <nc r="E7" t="inlineStr">
      <is>
        <t>B10</t>
      </is>
    </nc>
    <odxf>
      <numFmt numFmtId="30" formatCode="@"/>
    </odxf>
    <ndxf>
      <numFmt numFmtId="3" formatCode="#,##0"/>
    </ndxf>
  </rcc>
  <rcc rId="1570" sId="18" odxf="1" dxf="1" numFmtId="4">
    <oc r="B8">
      <v>5480611.6687869355</v>
    </oc>
    <nc r="B8">
      <v>7589916.2060248218</v>
    </nc>
    <odxf>
      <fill>
        <patternFill patternType="none">
          <bgColor indexed="65"/>
        </patternFill>
      </fill>
    </odxf>
    <ndxf>
      <fill>
        <patternFill patternType="solid">
          <bgColor theme="9" tint="0.59999389629810485"/>
        </patternFill>
      </fill>
    </ndxf>
  </rcc>
  <rfmt sheetId="18" sqref="C8" start="0" length="0">
    <dxf>
      <numFmt numFmtId="3" formatCode="#,##0"/>
      <alignment horizontal="left"/>
    </dxf>
  </rfmt>
  <rcc rId="1571" sId="18" odxf="1" dxf="1">
    <oc r="D8" t="inlineStr">
      <is>
        <t>KC08-11-2_TripsVMT-KC</t>
      </is>
    </oc>
    <nc r="D8"/>
    <odxf>
      <numFmt numFmtId="0" formatCode="General"/>
      <alignment horizontal="general" vertical="bottom"/>
    </odxf>
    <ndxf>
      <numFmt numFmtId="3" formatCode="#,##0"/>
      <alignment horizontal="left" vertical="top"/>
    </ndxf>
  </rcc>
  <rcc rId="1572" sId="18" odxf="1" dxf="1">
    <nc r="E8" t="inlineStr">
      <is>
        <t>C10</t>
      </is>
    </nc>
    <odxf>
      <numFmt numFmtId="30" formatCode="@"/>
    </odxf>
    <ndxf>
      <numFmt numFmtId="3" formatCode="#,##0"/>
    </ndxf>
  </rcc>
  <rcc rId="1573" sId="18" odxf="1" dxf="1" numFmtId="4">
    <oc r="B9">
      <v>2766170.9780747411</v>
    </oc>
    <nc r="B9">
      <v>3641454.6037253658</v>
    </nc>
    <odxf>
      <fill>
        <patternFill patternType="none">
          <bgColor indexed="65"/>
        </patternFill>
      </fill>
    </odxf>
    <ndxf>
      <fill>
        <patternFill patternType="solid">
          <bgColor theme="9" tint="0.59999389629810485"/>
        </patternFill>
      </fill>
    </ndxf>
  </rcc>
  <rfmt sheetId="18" sqref="C9" start="0" length="0">
    <dxf>
      <numFmt numFmtId="3" formatCode="#,##0"/>
      <alignment horizontal="left"/>
    </dxf>
  </rfmt>
  <rcc rId="1574" sId="18" odxf="1" dxf="1">
    <oc r="D9" t="inlineStr">
      <is>
        <t>KC08-11-2_TripsVMT-KC</t>
      </is>
    </oc>
    <nc r="D9"/>
    <odxf>
      <numFmt numFmtId="0" formatCode="General"/>
      <alignment horizontal="general" vertical="bottom"/>
    </odxf>
    <ndxf>
      <numFmt numFmtId="3" formatCode="#,##0"/>
      <alignment horizontal="left" vertical="top"/>
    </ndxf>
  </rcc>
  <rcc rId="1575" sId="18" odxf="1" dxf="1">
    <nc r="E9" t="inlineStr">
      <is>
        <t>D10</t>
      </is>
    </nc>
    <odxf>
      <numFmt numFmtId="30" formatCode="@"/>
    </odxf>
    <ndxf>
      <numFmt numFmtId="3" formatCode="#,##0"/>
    </ndxf>
  </rcc>
  <rcc rId="1576" sId="18" odxf="1" dxf="1" numFmtId="4">
    <nc r="B10">
      <v>290</v>
    </nc>
    <odxf>
      <fill>
        <patternFill patternType="none">
          <bgColor indexed="65"/>
        </patternFill>
      </fill>
    </odxf>
    <ndxf>
      <fill>
        <patternFill patternType="solid">
          <bgColor theme="9" tint="0.59999389629810485"/>
        </patternFill>
      </fill>
    </ndxf>
  </rcc>
  <rfmt sheetId="18" sqref="C10" start="0" length="0">
    <dxf>
      <numFmt numFmtId="3" formatCode="#,##0"/>
      <alignment horizontal="left"/>
    </dxf>
  </rfmt>
  <rfmt sheetId="18" sqref="D10" start="0" length="0">
    <dxf>
      <numFmt numFmtId="3" formatCode="#,##0"/>
      <alignment horizontal="left" vertical="top"/>
    </dxf>
  </rfmt>
  <rfmt sheetId="18" sqref="E10" start="0" length="0">
    <dxf>
      <numFmt numFmtId="3" formatCode="#,##0"/>
    </dxf>
  </rfmt>
  <rcc rId="1577" sId="18" odxf="1" dxf="1" numFmtId="4">
    <nc r="B11">
      <v>4815582.5725452872</v>
    </nc>
    <odxf>
      <fill>
        <patternFill patternType="none">
          <bgColor indexed="65"/>
        </patternFill>
      </fill>
    </odxf>
    <ndxf>
      <fill>
        <patternFill patternType="solid">
          <bgColor theme="9" tint="0.59999389629810485"/>
        </patternFill>
      </fill>
    </ndxf>
  </rcc>
  <rfmt sheetId="18" sqref="C11" start="0" length="0">
    <dxf>
      <numFmt numFmtId="3" formatCode="#,##0"/>
      <alignment horizontal="left"/>
    </dxf>
  </rfmt>
  <rfmt sheetId="18" sqref="D11" start="0" length="0">
    <dxf>
      <numFmt numFmtId="3" formatCode="#,##0"/>
      <alignment horizontal="left" vertical="top"/>
    </dxf>
  </rfmt>
  <rcc rId="1578" sId="18" odxf="1" dxf="1">
    <nc r="E11" t="inlineStr">
      <is>
        <t>B24</t>
      </is>
    </nc>
    <odxf>
      <numFmt numFmtId="30" formatCode="@"/>
    </odxf>
    <ndxf>
      <numFmt numFmtId="3" formatCode="#,##0"/>
    </ndxf>
  </rcc>
  <rcc rId="1579" sId="18" odxf="1" dxf="1" numFmtId="4">
    <nc r="B12">
      <v>24436.078117790417</v>
    </nc>
    <odxf>
      <fill>
        <patternFill patternType="none">
          <bgColor indexed="65"/>
        </patternFill>
      </fill>
    </odxf>
    <ndxf>
      <fill>
        <patternFill patternType="solid">
          <bgColor theme="9" tint="0.59999389629810485"/>
        </patternFill>
      </fill>
    </ndxf>
  </rcc>
  <rfmt sheetId="18" sqref="C12" start="0" length="0">
    <dxf>
      <numFmt numFmtId="3" formatCode="#,##0"/>
      <alignment horizontal="left"/>
    </dxf>
  </rfmt>
  <rfmt sheetId="18" sqref="D12" start="0" length="0">
    <dxf>
      <numFmt numFmtId="3" formatCode="#,##0"/>
      <alignment horizontal="left" vertical="top"/>
    </dxf>
  </rfmt>
  <rcc rId="1580" sId="18" odxf="1" dxf="1">
    <nc r="E12" t="inlineStr">
      <is>
        <t>B25</t>
      </is>
    </nc>
    <odxf>
      <numFmt numFmtId="30" formatCode="@"/>
    </odxf>
    <ndxf>
      <numFmt numFmtId="3" formatCode="#,##0"/>
    </ndxf>
  </rcc>
  <rcc rId="1581" sId="18">
    <oc r="B13">
      <f>#REF!*#REF!/10^6</f>
    </oc>
    <nc r="B13">
      <f>SUM(B11:B12)</f>
    </nc>
  </rcc>
  <rfmt sheetId="18" sqref="D13" start="0" length="0">
    <dxf>
      <numFmt numFmtId="3" formatCode="#,##0"/>
    </dxf>
  </rfmt>
  <rfmt sheetId="18" sqref="E13" start="0" length="0">
    <dxf>
      <numFmt numFmtId="3" formatCode="#,##0"/>
    </dxf>
  </rfmt>
  <rcc rId="1582" sId="18">
    <oc r="J78">
      <f>SUM(J13,J26,J59,#REF!)</f>
    </oc>
    <nc r="J78">
      <f>SUM(J13,J26,J59,J69,J76)</f>
    </nc>
  </rcc>
  <rcc rId="1583" sId="18">
    <oc r="F78">
      <f>SUM(F13,F26,F59,#REF!)</f>
    </oc>
    <nc r="F78">
      <f>SUM(F13,F26,F59,F69,F76)</f>
    </nc>
  </rcc>
  <rcc rId="1584" sId="18">
    <oc r="B78">
      <f>SUM(B13,B26,B59,#REF!)</f>
    </oc>
    <nc r="B78">
      <f>SUM(B13,B26,B59,B69,B76)</f>
    </nc>
  </rcc>
  <rcc rId="1585" sId="18" numFmtId="4">
    <oc r="J7">
      <v>29479863.131301001</v>
    </oc>
    <nc r="J7">
      <v>28463383.305635605</v>
    </nc>
  </rcc>
  <rcc rId="1586" sId="18" numFmtId="4">
    <oc r="J8">
      <v>5466604.727642728</v>
    </oc>
    <nc r="J8">
      <v>7184601.7909836043</v>
    </nc>
  </rcc>
  <rcc rId="1587" sId="18" numFmtId="4">
    <oc r="J9">
      <v>2759101.4032852389</v>
    </oc>
    <nc r="J9">
      <v>3396037.9386834661</v>
    </nc>
  </rcc>
  <rcc rId="1588" sId="18">
    <oc r="M7" t="inlineStr">
      <is>
        <t>SOV + light trucks; Use HPMS to scale 2006 to 2009, and WSDOT to scale 2009 to 2010.</t>
      </is>
    </oc>
    <nc r="M7" t="inlineStr">
      <is>
        <t>B8</t>
      </is>
    </nc>
  </rcc>
  <rcc rId="1589" sId="18">
    <nc r="M8" t="inlineStr">
      <is>
        <t>C8</t>
      </is>
    </nc>
  </rcc>
  <rcc rId="1590" sId="18">
    <nc r="M9" t="inlineStr">
      <is>
        <t>D8</t>
      </is>
    </nc>
  </rcc>
  <rcc rId="1591" sId="18" numFmtId="4">
    <nc r="J11">
      <v>4867420.5778079936</v>
    </nc>
  </rcc>
  <rcc rId="1592" sId="18" numFmtId="4">
    <nc r="J12">
      <v>26207.250058256264</v>
    </nc>
  </rcc>
  <rcc rId="1593" sId="18">
    <nc r="M11" t="inlineStr">
      <is>
        <t>B18</t>
      </is>
    </nc>
  </rcc>
  <rcc rId="1594" sId="18">
    <nc r="M12" t="inlineStr">
      <is>
        <t>B19</t>
      </is>
    </nc>
  </rcc>
  <rcc rId="1595" sId="18">
    <nc r="P11" t="inlineStr">
      <is>
        <r>
          <t>MgCO</t>
        </r>
        <r>
          <rPr>
            <vertAlign val="subscript"/>
            <sz val="9"/>
            <rFont val="Arial"/>
            <family val="2"/>
          </rPr>
          <t>2</t>
        </r>
        <r>
          <rPr>
            <sz val="9"/>
            <rFont val="Arial"/>
            <family val="2"/>
          </rPr>
          <t>e</t>
        </r>
      </is>
    </nc>
  </rcc>
  <rcc rId="1596" sId="18">
    <nc r="P12" t="inlineStr">
      <is>
        <r>
          <t>MgCO</t>
        </r>
        <r>
          <rPr>
            <vertAlign val="subscript"/>
            <sz val="9"/>
            <rFont val="Arial"/>
            <family val="2"/>
          </rPr>
          <t>2</t>
        </r>
        <r>
          <rPr>
            <sz val="9"/>
            <rFont val="Arial"/>
            <family val="2"/>
          </rPr>
          <t>e</t>
        </r>
      </is>
    </nc>
  </rcc>
  <rcc rId="1597" sId="18">
    <nc r="K11" t="inlineStr">
      <is>
        <r>
          <t>MgCO</t>
        </r>
        <r>
          <rPr>
            <vertAlign val="subscript"/>
            <sz val="9"/>
            <rFont val="Arial"/>
            <family val="2"/>
          </rPr>
          <t>2</t>
        </r>
        <r>
          <rPr>
            <sz val="9"/>
            <rFont val="Arial"/>
            <family val="2"/>
          </rPr>
          <t>e</t>
        </r>
      </is>
    </nc>
  </rcc>
  <rcc rId="1598" sId="18">
    <nc r="K12" t="inlineStr">
      <is>
        <r>
          <t>MgCO</t>
        </r>
        <r>
          <rPr>
            <vertAlign val="subscript"/>
            <sz val="9"/>
            <rFont val="Arial"/>
            <family val="2"/>
          </rPr>
          <t>2</t>
        </r>
        <r>
          <rPr>
            <sz val="9"/>
            <rFont val="Arial"/>
            <family val="2"/>
          </rPr>
          <t>e</t>
        </r>
      </is>
    </nc>
  </rcc>
  <rcc rId="1599" sId="18">
    <nc r="G11" t="inlineStr">
      <is>
        <r>
          <t>MgCO</t>
        </r>
        <r>
          <rPr>
            <vertAlign val="subscript"/>
            <sz val="9"/>
            <rFont val="Arial"/>
            <family val="2"/>
          </rPr>
          <t>2</t>
        </r>
        <r>
          <rPr>
            <sz val="9"/>
            <rFont val="Arial"/>
            <family val="2"/>
          </rPr>
          <t>e</t>
        </r>
      </is>
    </nc>
  </rcc>
  <rcc rId="1600" sId="18">
    <nc r="G12" t="inlineStr">
      <is>
        <r>
          <t>MgCO</t>
        </r>
        <r>
          <rPr>
            <vertAlign val="subscript"/>
            <sz val="9"/>
            <rFont val="Arial"/>
            <family val="2"/>
          </rPr>
          <t>2</t>
        </r>
        <r>
          <rPr>
            <sz val="9"/>
            <rFont val="Arial"/>
            <family val="2"/>
          </rPr>
          <t>e</t>
        </r>
      </is>
    </nc>
  </rcc>
  <rcc rId="1601" sId="18">
    <nc r="C11" t="inlineStr">
      <is>
        <r>
          <t>MgCO</t>
        </r>
        <r>
          <rPr>
            <vertAlign val="subscript"/>
            <sz val="9"/>
            <rFont val="Arial"/>
            <family val="2"/>
          </rPr>
          <t>2</t>
        </r>
        <r>
          <rPr>
            <sz val="9"/>
            <rFont val="Arial"/>
            <family val="2"/>
          </rPr>
          <t>e</t>
        </r>
      </is>
    </nc>
  </rcc>
  <rcc rId="1602" sId="18">
    <nc r="C12" t="inlineStr">
      <is>
        <r>
          <t>MgCO</t>
        </r>
        <r>
          <rPr>
            <vertAlign val="subscript"/>
            <sz val="9"/>
            <rFont val="Arial"/>
            <family val="2"/>
          </rPr>
          <t>2</t>
        </r>
        <r>
          <rPr>
            <sz val="9"/>
            <rFont val="Arial"/>
            <family val="2"/>
          </rPr>
          <t>e</t>
        </r>
      </is>
    </nc>
  </rcc>
  <rcc rId="1603" sId="18" numFmtId="4">
    <nc r="J66">
      <v>398613.6408996926</v>
    </nc>
  </rcc>
  <rcc rId="1604" sId="18" numFmtId="4">
    <nc r="J67">
      <v>4281.7388697780843</v>
    </nc>
  </rcc>
  <rcc rId="1605" sId="18">
    <nc r="M66" t="inlineStr">
      <is>
        <t>D18</t>
      </is>
    </nc>
  </rcc>
  <rcc rId="1606" sId="18">
    <nc r="M67" t="inlineStr">
      <is>
        <t>D19</t>
      </is>
    </nc>
  </rcc>
  <rcc rId="1607" sId="18" numFmtId="4">
    <oc r="J64">
      <v>5770666.1536918264</v>
    </oc>
    <nc r="J64">
      <v>2274528.7113268888</v>
    </nc>
  </rcc>
  <rcc rId="1608" sId="18">
    <oc r="M64" t="inlineStr">
      <is>
        <t>Medium + heavy truck</t>
      </is>
    </oc>
    <nc r="M64" t="inlineStr">
      <is>
        <t>F8</t>
      </is>
    </nc>
  </rcc>
  <rcc rId="1609" sId="18" numFmtId="4">
    <nc r="J71">
      <v>1151086.1500530154</v>
    </nc>
  </rcc>
  <rcc rId="1610" sId="18">
    <nc r="M71" t="inlineStr">
      <is>
        <t>G8</t>
      </is>
    </nc>
  </rcc>
  <rcc rId="1611" sId="18" numFmtId="4">
    <nc r="J73">
      <v>571484.18231167225</v>
    </nc>
  </rcc>
  <rcc rId="1612" sId="18" numFmtId="4">
    <nc r="J74">
      <v>81.815323110341581</v>
    </nc>
  </rcc>
  <rcc rId="1613" sId="18">
    <nc r="M73" t="inlineStr">
      <is>
        <t>E18</t>
      </is>
    </nc>
  </rcc>
  <rcc rId="1614" sId="18">
    <nc r="M74" t="inlineStr">
      <is>
        <t>E19</t>
      </is>
    </nc>
  </rcc>
  <rcc rId="1615" sId="18" numFmtId="4">
    <nc r="F73">
      <v>559516.58418807026</v>
    </nc>
  </rcc>
  <rcc rId="1616" sId="18" numFmtId="4">
    <nc r="F74">
      <v>80.83093750396489</v>
    </nc>
  </rcc>
  <rcc rId="1617" sId="18">
    <nc r="P73" t="inlineStr">
      <is>
        <r>
          <t>MgCO</t>
        </r>
        <r>
          <rPr>
            <vertAlign val="subscript"/>
            <sz val="9"/>
            <rFont val="Arial"/>
            <family val="2"/>
          </rPr>
          <t>2</t>
        </r>
        <r>
          <rPr>
            <sz val="9"/>
            <rFont val="Arial"/>
            <family val="2"/>
          </rPr>
          <t>e</t>
        </r>
      </is>
    </nc>
  </rcc>
  <rcc rId="1618" sId="18">
    <nc r="P74" t="inlineStr">
      <is>
        <r>
          <t>MgCO</t>
        </r>
        <r>
          <rPr>
            <vertAlign val="subscript"/>
            <sz val="9"/>
            <rFont val="Arial"/>
            <family val="2"/>
          </rPr>
          <t>2</t>
        </r>
        <r>
          <rPr>
            <sz val="9"/>
            <rFont val="Arial"/>
            <family val="2"/>
          </rPr>
          <t>e</t>
        </r>
      </is>
    </nc>
  </rcc>
  <rcc rId="1619" sId="18">
    <nc r="P66" t="inlineStr">
      <is>
        <r>
          <t>MgCO</t>
        </r>
        <r>
          <rPr>
            <vertAlign val="subscript"/>
            <sz val="9"/>
            <rFont val="Arial"/>
            <family val="2"/>
          </rPr>
          <t>2</t>
        </r>
        <r>
          <rPr>
            <sz val="9"/>
            <rFont val="Arial"/>
            <family val="2"/>
          </rPr>
          <t>e</t>
        </r>
      </is>
    </nc>
  </rcc>
  <rcc rId="1620" sId="18">
    <nc r="P67" t="inlineStr">
      <is>
        <r>
          <t>MgCO</t>
        </r>
        <r>
          <rPr>
            <vertAlign val="subscript"/>
            <sz val="9"/>
            <rFont val="Arial"/>
            <family val="2"/>
          </rPr>
          <t>2</t>
        </r>
        <r>
          <rPr>
            <sz val="9"/>
            <rFont val="Arial"/>
            <family val="2"/>
          </rPr>
          <t>e</t>
        </r>
      </is>
    </nc>
  </rcc>
  <rcc rId="1621" sId="18">
    <nc r="K66" t="inlineStr">
      <is>
        <r>
          <t>MgCO</t>
        </r>
        <r>
          <rPr>
            <vertAlign val="subscript"/>
            <sz val="9"/>
            <rFont val="Arial"/>
            <family val="2"/>
          </rPr>
          <t>2</t>
        </r>
        <r>
          <rPr>
            <sz val="9"/>
            <rFont val="Arial"/>
            <family val="2"/>
          </rPr>
          <t>e</t>
        </r>
      </is>
    </nc>
  </rcc>
  <rcc rId="1622" sId="18">
    <nc r="K67" t="inlineStr">
      <is>
        <r>
          <t>MgCO</t>
        </r>
        <r>
          <rPr>
            <vertAlign val="subscript"/>
            <sz val="9"/>
            <rFont val="Arial"/>
            <family val="2"/>
          </rPr>
          <t>2</t>
        </r>
        <r>
          <rPr>
            <sz val="9"/>
            <rFont val="Arial"/>
            <family val="2"/>
          </rPr>
          <t>e</t>
        </r>
      </is>
    </nc>
  </rcc>
  <rcc rId="1623" sId="18">
    <nc r="K73" t="inlineStr">
      <is>
        <r>
          <t>MgCO</t>
        </r>
        <r>
          <rPr>
            <vertAlign val="subscript"/>
            <sz val="9"/>
            <rFont val="Arial"/>
            <family val="2"/>
          </rPr>
          <t>2</t>
        </r>
        <r>
          <rPr>
            <sz val="9"/>
            <rFont val="Arial"/>
            <family val="2"/>
          </rPr>
          <t>e</t>
        </r>
      </is>
    </nc>
  </rcc>
  <rcc rId="1624" sId="18">
    <nc r="K74" t="inlineStr">
      <is>
        <r>
          <t>MgCO</t>
        </r>
        <r>
          <rPr>
            <vertAlign val="subscript"/>
            <sz val="9"/>
            <rFont val="Arial"/>
            <family val="2"/>
          </rPr>
          <t>2</t>
        </r>
        <r>
          <rPr>
            <sz val="9"/>
            <rFont val="Arial"/>
            <family val="2"/>
          </rPr>
          <t>e</t>
        </r>
      </is>
    </nc>
  </rcc>
  <rcc rId="1625" sId="18">
    <nc r="G66" t="inlineStr">
      <is>
        <r>
          <t>MgCO</t>
        </r>
        <r>
          <rPr>
            <vertAlign val="subscript"/>
            <sz val="9"/>
            <rFont val="Arial"/>
            <family val="2"/>
          </rPr>
          <t>2</t>
        </r>
        <r>
          <rPr>
            <sz val="9"/>
            <rFont val="Arial"/>
            <family val="2"/>
          </rPr>
          <t>e</t>
        </r>
      </is>
    </nc>
  </rcc>
  <rcc rId="1626" sId="18">
    <nc r="G67" t="inlineStr">
      <is>
        <r>
          <t>MgCO</t>
        </r>
        <r>
          <rPr>
            <vertAlign val="subscript"/>
            <sz val="9"/>
            <rFont val="Arial"/>
            <family val="2"/>
          </rPr>
          <t>2</t>
        </r>
        <r>
          <rPr>
            <sz val="9"/>
            <rFont val="Arial"/>
            <family val="2"/>
          </rPr>
          <t>e</t>
        </r>
      </is>
    </nc>
  </rcc>
  <rcc rId="1627" sId="18">
    <nc r="G73" t="inlineStr">
      <is>
        <r>
          <t>MgCO</t>
        </r>
        <r>
          <rPr>
            <vertAlign val="subscript"/>
            <sz val="9"/>
            <rFont val="Arial"/>
            <family val="2"/>
          </rPr>
          <t>2</t>
        </r>
        <r>
          <rPr>
            <sz val="9"/>
            <rFont val="Arial"/>
            <family val="2"/>
          </rPr>
          <t>e</t>
        </r>
      </is>
    </nc>
  </rcc>
  <rcc rId="1628" sId="18">
    <nc r="G74" t="inlineStr">
      <is>
        <r>
          <t>MgCO</t>
        </r>
        <r>
          <rPr>
            <vertAlign val="subscript"/>
            <sz val="9"/>
            <rFont val="Arial"/>
            <family val="2"/>
          </rPr>
          <t>2</t>
        </r>
        <r>
          <rPr>
            <sz val="9"/>
            <rFont val="Arial"/>
            <family val="2"/>
          </rPr>
          <t>e</t>
        </r>
      </is>
    </nc>
  </rcc>
  <rcc rId="1629" sId="18">
    <nc r="C66" t="inlineStr">
      <is>
        <r>
          <t>MgCO</t>
        </r>
        <r>
          <rPr>
            <vertAlign val="subscript"/>
            <sz val="9"/>
            <rFont val="Arial"/>
            <family val="2"/>
          </rPr>
          <t>2</t>
        </r>
        <r>
          <rPr>
            <sz val="9"/>
            <rFont val="Arial"/>
            <family val="2"/>
          </rPr>
          <t>e</t>
        </r>
      </is>
    </nc>
  </rcc>
  <rcc rId="1630" sId="18">
    <nc r="C67" t="inlineStr">
      <is>
        <r>
          <t>MgCO</t>
        </r>
        <r>
          <rPr>
            <vertAlign val="subscript"/>
            <sz val="9"/>
            <rFont val="Arial"/>
            <family val="2"/>
          </rPr>
          <t>2</t>
        </r>
        <r>
          <rPr>
            <sz val="9"/>
            <rFont val="Arial"/>
            <family val="2"/>
          </rPr>
          <t>e</t>
        </r>
      </is>
    </nc>
  </rcc>
  <rcc rId="1631" sId="18">
    <nc r="C73" t="inlineStr">
      <is>
        <r>
          <t>MgCO</t>
        </r>
        <r>
          <rPr>
            <vertAlign val="subscript"/>
            <sz val="9"/>
            <rFont val="Arial"/>
            <family val="2"/>
          </rPr>
          <t>2</t>
        </r>
        <r>
          <rPr>
            <sz val="9"/>
            <rFont val="Arial"/>
            <family val="2"/>
          </rPr>
          <t>e</t>
        </r>
      </is>
    </nc>
  </rcc>
  <rcc rId="1632" sId="18">
    <nc r="C74" t="inlineStr">
      <is>
        <r>
          <t>MgCO</t>
        </r>
        <r>
          <rPr>
            <vertAlign val="subscript"/>
            <sz val="9"/>
            <rFont val="Arial"/>
            <family val="2"/>
          </rPr>
          <t>2</t>
        </r>
        <r>
          <rPr>
            <sz val="9"/>
            <rFont val="Arial"/>
            <family val="2"/>
          </rPr>
          <t>e</t>
        </r>
      </is>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8" sId="18">
    <oc r="I73" t="inlineStr">
      <is>
        <t>E24</t>
      </is>
    </oc>
    <nc r="I73" t="inlineStr">
      <is>
        <t>E12</t>
      </is>
    </nc>
  </rcc>
  <rcc rId="1639" sId="18">
    <oc r="I74" t="inlineStr">
      <is>
        <t>E25</t>
      </is>
    </oc>
    <nc r="I74" t="inlineStr">
      <is>
        <t>E13</t>
      </is>
    </nc>
  </rcc>
  <rcc rId="1640" sId="18" numFmtId="4">
    <oc r="F71">
      <v>1151381.4464390981</v>
    </oc>
    <nc r="F71">
      <v>1151445.5672354677</v>
    </nc>
  </rcc>
  <rcc rId="1641" sId="18" numFmtId="4">
    <oc r="F64">
      <v>2265886.4260681556</v>
    </oc>
    <nc r="F64">
      <v>2277691.5246903403</v>
    </nc>
  </rcc>
  <rcc rId="1642" sId="18">
    <oc r="I64" t="inlineStr">
      <is>
        <t>F10</t>
      </is>
    </oc>
    <nc r="I64" t="inlineStr">
      <is>
        <t>F7</t>
      </is>
    </nc>
  </rcc>
  <rcc rId="1643" sId="18">
    <oc r="I71" t="inlineStr">
      <is>
        <t>G10</t>
      </is>
    </oc>
    <nc r="I71" t="inlineStr">
      <is>
        <t>G7</t>
      </is>
    </nc>
  </rcc>
  <rcc rId="1644" sId="18" numFmtId="4">
    <oc r="F66">
      <v>401531.56438688713</v>
    </oc>
    <nc r="F66">
      <v>395210.63674166007</v>
    </nc>
  </rcc>
  <rcc rId="1645" sId="18" numFmtId="4">
    <oc r="F67">
      <v>3574.2620298266811</v>
    </oc>
    <nc r="F67">
      <v>4590.3159522643582</v>
    </nc>
  </rcc>
  <rrc rId="1646" sId="18" ref="A20:XFD20" action="deleteRow">
    <rfmt sheetId="18" xfDxf="1" sqref="A20:XFD20" start="0" length="0">
      <dxf>
        <font>
          <b/>
          <family val="2"/>
        </font>
        <alignment vertical="bottom"/>
      </dxf>
    </rfmt>
    <rcc rId="0" sId="18" dxf="1">
      <nc r="A20" t="inlineStr">
        <is>
          <t>calculation steps</t>
        </is>
      </nc>
      <ndxf>
        <numFmt numFmtId="30" formatCode="@"/>
        <fill>
          <patternFill patternType="solid">
            <bgColor rgb="FF00B0F0"/>
          </patternFill>
        </fill>
        <alignment horizontal="left"/>
        <border outline="0">
          <right style="thin">
            <color indexed="64"/>
          </right>
        </border>
      </ndxf>
    </rcc>
    <rfmt sheetId="18" sqref="B20" start="0" length="0">
      <dxf>
        <font>
          <b val="0"/>
          <sz val="9"/>
          <color auto="1"/>
          <name val="Arial"/>
          <family val="2"/>
          <scheme val="none"/>
        </font>
        <numFmt numFmtId="178" formatCode="0.0%"/>
        <alignment horizontal="right" vertical="top"/>
      </dxf>
    </rfmt>
    <rfmt sheetId="18" sqref="C20" start="0" length="0">
      <dxf>
        <font>
          <b val="0"/>
          <sz val="9"/>
          <color auto="1"/>
          <name val="Arial"/>
          <family val="2"/>
          <scheme val="none"/>
        </font>
        <numFmt numFmtId="3" formatCode="#,##0"/>
        <alignment vertical="top"/>
      </dxf>
    </rfmt>
    <rfmt sheetId="18" sqref="D20" start="0" length="0">
      <dxf>
        <font>
          <b val="0"/>
          <sz val="9"/>
          <color auto="1"/>
          <name val="Arial"/>
          <family val="2"/>
          <scheme val="none"/>
        </font>
        <numFmt numFmtId="30" formatCode="@"/>
        <alignment horizontal="left" vertical="top"/>
      </dxf>
    </rfmt>
    <rfmt sheetId="18" sqref="E20" start="0" length="0">
      <dxf>
        <font>
          <b val="0"/>
          <sz val="9"/>
          <color auto="1"/>
          <name val="Arial"/>
          <family val="2"/>
          <scheme val="none"/>
        </font>
        <numFmt numFmtId="30" formatCode="@"/>
        <alignment horizontal="left" vertical="top"/>
        <border outline="0">
          <right style="thin">
            <color indexed="64"/>
          </right>
        </border>
      </dxf>
    </rfmt>
    <rfmt sheetId="18" sqref="F20" start="0" length="0">
      <dxf>
        <font>
          <b val="0"/>
          <sz val="9"/>
          <color auto="1"/>
          <name val="Arial"/>
          <family val="2"/>
          <scheme val="none"/>
        </font>
        <numFmt numFmtId="178" formatCode="0.0%"/>
        <alignment horizontal="right" vertical="top"/>
      </dxf>
    </rfmt>
    <rfmt sheetId="18" sqref="G20" start="0" length="0">
      <dxf>
        <font>
          <b val="0"/>
          <sz val="9"/>
          <color auto="1"/>
          <name val="Arial"/>
          <family val="2"/>
          <scheme val="none"/>
        </font>
        <numFmt numFmtId="3" formatCode="#,##0"/>
        <alignment vertical="top"/>
      </dxf>
    </rfmt>
    <rfmt sheetId="18" sqref="H20" start="0" length="0">
      <dxf>
        <font>
          <b val="0"/>
          <sz val="9"/>
          <color auto="1"/>
          <name val="Arial"/>
          <family val="2"/>
          <scheme val="none"/>
        </font>
        <numFmt numFmtId="30" formatCode="@"/>
        <alignment horizontal="left" vertical="top"/>
      </dxf>
    </rfmt>
    <rfmt sheetId="18" sqref="I20" start="0" length="0">
      <dxf>
        <font>
          <b val="0"/>
          <sz val="9"/>
          <color auto="1"/>
          <name val="Arial"/>
          <family val="2"/>
          <scheme val="none"/>
        </font>
        <numFmt numFmtId="30" formatCode="@"/>
        <alignment horizontal="left" vertical="top"/>
        <border outline="0">
          <right style="thin">
            <color indexed="64"/>
          </right>
        </border>
      </dxf>
    </rfmt>
    <rfmt sheetId="18" sqref="J20" start="0" length="0">
      <dxf>
        <font>
          <b val="0"/>
          <sz val="9"/>
          <color auto="1"/>
          <name val="Arial"/>
          <family val="2"/>
          <scheme val="none"/>
        </font>
        <numFmt numFmtId="178" formatCode="0.0%"/>
        <alignment horizontal="right" vertical="top"/>
      </dxf>
    </rfmt>
    <rfmt sheetId="18" sqref="K20" start="0" length="0">
      <dxf>
        <font>
          <b val="0"/>
          <sz val="9"/>
          <color auto="1"/>
          <name val="Arial"/>
          <family val="2"/>
          <scheme val="none"/>
        </font>
        <numFmt numFmtId="3" formatCode="#,##0"/>
        <alignment vertical="top"/>
      </dxf>
    </rfmt>
    <rfmt sheetId="18" sqref="L20" start="0" length="0">
      <dxf>
        <font>
          <b val="0"/>
          <sz val="9"/>
          <color auto="1"/>
          <name val="Arial"/>
          <family val="2"/>
          <scheme val="none"/>
        </font>
        <numFmt numFmtId="30" formatCode="@"/>
        <alignment horizontal="left" vertical="top"/>
      </dxf>
    </rfmt>
    <rfmt sheetId="18" sqref="M20" start="0" length="0">
      <dxf>
        <font>
          <b val="0"/>
          <sz val="9"/>
          <color auto="1"/>
          <name val="Arial"/>
          <family val="2"/>
          <scheme val="none"/>
        </font>
        <numFmt numFmtId="30" formatCode="@"/>
        <alignment horizontal="left" vertical="top"/>
        <border outline="0">
          <right style="thin">
            <color indexed="64"/>
          </right>
        </border>
      </dxf>
    </rfmt>
    <rfmt sheetId="18" sqref="N20" start="0" length="0">
      <dxf>
        <border outline="0">
          <left style="thin">
            <color indexed="64"/>
          </left>
          <right style="thin">
            <color indexed="64"/>
          </right>
        </border>
      </dxf>
    </rfmt>
    <rfmt sheetId="18" sqref="O20" start="0" length="0">
      <dxf>
        <font>
          <b val="0"/>
          <sz val="9"/>
          <color auto="1"/>
          <name val="Arial"/>
          <family val="2"/>
          <scheme val="none"/>
        </font>
        <numFmt numFmtId="3" formatCode="#,##0"/>
        <alignment horizontal="left" vertical="top"/>
      </dxf>
    </rfmt>
    <rfmt sheetId="18" sqref="P20" start="0" length="0">
      <dxf>
        <font>
          <b val="0"/>
          <sz val="9"/>
          <color auto="1"/>
          <name val="Arial"/>
          <family val="2"/>
          <scheme val="none"/>
        </font>
        <numFmt numFmtId="3" formatCode="#,##0"/>
        <alignment horizontal="left" vertical="top"/>
      </dxf>
    </rfmt>
    <rfmt sheetId="18" sqref="Q20" start="0" length="0">
      <dxf>
        <font>
          <b val="0"/>
          <sz val="9"/>
          <color auto="1"/>
          <name val="Arial"/>
          <family val="2"/>
          <scheme val="none"/>
        </font>
        <numFmt numFmtId="3" formatCode="#,##0"/>
        <alignment horizontal="left" vertical="top"/>
      </dxf>
    </rfmt>
    <rfmt sheetId="18" sqref="R20" start="0" length="0">
      <dxf>
        <font>
          <b val="0"/>
          <sz val="9"/>
          <color auto="1"/>
          <name val="Arial"/>
          <family val="2"/>
          <scheme val="none"/>
        </font>
        <numFmt numFmtId="3" formatCode="#,##0"/>
        <alignment horizontal="left" vertical="top"/>
        <border outline="0">
          <right style="thin">
            <color indexed="64"/>
          </right>
        </border>
      </dxf>
    </rfmt>
  </rrc>
  <rrc rId="1647" sId="18" ref="A20:XFD20" action="deleteRow">
    <undo index="0" exp="ref" v="1" dr="J20" r="J21" sId="18"/>
    <undo index="0" exp="ref" v="1" dr="F20" r="F21" sId="18"/>
    <undo index="0" exp="ref" v="1" dr="B20" r="B21" sId="18"/>
    <rfmt sheetId="18" xfDxf="1" sqref="A20:XFD20" start="0" length="0">
      <dxf>
        <font>
          <b/>
          <family val="2"/>
        </font>
        <alignment vertical="bottom"/>
      </dxf>
    </rfmt>
    <rcc rId="0" sId="18" dxf="1">
      <nc r="A20" t="inlineStr">
        <is>
          <t>1. convert DVMT to km</t>
        </is>
      </nc>
      <ndxf>
        <font>
          <b val="0"/>
          <family val="2"/>
        </font>
        <numFmt numFmtId="30" formatCode="@"/>
        <alignment horizontal="left"/>
        <border outline="0">
          <right style="thin">
            <color indexed="64"/>
          </right>
        </border>
      </ndxf>
    </rcc>
    <rcc rId="0" sId="18" dxf="1">
      <nc r="B20">
        <f>B17*miTOkm</f>
      </nc>
      <ndxf>
        <font>
          <b val="0"/>
          <sz val="9"/>
          <color auto="1"/>
          <name val="Arial"/>
          <family val="2"/>
          <scheme val="none"/>
        </font>
        <numFmt numFmtId="3" formatCode="#,##0"/>
        <alignment horizontal="right" vertical="top"/>
      </ndxf>
    </rcc>
    <rcc rId="0" sId="18" dxf="1">
      <nc r="C20" t="inlineStr">
        <is>
          <t>km</t>
        </is>
      </nc>
      <ndxf>
        <font>
          <b val="0"/>
          <sz val="9"/>
          <color auto="1"/>
          <name val="Arial"/>
          <family val="2"/>
          <scheme val="none"/>
        </font>
        <numFmt numFmtId="3" formatCode="#,##0"/>
        <alignment vertical="top"/>
      </ndxf>
    </rcc>
    <rfmt sheetId="18" sqref="D20" start="0" length="0">
      <dxf>
        <font>
          <b val="0"/>
          <sz val="9"/>
          <color auto="1"/>
          <name val="Arial"/>
          <family val="2"/>
          <scheme val="none"/>
        </font>
        <numFmt numFmtId="30" formatCode="@"/>
        <alignment horizontal="left" vertical="top"/>
      </dxf>
    </rfmt>
    <rfmt sheetId="18" sqref="E20" start="0" length="0">
      <dxf>
        <font>
          <b val="0"/>
          <sz val="9"/>
          <color auto="1"/>
          <name val="Arial"/>
          <family val="2"/>
          <scheme val="none"/>
        </font>
        <numFmt numFmtId="30" formatCode="@"/>
        <alignment horizontal="left" vertical="top"/>
        <border outline="0">
          <right style="thin">
            <color indexed="64"/>
          </right>
        </border>
      </dxf>
    </rfmt>
    <rcc rId="0" sId="18" dxf="1">
      <nc r="F20">
        <f>F17*miTOkm</f>
      </nc>
      <ndxf>
        <font>
          <b val="0"/>
          <sz val="9"/>
          <color auto="1"/>
          <name val="Arial"/>
          <family val="2"/>
          <scheme val="none"/>
        </font>
        <numFmt numFmtId="3" formatCode="#,##0"/>
        <alignment horizontal="right" vertical="top"/>
      </ndxf>
    </rcc>
    <rcc rId="0" sId="18" dxf="1">
      <nc r="G20" t="inlineStr">
        <is>
          <t>km</t>
        </is>
      </nc>
      <ndxf>
        <font>
          <b val="0"/>
          <sz val="9"/>
          <color auto="1"/>
          <name val="Arial"/>
          <family val="2"/>
          <scheme val="none"/>
        </font>
        <numFmt numFmtId="3" formatCode="#,##0"/>
        <alignment vertical="top"/>
      </ndxf>
    </rcc>
    <rfmt sheetId="18" sqref="H20" start="0" length="0">
      <dxf>
        <font>
          <b val="0"/>
          <sz val="9"/>
          <color auto="1"/>
          <name val="Arial"/>
          <family val="2"/>
          <scheme val="none"/>
        </font>
        <numFmt numFmtId="30" formatCode="@"/>
        <alignment horizontal="left" vertical="top"/>
      </dxf>
    </rfmt>
    <rfmt sheetId="18" sqref="I20" start="0" length="0">
      <dxf>
        <font>
          <b val="0"/>
          <sz val="9"/>
          <color auto="1"/>
          <name val="Arial"/>
          <family val="2"/>
          <scheme val="none"/>
        </font>
        <numFmt numFmtId="30" formatCode="@"/>
        <alignment horizontal="left" vertical="top"/>
        <border outline="0">
          <right style="thin">
            <color indexed="64"/>
          </right>
        </border>
      </dxf>
    </rfmt>
    <rcc rId="0" sId="18" dxf="1">
      <nc r="J20">
        <f>J17*miTOkm</f>
      </nc>
      <ndxf>
        <font>
          <b val="0"/>
          <sz val="9"/>
          <color auto="1"/>
          <name val="Arial"/>
          <family val="2"/>
          <scheme val="none"/>
        </font>
        <numFmt numFmtId="3" formatCode="#,##0"/>
        <alignment horizontal="right" vertical="top"/>
      </ndxf>
    </rcc>
    <rcc rId="0" sId="18" dxf="1">
      <nc r="K20" t="inlineStr">
        <is>
          <t>km</t>
        </is>
      </nc>
      <ndxf>
        <font>
          <b val="0"/>
          <sz val="9"/>
          <color auto="1"/>
          <name val="Arial"/>
          <family val="2"/>
          <scheme val="none"/>
        </font>
        <numFmt numFmtId="3" formatCode="#,##0"/>
        <alignment vertical="top"/>
      </ndxf>
    </rcc>
    <rfmt sheetId="18" sqref="L20" start="0" length="0">
      <dxf>
        <font>
          <b val="0"/>
          <sz val="9"/>
          <color auto="1"/>
          <name val="Arial"/>
          <family val="2"/>
          <scheme val="none"/>
        </font>
        <numFmt numFmtId="30" formatCode="@"/>
        <alignment horizontal="left" vertical="top"/>
      </dxf>
    </rfmt>
    <rfmt sheetId="18" sqref="M20" start="0" length="0">
      <dxf>
        <font>
          <b val="0"/>
          <sz val="9"/>
          <color auto="1"/>
          <name val="Arial"/>
          <family val="2"/>
          <scheme val="none"/>
        </font>
        <numFmt numFmtId="30" formatCode="@"/>
        <alignment horizontal="left" vertical="top"/>
        <border outline="0">
          <right style="thin">
            <color indexed="64"/>
          </right>
        </border>
      </dxf>
    </rfmt>
    <rfmt sheetId="18" sqref="N20" start="0" length="0">
      <dxf>
        <border outline="0">
          <left style="thin">
            <color indexed="64"/>
          </left>
          <right style="thin">
            <color indexed="64"/>
          </right>
        </border>
      </dxf>
    </rfmt>
    <rfmt sheetId="18" sqref="O20" start="0" length="0">
      <dxf>
        <font>
          <b val="0"/>
          <sz val="9"/>
          <color auto="1"/>
          <name val="Arial"/>
          <family val="2"/>
          <scheme val="none"/>
        </font>
        <numFmt numFmtId="3" formatCode="#,##0"/>
        <alignment horizontal="right" vertical="top"/>
      </dxf>
    </rfmt>
    <rfmt sheetId="18" sqref="P20" start="0" length="0">
      <dxf>
        <font>
          <b val="0"/>
          <sz val="9"/>
          <color auto="1"/>
          <name val="Arial"/>
          <family val="2"/>
          <scheme val="none"/>
        </font>
        <numFmt numFmtId="3" formatCode="#,##0"/>
        <alignment vertical="top"/>
      </dxf>
    </rfmt>
    <rfmt sheetId="18" sqref="Q20" start="0" length="0">
      <dxf>
        <font>
          <b val="0"/>
          <sz val="9"/>
          <color auto="1"/>
          <name val="Arial"/>
          <family val="2"/>
          <scheme val="none"/>
        </font>
        <numFmt numFmtId="3" formatCode="#,##0"/>
        <alignment horizontal="left" vertical="top"/>
      </dxf>
    </rfmt>
    <rfmt sheetId="18" sqref="R20" start="0" length="0">
      <dxf>
        <font>
          <b val="0"/>
          <sz val="9"/>
          <color auto="1"/>
          <name val="Arial"/>
          <family val="2"/>
          <scheme val="none"/>
        </font>
        <numFmt numFmtId="3" formatCode="#,##0"/>
        <alignment horizontal="left" vertical="top"/>
        <border outline="0">
          <right style="thin">
            <color indexed="64"/>
          </right>
        </border>
      </dxf>
    </rfmt>
  </rrc>
  <rrc rId="1648" sId="18" ref="A20:XFD20" action="deleteRow">
    <undo index="0" exp="ref" v="1" dr="J20" r="J21" sId="18"/>
    <undo index="0" exp="ref" v="1" dr="F20" r="F21" sId="18"/>
    <undo index="0" exp="ref" v="1" dr="B20" r="B21" sId="18"/>
    <rfmt sheetId="18" xfDxf="1" sqref="A20:XFD20" start="0" length="0">
      <dxf>
        <font>
          <b/>
          <family val="2"/>
        </font>
        <alignment vertical="bottom"/>
      </dxf>
    </rfmt>
    <rcc rId="0" sId="18" dxf="1">
      <nc r="A20" t="inlineStr">
        <is>
          <t>2. calculate average daily VMT: multiply by ratio of ADT/ AWDT</t>
        </is>
      </nc>
      <ndxf>
        <font>
          <b val="0"/>
          <sz val="9"/>
          <color auto="1"/>
          <name val="Arial"/>
          <family val="2"/>
          <scheme val="none"/>
        </font>
        <numFmt numFmtId="30" formatCode="@"/>
        <alignment horizontal="left"/>
        <border outline="0">
          <right style="thin">
            <color indexed="64"/>
          </right>
        </border>
      </ndxf>
    </rcc>
    <rcc rId="0" sId="18" dxf="1">
      <nc r="B20">
        <f>#REF!*#REF!</f>
      </nc>
      <ndxf>
        <font>
          <b val="0"/>
          <sz val="9"/>
          <color auto="1"/>
          <name val="Arial"/>
          <family val="2"/>
          <scheme val="none"/>
        </font>
        <numFmt numFmtId="3" formatCode="#,##0"/>
        <alignment horizontal="right" vertical="top"/>
      </ndxf>
    </rcc>
    <rcc rId="0" sId="18" dxf="1">
      <nc r="C20" t="inlineStr">
        <is>
          <t>km</t>
        </is>
      </nc>
      <ndxf>
        <font>
          <b val="0"/>
          <family val="2"/>
        </font>
        <numFmt numFmtId="3" formatCode="#,##0"/>
        <alignment vertical="top"/>
      </ndxf>
    </rcc>
    <rfmt sheetId="18" sqref="D20" start="0" length="0">
      <dxf>
        <font>
          <b val="0"/>
          <sz val="9"/>
          <color auto="1"/>
          <name val="Arial"/>
          <family val="2"/>
          <scheme val="none"/>
        </font>
        <numFmt numFmtId="30" formatCode="@"/>
        <alignment horizontal="left" vertical="top"/>
      </dxf>
    </rfmt>
    <rfmt sheetId="18" sqref="E20" start="0" length="0">
      <dxf>
        <font>
          <b val="0"/>
          <sz val="9"/>
          <color auto="1"/>
          <name val="Arial"/>
          <family val="2"/>
          <scheme val="none"/>
        </font>
        <numFmt numFmtId="30" formatCode="@"/>
        <alignment horizontal="left" vertical="top" wrapText="1"/>
        <border outline="0">
          <right style="thin">
            <color indexed="64"/>
          </right>
        </border>
      </dxf>
    </rfmt>
    <rcc rId="0" sId="18" dxf="1">
      <nc r="F20">
        <f>#REF!*#REF!</f>
      </nc>
      <ndxf>
        <font>
          <b val="0"/>
          <sz val="9"/>
          <color auto="1"/>
          <name val="Arial"/>
          <family val="2"/>
          <scheme val="none"/>
        </font>
        <numFmt numFmtId="3" formatCode="#,##0"/>
        <alignment horizontal="right" vertical="top"/>
      </ndxf>
    </rcc>
    <rcc rId="0" sId="18" dxf="1">
      <nc r="G20" t="inlineStr">
        <is>
          <t>km</t>
        </is>
      </nc>
      <ndxf>
        <font>
          <b val="0"/>
          <family val="2"/>
        </font>
        <numFmt numFmtId="3" formatCode="#,##0"/>
        <alignment vertical="top"/>
      </ndxf>
    </rcc>
    <rfmt sheetId="18" sqref="H20" start="0" length="0">
      <dxf>
        <font>
          <b val="0"/>
          <sz val="9"/>
          <color auto="1"/>
          <name val="Arial"/>
          <family val="2"/>
          <scheme val="none"/>
        </font>
        <numFmt numFmtId="30" formatCode="@"/>
        <alignment horizontal="left" vertical="top"/>
      </dxf>
    </rfmt>
    <rfmt sheetId="18" sqref="I20" start="0" length="0">
      <dxf>
        <font>
          <b val="0"/>
          <sz val="9"/>
          <color auto="1"/>
          <name val="Arial"/>
          <family val="2"/>
          <scheme val="none"/>
        </font>
        <numFmt numFmtId="30" formatCode="@"/>
        <alignment horizontal="left" vertical="top"/>
        <border outline="0">
          <right style="thin">
            <color indexed="64"/>
          </right>
        </border>
      </dxf>
    </rfmt>
    <rcc rId="0" sId="18" dxf="1">
      <nc r="J20">
        <f>#REF!*#REF!</f>
      </nc>
      <ndxf>
        <font>
          <b val="0"/>
          <sz val="9"/>
          <color auto="1"/>
          <name val="Arial"/>
          <family val="2"/>
          <scheme val="none"/>
        </font>
        <numFmt numFmtId="3" formatCode="#,##0"/>
        <alignment horizontal="right" vertical="top"/>
      </ndxf>
    </rcc>
    <rcc rId="0" sId="18" dxf="1">
      <nc r="K20" t="inlineStr">
        <is>
          <t>km</t>
        </is>
      </nc>
      <ndxf>
        <font>
          <b val="0"/>
          <family val="2"/>
        </font>
        <numFmt numFmtId="3" formatCode="#,##0"/>
        <alignment vertical="top"/>
      </ndxf>
    </rcc>
    <rfmt sheetId="18" sqref="L20" start="0" length="0">
      <dxf>
        <font>
          <b val="0"/>
          <sz val="9"/>
          <color auto="1"/>
          <name val="Arial"/>
          <family val="2"/>
          <scheme val="none"/>
        </font>
        <numFmt numFmtId="30" formatCode="@"/>
        <alignment horizontal="left" vertical="top"/>
      </dxf>
    </rfmt>
    <rfmt sheetId="18" sqref="M20" start="0" length="0">
      <dxf>
        <font>
          <b val="0"/>
          <sz val="9"/>
          <color auto="1"/>
          <name val="Arial"/>
          <family val="2"/>
          <scheme val="none"/>
        </font>
        <numFmt numFmtId="30" formatCode="@"/>
        <alignment horizontal="left" vertical="top"/>
        <border outline="0">
          <right style="thin">
            <color indexed="64"/>
          </right>
        </border>
      </dxf>
    </rfmt>
    <rfmt sheetId="18" sqref="N20" start="0" length="0">
      <dxf>
        <border outline="0">
          <left style="thin">
            <color indexed="64"/>
          </left>
          <right style="thin">
            <color indexed="64"/>
          </right>
        </border>
      </dxf>
    </rfmt>
    <rfmt sheetId="18" sqref="O20" start="0" length="0">
      <dxf>
        <font>
          <b val="0"/>
          <sz val="9"/>
          <color auto="1"/>
          <name val="Arial"/>
          <family val="2"/>
          <scheme val="none"/>
        </font>
        <numFmt numFmtId="3" formatCode="#,##0"/>
        <alignment horizontal="right" vertical="top"/>
      </dxf>
    </rfmt>
    <rfmt sheetId="18" sqref="P20" start="0" length="0">
      <dxf>
        <font>
          <b val="0"/>
          <family val="2"/>
        </font>
        <numFmt numFmtId="3" formatCode="#,##0"/>
        <alignment vertical="top"/>
      </dxf>
    </rfmt>
    <rfmt sheetId="18" sqref="Q20" start="0" length="0">
      <dxf>
        <font>
          <b val="0"/>
          <sz val="9"/>
          <color auto="1"/>
          <name val="Arial"/>
          <family val="2"/>
          <scheme val="none"/>
        </font>
        <numFmt numFmtId="3" formatCode="#,##0"/>
        <alignment horizontal="left" vertical="top"/>
      </dxf>
    </rfmt>
    <rfmt sheetId="18" sqref="R20" start="0" length="0">
      <dxf>
        <font>
          <b val="0"/>
          <sz val="9"/>
          <color auto="1"/>
          <name val="Arial"/>
          <family val="2"/>
          <scheme val="none"/>
        </font>
        <numFmt numFmtId="3" formatCode="#,##0"/>
        <alignment horizontal="left" vertical="top"/>
        <border outline="0">
          <right style="thin">
            <color indexed="64"/>
          </right>
        </border>
      </dxf>
    </rfmt>
  </rrc>
  <rrc rId="1649" sId="18" ref="A20:XFD20" action="deleteRow">
    <undo index="1" exp="ref" v="1" dr="J20" r="J23" sId="18"/>
    <undo index="1" exp="ref" v="1" dr="F20" r="F23" sId="18"/>
    <undo index="1" exp="ref" v="1" dr="B20" r="B23" sId="18"/>
    <rfmt sheetId="18" xfDxf="1" sqref="A20:XFD20" start="0" length="0">
      <dxf>
        <font>
          <b/>
          <family val="2"/>
        </font>
        <alignment vertical="bottom"/>
      </dxf>
    </rfmt>
    <rcc rId="0" sId="18" dxf="1">
      <nc r="A20" t="inlineStr">
        <is>
          <t>3. calculate annual VMT: multiple average daily VMT by 365</t>
        </is>
      </nc>
      <ndxf>
        <font>
          <b val="0"/>
          <sz val="9"/>
          <color auto="1"/>
          <name val="Arial"/>
          <family val="2"/>
          <scheme val="none"/>
        </font>
        <numFmt numFmtId="30" formatCode="@"/>
        <alignment horizontal="left"/>
        <border outline="0">
          <right style="thin">
            <color indexed="64"/>
          </right>
        </border>
      </ndxf>
    </rcc>
    <rcc rId="0" sId="18" dxf="1">
      <nc r="B20">
        <f>#REF!*365</f>
      </nc>
      <ndxf>
        <font>
          <b val="0"/>
          <sz val="9"/>
          <color auto="1"/>
          <name val="Arial"/>
          <family val="2"/>
          <scheme val="none"/>
        </font>
        <numFmt numFmtId="3" formatCode="#,##0"/>
        <alignment horizontal="right" vertical="top"/>
      </ndxf>
    </rcc>
    <rcc rId="0" sId="18" dxf="1">
      <nc r="C20" t="inlineStr">
        <is>
          <t>km</t>
        </is>
      </nc>
      <ndxf>
        <font>
          <b val="0"/>
          <family val="2"/>
        </font>
        <numFmt numFmtId="3" formatCode="#,##0"/>
        <alignment vertical="top"/>
      </ndxf>
    </rcc>
    <rfmt sheetId="18" sqref="D20" start="0" length="0">
      <dxf>
        <font>
          <b val="0"/>
          <sz val="9"/>
          <color auto="1"/>
          <name val="Arial"/>
          <family val="2"/>
          <scheme val="none"/>
        </font>
        <numFmt numFmtId="30" formatCode="@"/>
        <alignment horizontal="left" vertical="top"/>
      </dxf>
    </rfmt>
    <rfmt sheetId="18" sqref="E20" start="0" length="0">
      <dxf>
        <font>
          <b val="0"/>
          <sz val="9"/>
          <color auto="1"/>
          <name val="Arial"/>
          <family val="2"/>
          <scheme val="none"/>
        </font>
        <numFmt numFmtId="30" formatCode="@"/>
        <alignment horizontal="left" vertical="top"/>
        <border outline="0">
          <right style="thin">
            <color indexed="64"/>
          </right>
        </border>
      </dxf>
    </rfmt>
    <rcc rId="0" sId="18" dxf="1">
      <nc r="F20">
        <f>#REF!*365</f>
      </nc>
      <ndxf>
        <font>
          <b val="0"/>
          <sz val="9"/>
          <color auto="1"/>
          <name val="Arial"/>
          <family val="2"/>
          <scheme val="none"/>
        </font>
        <numFmt numFmtId="3" formatCode="#,##0"/>
        <alignment horizontal="right" vertical="top"/>
      </ndxf>
    </rcc>
    <rcc rId="0" sId="18" dxf="1">
      <nc r="G20" t="inlineStr">
        <is>
          <t>km</t>
        </is>
      </nc>
      <ndxf>
        <font>
          <b val="0"/>
          <family val="2"/>
        </font>
        <numFmt numFmtId="3" formatCode="#,##0"/>
        <alignment vertical="top"/>
      </ndxf>
    </rcc>
    <rfmt sheetId="18" sqref="H20" start="0" length="0">
      <dxf>
        <font>
          <b val="0"/>
          <sz val="9"/>
          <color auto="1"/>
          <name val="Arial"/>
          <family val="2"/>
          <scheme val="none"/>
        </font>
        <numFmt numFmtId="30" formatCode="@"/>
        <alignment horizontal="left" vertical="top"/>
      </dxf>
    </rfmt>
    <rfmt sheetId="18" sqref="I20" start="0" length="0">
      <dxf>
        <font>
          <b val="0"/>
          <sz val="9"/>
          <color auto="1"/>
          <name val="Arial"/>
          <family val="2"/>
          <scheme val="none"/>
        </font>
        <numFmt numFmtId="30" formatCode="@"/>
        <alignment horizontal="left" vertical="top"/>
        <border outline="0">
          <right style="thin">
            <color indexed="64"/>
          </right>
        </border>
      </dxf>
    </rfmt>
    <rcc rId="0" sId="18" dxf="1">
      <nc r="J20">
        <f>#REF!*365</f>
      </nc>
      <ndxf>
        <font>
          <b val="0"/>
          <sz val="9"/>
          <color auto="1"/>
          <name val="Arial"/>
          <family val="2"/>
          <scheme val="none"/>
        </font>
        <numFmt numFmtId="3" formatCode="#,##0"/>
        <alignment horizontal="right" vertical="top"/>
      </ndxf>
    </rcc>
    <rcc rId="0" sId="18" dxf="1">
      <nc r="K20" t="inlineStr">
        <is>
          <t>km</t>
        </is>
      </nc>
      <ndxf>
        <font>
          <b val="0"/>
          <family val="2"/>
        </font>
        <numFmt numFmtId="3" formatCode="#,##0"/>
        <alignment vertical="top"/>
      </ndxf>
    </rcc>
    <rfmt sheetId="18" sqref="L20" start="0" length="0">
      <dxf>
        <font>
          <b val="0"/>
          <sz val="9"/>
          <color auto="1"/>
          <name val="Arial"/>
          <family val="2"/>
          <scheme val="none"/>
        </font>
        <numFmt numFmtId="30" formatCode="@"/>
        <alignment horizontal="left" vertical="top"/>
      </dxf>
    </rfmt>
    <rfmt sheetId="18" sqref="M20" start="0" length="0">
      <dxf>
        <font>
          <b val="0"/>
          <sz val="9"/>
          <color auto="1"/>
          <name val="Arial"/>
          <family val="2"/>
          <scheme val="none"/>
        </font>
        <numFmt numFmtId="30" formatCode="@"/>
        <alignment horizontal="left" vertical="top"/>
        <border outline="0">
          <right style="thin">
            <color indexed="64"/>
          </right>
        </border>
      </dxf>
    </rfmt>
    <rfmt sheetId="18" sqref="N20" start="0" length="0">
      <dxf>
        <border outline="0">
          <left style="thin">
            <color indexed="64"/>
          </left>
          <right style="thin">
            <color indexed="64"/>
          </right>
        </border>
      </dxf>
    </rfmt>
    <rfmt sheetId="18" sqref="O20" start="0" length="0">
      <dxf>
        <font>
          <b val="0"/>
          <sz val="9"/>
          <color auto="1"/>
          <name val="Arial"/>
          <family val="2"/>
          <scheme val="none"/>
        </font>
        <numFmt numFmtId="3" formatCode="#,##0"/>
        <alignment horizontal="right" vertical="top"/>
      </dxf>
    </rfmt>
    <rfmt sheetId="18" sqref="P20" start="0" length="0">
      <dxf>
        <font>
          <b val="0"/>
          <family val="2"/>
        </font>
        <numFmt numFmtId="3" formatCode="#,##0"/>
        <alignment vertical="top"/>
      </dxf>
    </rfmt>
    <rfmt sheetId="18" sqref="Q20" start="0" length="0">
      <dxf>
        <font>
          <b val="0"/>
          <sz val="9"/>
          <color auto="1"/>
          <name val="Arial"/>
          <family val="2"/>
          <scheme val="none"/>
        </font>
        <numFmt numFmtId="3" formatCode="#,##0"/>
        <alignment horizontal="left" vertical="top"/>
      </dxf>
    </rfmt>
    <rfmt sheetId="18" sqref="R20" start="0" length="0">
      <dxf>
        <font>
          <b val="0"/>
          <sz val="9"/>
          <color auto="1"/>
          <name val="Arial"/>
          <family val="2"/>
          <scheme val="none"/>
        </font>
        <numFmt numFmtId="3" formatCode="#,##0"/>
        <alignment horizontal="left" vertical="top"/>
        <border outline="0">
          <right style="thin">
            <color indexed="64"/>
          </right>
        </border>
      </dxf>
    </rfmt>
  </rrc>
  <rrc rId="1650" sId="18" ref="A20:XFD20" action="deleteRow">
    <undo index="65535" exp="ref" v="1" dr="F20" r="F21" sId="18"/>
    <undo index="65535" exp="ref" v="1" dr="B20" r="B21" sId="18"/>
    <rfmt sheetId="18" xfDxf="1" sqref="A20:XFD20" start="0" length="0">
      <dxf>
        <font>
          <b/>
          <family val="2"/>
        </font>
        <alignment vertical="bottom"/>
      </dxf>
    </rfmt>
    <rcc rId="0" sId="18" dxf="1">
      <nc r="A20" t="inlineStr">
        <is>
          <t>4. convert vehicle efficiency to metric units</t>
        </is>
      </nc>
      <ndxf>
        <font>
          <b val="0"/>
          <sz val="9"/>
          <color auto="1"/>
          <name val="Arial"/>
          <family val="2"/>
          <scheme val="none"/>
        </font>
        <numFmt numFmtId="30" formatCode="@"/>
        <alignment horizontal="left"/>
        <border outline="0">
          <right style="thin">
            <color indexed="64"/>
          </right>
        </border>
      </ndxf>
    </rcc>
    <rcc rId="0" sId="18" dxf="1">
      <nc r="B20">
        <f>B18*miTOkm/galTOL</f>
      </nc>
      <ndxf>
        <font>
          <b val="0"/>
          <sz val="9"/>
          <color auto="1"/>
          <name val="Arial"/>
          <family val="2"/>
          <scheme val="none"/>
        </font>
        <numFmt numFmtId="165" formatCode="#,##0.0"/>
        <alignment horizontal="right" vertical="top"/>
      </ndxf>
    </rcc>
    <rcc rId="0" sId="18" dxf="1">
      <nc r="C20" t="inlineStr">
        <is>
          <t>km/L</t>
        </is>
      </nc>
      <ndxf>
        <font>
          <b val="0"/>
          <family val="2"/>
        </font>
        <numFmt numFmtId="3" formatCode="#,##0"/>
        <alignment vertical="top"/>
      </ndxf>
    </rcc>
    <rfmt sheetId="18" sqref="D20" start="0" length="0">
      <dxf>
        <font>
          <b val="0"/>
          <sz val="9"/>
          <color auto="1"/>
          <name val="Arial"/>
          <family val="2"/>
          <scheme val="none"/>
        </font>
        <numFmt numFmtId="30" formatCode="@"/>
        <alignment horizontal="left" vertical="top"/>
      </dxf>
    </rfmt>
    <rfmt sheetId="18" sqref="E20" start="0" length="0">
      <dxf>
        <font>
          <b val="0"/>
          <sz val="9"/>
          <color auto="1"/>
          <name val="Arial"/>
          <family val="2"/>
          <scheme val="none"/>
        </font>
        <numFmt numFmtId="30" formatCode="@"/>
        <alignment horizontal="left" vertical="top"/>
        <border outline="0">
          <right style="thin">
            <color indexed="64"/>
          </right>
        </border>
      </dxf>
    </rfmt>
    <rcc rId="0" sId="18" dxf="1">
      <nc r="F20">
        <f>F18*miTOkm/galTOL</f>
      </nc>
      <ndxf>
        <font>
          <b val="0"/>
          <sz val="9"/>
          <color auto="1"/>
          <name val="Arial"/>
          <family val="2"/>
          <scheme val="none"/>
        </font>
        <numFmt numFmtId="165" formatCode="#,##0.0"/>
        <alignment horizontal="right" vertical="top"/>
      </ndxf>
    </rcc>
    <rcc rId="0" sId="18" dxf="1">
      <nc r="G20" t="inlineStr">
        <is>
          <t>km/L</t>
        </is>
      </nc>
      <ndxf>
        <font>
          <b val="0"/>
          <family val="2"/>
        </font>
        <numFmt numFmtId="3" formatCode="#,##0"/>
        <alignment vertical="top"/>
      </ndxf>
    </rcc>
    <rfmt sheetId="18" sqref="H20" start="0" length="0">
      <dxf>
        <font>
          <b val="0"/>
          <sz val="9"/>
          <color auto="1"/>
          <name val="Arial"/>
          <family val="2"/>
          <scheme val="none"/>
        </font>
        <numFmt numFmtId="30" formatCode="@"/>
        <alignment horizontal="left" vertical="top"/>
      </dxf>
    </rfmt>
    <rfmt sheetId="18" sqref="I20" start="0" length="0">
      <dxf>
        <font>
          <b val="0"/>
          <sz val="9"/>
          <color auto="1"/>
          <name val="Arial"/>
          <family val="2"/>
          <scheme val="none"/>
        </font>
        <numFmt numFmtId="30" formatCode="@"/>
        <alignment horizontal="left" vertical="top"/>
        <border outline="0">
          <right style="thin">
            <color indexed="64"/>
          </right>
        </border>
      </dxf>
    </rfmt>
    <rcc rId="0" sId="18" dxf="1">
      <nc r="J20">
        <f>J18*miTOkm/galTOL</f>
      </nc>
      <ndxf>
        <font>
          <b val="0"/>
          <sz val="9"/>
          <color auto="1"/>
          <name val="Arial"/>
          <family val="2"/>
          <scheme val="none"/>
        </font>
        <numFmt numFmtId="165" formatCode="#,##0.0"/>
        <alignment horizontal="right" vertical="top"/>
      </ndxf>
    </rcc>
    <rcc rId="0" sId="18" dxf="1">
      <nc r="K20" t="inlineStr">
        <is>
          <t>km/L</t>
        </is>
      </nc>
      <ndxf>
        <font>
          <b val="0"/>
          <family val="2"/>
        </font>
        <numFmt numFmtId="3" formatCode="#,##0"/>
        <alignment vertical="top"/>
      </ndxf>
    </rcc>
    <rfmt sheetId="18" sqref="L20" start="0" length="0">
      <dxf>
        <font>
          <b val="0"/>
          <sz val="9"/>
          <color auto="1"/>
          <name val="Arial"/>
          <family val="2"/>
          <scheme val="none"/>
        </font>
        <numFmt numFmtId="30" formatCode="@"/>
        <alignment horizontal="left" vertical="top"/>
      </dxf>
    </rfmt>
    <rfmt sheetId="18" sqref="M20" start="0" length="0">
      <dxf>
        <font>
          <b val="0"/>
          <sz val="9"/>
          <color auto="1"/>
          <name val="Arial"/>
          <family val="2"/>
          <scheme val="none"/>
        </font>
        <numFmt numFmtId="30" formatCode="@"/>
        <alignment horizontal="left" vertical="top"/>
        <border outline="0">
          <right style="thin">
            <color indexed="64"/>
          </right>
        </border>
      </dxf>
    </rfmt>
    <rfmt sheetId="18" sqref="N20" start="0" length="0">
      <dxf>
        <border outline="0">
          <left style="thin">
            <color indexed="64"/>
          </left>
          <right style="thin">
            <color indexed="64"/>
          </right>
        </border>
      </dxf>
    </rfmt>
    <rfmt sheetId="18" sqref="O20" start="0" length="0">
      <dxf>
        <font>
          <b val="0"/>
          <sz val="9"/>
          <color auto="1"/>
          <name val="Arial"/>
          <family val="2"/>
          <scheme val="none"/>
        </font>
        <numFmt numFmtId="165" formatCode="#,##0.0"/>
        <alignment horizontal="right" vertical="top"/>
      </dxf>
    </rfmt>
    <rfmt sheetId="18" sqref="P20" start="0" length="0">
      <dxf>
        <font>
          <b val="0"/>
          <family val="2"/>
        </font>
        <numFmt numFmtId="3" formatCode="#,##0"/>
        <alignment vertical="top"/>
      </dxf>
    </rfmt>
    <rfmt sheetId="18" sqref="Q20" start="0" length="0">
      <dxf>
        <font>
          <b val="0"/>
          <sz val="9"/>
          <color auto="1"/>
          <name val="Arial"/>
          <family val="2"/>
          <scheme val="none"/>
        </font>
        <numFmt numFmtId="3" formatCode="#,##0"/>
        <alignment horizontal="left" vertical="top"/>
      </dxf>
    </rfmt>
    <rfmt sheetId="18" sqref="R20" start="0" length="0">
      <dxf>
        <font>
          <b val="0"/>
          <sz val="9"/>
          <color auto="1"/>
          <name val="Arial"/>
          <family val="2"/>
          <scheme val="none"/>
        </font>
        <numFmt numFmtId="3" formatCode="#,##0"/>
        <alignment horizontal="left" vertical="top"/>
        <border outline="0">
          <right style="thin">
            <color indexed="64"/>
          </right>
        </border>
      </dxf>
    </rfmt>
  </rrc>
  <rfmt sheetId="18" sqref="K20" start="0" length="0">
    <dxf>
      <font>
        <sz val="9"/>
        <color auto="1"/>
        <name val="Arial"/>
        <family val="2"/>
        <scheme val="none"/>
      </font>
    </dxf>
  </rfmt>
  <rcc rId="1651" sId="18" odxf="1" dxf="1">
    <oc r="A17" t="inlineStr">
      <is>
        <t>baseline year DVMT</t>
      </is>
    </oc>
    <nc r="A17" t="inlineStr">
      <is>
        <t>baseline daily DVMT</t>
      </is>
    </nc>
    <odxf>
      <font>
        <family val="2"/>
      </font>
    </odxf>
    <ndxf>
      <font>
        <sz val="9"/>
        <color auto="1"/>
        <name val="Arial"/>
        <family val="2"/>
        <scheme val="none"/>
      </font>
    </ndxf>
  </rcc>
  <rrc rId="1652" sId="18" ref="A18:XFD18" action="insertRow"/>
  <rcc rId="1653" sId="18">
    <nc r="A18" t="inlineStr">
      <is>
        <t>Annual VMT</t>
      </is>
    </nc>
  </rcc>
  <rcc rId="1654" sId="18">
    <nc r="J18">
      <f>J17*290</f>
    </nc>
  </rcc>
  <rcc rId="1655" sId="18">
    <nc r="J20">
      <f>J18/J19</f>
    </nc>
  </rcc>
  <rcc rId="1656" sId="18">
    <oc r="J21">
      <f>efgasoline05/J24</f>
    </oc>
    <nc r="J21">
      <f>efggasoline10*J20</f>
    </nc>
  </rcc>
  <rcc rId="1657" sId="18">
    <oc r="K21" t="inlineStr">
      <is>
        <r>
          <t>gCO</t>
        </r>
        <r>
          <rPr>
            <vertAlign val="subscript"/>
            <sz val="9"/>
            <rFont val="Arial"/>
            <family val="2"/>
          </rPr>
          <t>2</t>
        </r>
        <r>
          <rPr>
            <sz val="9"/>
            <rFont val="Arial"/>
            <family val="2"/>
          </rPr>
          <t>/km</t>
        </r>
      </is>
    </oc>
    <nc r="K21" t="inlineStr">
      <is>
        <r>
          <t>gCO</t>
        </r>
        <r>
          <rPr>
            <vertAlign val="subscript"/>
            <sz val="9"/>
            <rFont val="Arial"/>
            <family val="2"/>
          </rPr>
          <t>2</t>
        </r>
      </is>
    </nc>
  </rcc>
  <rcc rId="1658" sId="18">
    <oc r="J22">
      <f>J21*#REF!/10^6</f>
    </oc>
    <nc r="J22">
      <f>J21*10^-6</f>
    </nc>
  </rcc>
  <rcc rId="1659" sId="18" odxf="1" dxf="1">
    <nc r="F18">
      <f>F17*290</f>
    </nc>
    <odxf/>
    <ndxf/>
  </rcc>
  <rcc rId="1660" sId="18">
    <nc r="F20">
      <f>F18/F19</f>
    </nc>
  </rcc>
  <rcc rId="1661" sId="18">
    <oc r="F21">
      <f>efgasoline08/#REF!</f>
    </oc>
    <nc r="F21">
      <f>efggasoline10*F20</f>
    </nc>
  </rcc>
  <rcc rId="1662" sId="18">
    <oc r="F22">
      <f>F21*#REF!/10^6</f>
    </oc>
    <nc r="F22">
      <f>F21*10^-6</f>
    </nc>
  </rcc>
  <rcc rId="1663" sId="18">
    <nc r="B20">
      <f>B18/B19</f>
    </nc>
  </rcc>
  <rcc rId="1664" sId="18">
    <oc r="B21">
      <f>efgasoline03/#REF!</f>
    </oc>
    <nc r="B21">
      <f>efggasoline10*B20</f>
    </nc>
  </rcc>
  <rcc rId="1665" sId="18">
    <oc r="B22">
      <f>B21*#REF!/10^6</f>
    </oc>
    <nc r="B22">
      <f>B21*10^-6</f>
    </nc>
  </rcc>
  <rcc rId="1666" sId="18" odxf="1" dxf="1">
    <nc r="B18">
      <f>B17*290</f>
    </nc>
    <odxf>
      <alignment vertical="top"/>
    </odxf>
    <ndxf>
      <alignment vertical="bottom"/>
    </ndxf>
  </rcc>
  <rcc rId="1667" sId="18">
    <oc r="O19" t="inlineStr">
      <is>
        <t xml:space="preserve"> </t>
      </is>
    </oc>
    <nc r="O19"/>
  </rcc>
  <rcc rId="1668" sId="18">
    <oc r="P17" t="inlineStr">
      <is>
        <t>mi</t>
      </is>
    </oc>
    <nc r="P17"/>
  </rcc>
  <rcc rId="1669" sId="18">
    <oc r="P19" t="inlineStr">
      <is>
        <t>mi/gal</t>
      </is>
    </oc>
    <nc r="P19"/>
  </rcc>
  <rfmt sheetId="18" sqref="O16:O19">
    <dxf>
      <fill>
        <patternFill patternType="none">
          <bgColor auto="1"/>
        </patternFill>
      </fill>
    </dxf>
  </rfmt>
  <rcc rId="1670" sId="18">
    <nc r="O21">
      <f>O20*efggasoline15</f>
    </nc>
  </rcc>
  <rcc rId="1671" sId="18">
    <oc r="O22">
      <f>O20*efggasoline15*10^-6</f>
    </oc>
    <nc r="O22">
      <f>O21*10^-6</f>
    </nc>
  </rcc>
  <rfmt sheetId="18" sqref="P21" start="0" length="0">
    <dxf>
      <font>
        <sz val="9"/>
        <color auto="1"/>
        <name val="Arial"/>
        <family val="2"/>
        <scheme val="none"/>
      </font>
    </dxf>
  </rfmt>
  <rcc rId="1672" sId="18">
    <nc r="P21" t="inlineStr">
      <is>
        <r>
          <t>gCO</t>
        </r>
        <r>
          <rPr>
            <vertAlign val="subscript"/>
            <sz val="9"/>
            <rFont val="Arial"/>
            <family val="2"/>
          </rPr>
          <t>2</t>
        </r>
        <r>
          <rPr>
            <sz val="9"/>
            <rFont val="Arial"/>
            <family val="2"/>
          </rPr>
          <t>e</t>
        </r>
      </is>
    </nc>
  </rcc>
  <rcc rId="1673" sId="18">
    <oc r="F78">
      <f>290/365</f>
    </oc>
    <nc r="F78"/>
  </rcc>
  <rcc rId="1674" sId="18">
    <oc r="F79">
      <f>#REF!*F78</f>
    </oc>
    <nc r="F79"/>
  </rcc>
  <rcc rId="1675" sId="18">
    <oc r="F81">
      <f>F78*F13</f>
    </oc>
    <nc r="F81"/>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 sId="18">
    <oc r="I7" t="inlineStr">
      <is>
        <t>B10</t>
      </is>
    </oc>
    <nc r="I7" t="inlineStr">
      <is>
        <t>B7</t>
      </is>
    </nc>
  </rcc>
  <rcc rId="1677" sId="18">
    <oc r="I8" t="inlineStr">
      <is>
        <t>C10</t>
      </is>
    </oc>
    <nc r="I8" t="inlineStr">
      <is>
        <t>C7</t>
      </is>
    </nc>
  </rcc>
  <rcc rId="1678" sId="18">
    <oc r="I9" t="inlineStr">
      <is>
        <t>D10</t>
      </is>
    </oc>
    <nc r="I9" t="inlineStr">
      <is>
        <t>D7</t>
      </is>
    </nc>
  </rcc>
  <rcc rId="1679" sId="18">
    <oc r="I11" t="inlineStr">
      <is>
        <t>B24</t>
      </is>
    </oc>
    <nc r="I11" t="inlineStr">
      <is>
        <t>B12</t>
      </is>
    </nc>
  </rcc>
  <rcc rId="1680" sId="18">
    <oc r="I12" t="inlineStr">
      <is>
        <t>B25</t>
      </is>
    </oc>
    <nc r="I12" t="inlineStr">
      <is>
        <t>B13</t>
      </is>
    </nc>
  </rcc>
  <rfmt sheetId="18" sqref="B7:E12">
    <dxf>
      <fill>
        <patternFill>
          <bgColor rgb="FFFF0000"/>
        </patternFill>
      </fill>
    </dxf>
  </rfmt>
  <rfmt sheetId="18" sqref="B60:E72">
    <dxf>
      <fill>
        <patternFill>
          <bgColor rgb="FFFF0000"/>
        </patternFill>
      </fill>
    </dxf>
  </rfmt>
  <rcc rId="1681" sId="18">
    <oc r="J18">
      <f>J17*290</f>
    </oc>
    <nc r="J18">
      <f>J17*365</f>
    </nc>
  </rcc>
  <rcc rId="1682" sId="18">
    <oc r="F18">
      <f>F17*290</f>
    </oc>
    <nc r="F18">
      <f>F17*365</f>
    </nc>
  </rcc>
  <rcc rId="1683" sId="18">
    <oc r="B18">
      <f>B17*290</f>
    </oc>
    <nc r="B18">
      <f>B17*365</f>
    </nc>
  </rcc>
  <rcc rId="1684" sId="18">
    <nc r="R20" t="inlineStr">
      <is>
        <t>Data available for 2015 differs vans</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L54:L77">
    <dxf>
      <fill>
        <patternFill patternType="none">
          <bgColor auto="1"/>
        </patternFill>
      </fill>
    </dxf>
  </rfmt>
  <rfmt sheetId="26" sqref="L45">
    <dxf>
      <fill>
        <patternFill patternType="none">
          <bgColor auto="1"/>
        </patternFill>
      </fill>
    </dxf>
  </rfmt>
  <rfmt sheetId="26" sqref="B50:G51">
    <dxf>
      <fill>
        <patternFill patternType="none">
          <bgColor auto="1"/>
        </patternFill>
      </fill>
    </dxf>
  </rfmt>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85" sId="23" ref="A90:XFD93" action="insertRow"/>
  <rcc rId="1686" sId="23">
    <nc r="A91" t="inlineStr">
      <is>
        <t>MRR Reported Emissions</t>
      </is>
    </nc>
  </rcc>
  <rfmt sheetId="23" s="1" sqref="K90" start="0" length="0">
    <dxf>
      <font>
        <b val="0"/>
        <sz val="9"/>
        <color auto="1"/>
        <name val="Arial"/>
        <family val="2"/>
        <scheme val="none"/>
      </font>
      <numFmt numFmtId="181" formatCode="_(* #,##0_);_(* \(#,##0\);_(* &quot;-&quot;??_);_(@_)"/>
      <fill>
        <patternFill patternType="none">
          <bgColor indexed="65"/>
        </patternFill>
      </fill>
    </dxf>
  </rfmt>
  <rfmt sheetId="23" s="1" sqref="K91" start="0" length="0">
    <dxf>
      <font>
        <b val="0"/>
        <sz val="9"/>
        <color auto="1"/>
        <name val="Arial"/>
        <family val="2"/>
        <scheme val="none"/>
      </font>
      <numFmt numFmtId="181" formatCode="_(* #,##0_);_(* \(#,##0\);_(* &quot;-&quot;??_);_(@_)"/>
      <fill>
        <patternFill patternType="none">
          <bgColor indexed="65"/>
        </patternFill>
      </fill>
    </dxf>
  </rfmt>
  <rfmt sheetId="23" s="1" sqref="K92" start="0" length="0">
    <dxf>
      <font>
        <b val="0"/>
        <sz val="9"/>
        <color auto="1"/>
        <name val="Arial"/>
        <family val="2"/>
        <scheme val="none"/>
      </font>
      <numFmt numFmtId="181" formatCode="_(* #,##0_);_(* \(#,##0\);_(* &quot;-&quot;??_);_(@_)"/>
      <fill>
        <patternFill patternType="none">
          <bgColor indexed="65"/>
        </patternFill>
      </fill>
    </dxf>
  </rfmt>
  <rfmt sheetId="23" s="1" sqref="K93" start="0" length="0">
    <dxf>
      <font>
        <b val="0"/>
        <sz val="9"/>
        <color auto="1"/>
        <name val="Arial"/>
        <family val="2"/>
        <scheme val="none"/>
      </font>
      <numFmt numFmtId="181" formatCode="_(* #,##0_);_(* \(#,##0\);_(* &quot;-&quot;??_);_(@_)"/>
      <fill>
        <patternFill patternType="none">
          <bgColor indexed="65"/>
        </patternFill>
      </fill>
    </dxf>
  </rfmt>
  <rfmt sheetId="23" sqref="K91">
    <dxf>
      <fill>
        <patternFill patternType="solid">
          <bgColor rgb="FF00FF00"/>
        </patternFill>
      </fill>
    </dxf>
  </rfmt>
  <rfmt sheetId="23" sqref="K73">
    <dxf>
      <fill>
        <patternFill patternType="solid">
          <bgColor rgb="FF00FF00"/>
        </patternFill>
      </fill>
    </dxf>
  </rfmt>
  <rfmt sheetId="23" sqref="K59">
    <dxf>
      <fill>
        <patternFill patternType="solid">
          <bgColor rgb="FF00FF00"/>
        </patternFill>
      </fill>
    </dxf>
  </rfmt>
  <rdn rId="0" localSheetId="2" customView="1" name="Z_0347A67A_6027_4907_965C_6EA2A8295536_.wvu.Rows" hidden="1" oldHidden="1">
    <formula>'03-08_SectorTbl'!$104:$104</formula>
  </rdn>
  <rdn rId="0" localSheetId="2" customView="1" name="Z_0347A67A_6027_4907_965C_6EA2A8295536_.wvu.Cols" hidden="1" oldHidden="1">
    <formula>'03-08_SectorTbl'!$BD:$BF,'03-08_SectorTbl'!$BO:$BO</formula>
  </rdn>
  <rdn rId="0" localSheetId="4" customView="1" name="Z_0347A67A_6027_4907_965C_6EA2A8295536_.wvu.Rows" hidden="1" oldHidden="1">
    <formula>frontmatter!$20:$20</formula>
  </rdn>
  <rdn rId="0" localSheetId="6" customView="1" name="Z_0347A67A_6027_4907_965C_6EA2A8295536_.wvu.FilterData" hidden="1" oldHidden="1">
    <formula>USGPC_Scope!$A$4:$D$55</formula>
  </rdn>
  <rdn rId="0" localSheetId="7" customView="1" name="Z_0347A67A_6027_4907_965C_6EA2A8295536_.wvu.FilterData" hidden="1" oldHidden="1">
    <formula>Summary_RptTbls!$A$5:$A$43</formula>
  </rdn>
  <rcv guid="{0347A67A-6027-4907-965C-6EA2A8295536}"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3" cell="D8" guid="{00000000-0000-0000-0000-000000000000}" action="delete" alwaysShow="1" author="Andrea Martin"/>
  <rfmt sheetId="24" sqref="V11">
    <dxf>
      <numFmt numFmtId="35" formatCode="_(* #,##0.00_);_(* \(#,##0.00\);_(* &quot;-&quot;??_);_(@_)"/>
    </dxf>
  </rfmt>
  <rfmt sheetId="24" sqref="V11">
    <dxf>
      <numFmt numFmtId="183" formatCode="_(* #,##0.000_);_(* \(#,##0.000\);_(* &quot;-&quot;??_);_(@_)"/>
    </dxf>
  </rfmt>
  <rfmt sheetId="24" sqref="V11">
    <dxf>
      <numFmt numFmtId="188" formatCode="_(* #,##0.0000_);_(* \(#,##0.0000\);_(* &quot;-&quot;??_);_(@_)"/>
    </dxf>
  </rfmt>
  <rfmt sheetId="24" sqref="V11">
    <dxf>
      <numFmt numFmtId="183" formatCode="_(* #,##0.000_);_(* \(#,##0.000\);_(* &quot;-&quot;??_);_(@_)"/>
    </dxf>
  </rfmt>
  <rfmt sheetId="24" sqref="V11">
    <dxf>
      <numFmt numFmtId="35" formatCode="_(* #,##0.00_);_(* \(#,##0.00\);_(* &quot;-&quot;??_);_(@_)"/>
    </dxf>
  </rfmt>
  <rfmt sheetId="24" sqref="V11">
    <dxf>
      <numFmt numFmtId="182" formatCode="_(* #,##0.0_);_(* \(#,##0.0\);_(* &quot;-&quot;??_);_(@_)"/>
    </dxf>
  </rfmt>
  <rfmt sheetId="24" sqref="V11">
    <dxf>
      <numFmt numFmtId="181" formatCode="_(* #,##0_);_(* \(#,##0\);_(* &quot;-&quot;??_);_(@_)"/>
    </dxf>
  </rfmt>
  <rfmt sheetId="24" sqref="N11">
    <dxf>
      <numFmt numFmtId="35" formatCode="_(* #,##0.00_);_(* \(#,##0.00\);_(* &quot;-&quot;??_);_(@_)"/>
    </dxf>
  </rfmt>
  <rfmt sheetId="24" sqref="N11">
    <dxf>
      <numFmt numFmtId="182" formatCode="_(* #,##0.0_);_(* \(#,##0.0\);_(* &quot;-&quot;??_);_(@_)"/>
    </dxf>
  </rfmt>
  <rfmt sheetId="24" sqref="N11">
    <dxf>
      <numFmt numFmtId="181" formatCode="_(* #,##0_);_(* \(#,##0\);_(* &quot;-&quot;??_);_(@_)"/>
    </dxf>
  </rfmt>
  <rfmt sheetId="24" sqref="N11">
    <dxf>
      <numFmt numFmtId="182" formatCode="_(* #,##0.0_);_(* \(#,##0.0\);_(* &quot;-&quot;??_);_(@_)"/>
    </dxf>
  </rfmt>
  <rfmt sheetId="24" sqref="N11">
    <dxf>
      <numFmt numFmtId="35" formatCode="_(* #,##0.00_);_(* \(#,##0.00\);_(* &quot;-&quot;??_);_(@_)"/>
    </dxf>
  </rfmt>
  <rfmt sheetId="24" sqref="N11">
    <dxf>
      <numFmt numFmtId="183" formatCode="_(* #,##0.000_);_(* \(#,##0.000\);_(* &quot;-&quot;??_);_(@_)"/>
    </dxf>
  </rfmt>
  <rfmt sheetId="24" sqref="N11">
    <dxf>
      <numFmt numFmtId="35" formatCode="_(* #,##0.00_);_(* \(#,##0.00\);_(* &quot;-&quot;??_);_(@_)"/>
    </dxf>
  </rfmt>
  <rfmt sheetId="24" sqref="N11">
    <dxf>
      <numFmt numFmtId="182" formatCode="_(* #,##0.0_);_(* \(#,##0.0\);_(* &quot;-&quot;??_);_(@_)"/>
    </dxf>
  </rfmt>
  <rfmt sheetId="24" sqref="N11">
    <dxf>
      <numFmt numFmtId="181" formatCode="_(* #,##0_);_(* \(#,##0\);_(* &quot;-&quot;??_);_(@_)"/>
    </dxf>
  </rfmt>
  <rfmt sheetId="24" sqref="F11">
    <dxf>
      <numFmt numFmtId="35" formatCode="_(* #,##0.00_);_(* \(#,##0.00\);_(* &quot;-&quot;??_);_(@_)"/>
    </dxf>
  </rfmt>
  <rfmt sheetId="24" sqref="F11">
    <dxf>
      <numFmt numFmtId="182" formatCode="_(* #,##0.0_);_(* \(#,##0.0\);_(* &quot;-&quot;??_);_(@_)"/>
    </dxf>
  </rfmt>
  <rfmt sheetId="24" sqref="F11">
    <dxf>
      <numFmt numFmtId="181" formatCode="_(* #,##0_);_(* \(#,##0\);_(* &quot;-&quot;??_);_(@_)"/>
    </dxf>
  </rfmt>
  <rcc rId="1692" sId="24">
    <oc r="V11">
      <f>SUM(V9:V10)*1000000</f>
    </oc>
    <nc r="V11">
      <f>SUM(V9:V10)*1000000</f>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P25">
    <dxf>
      <fill>
        <patternFill patternType="solid">
          <bgColor rgb="FFFFFF00"/>
        </patternFill>
      </fill>
    </dxf>
  </rfmt>
  <rfmt sheetId="24" sqref="X25">
    <dxf>
      <fill>
        <patternFill patternType="solid">
          <bgColor rgb="FFFFFF00"/>
        </patternFill>
      </fill>
    </dxf>
  </rfmt>
  <rfmt sheetId="24" sqref="B46">
    <dxf>
      <numFmt numFmtId="35" formatCode="_(* #,##0.00_);_(* \(#,##0.00\);_(* &quot;-&quot;??_);_(@_)"/>
    </dxf>
  </rfmt>
  <rfmt sheetId="24" sqref="B46">
    <dxf>
      <numFmt numFmtId="183" formatCode="_(* #,##0.000_);_(* \(#,##0.000\);_(* &quot;-&quot;??_);_(@_)"/>
    </dxf>
  </rfmt>
  <rfmt sheetId="24" sqref="B46">
    <dxf>
      <numFmt numFmtId="188" formatCode="_(* #,##0.0000_);_(* \(#,##0.0000\);_(* &quot;-&quot;??_);_(@_)"/>
    </dxf>
  </rfmt>
  <rfmt sheetId="24" sqref="B46">
    <dxf>
      <numFmt numFmtId="183" formatCode="_(* #,##0.000_);_(* \(#,##0.000\);_(* &quot;-&quot;??_);_(@_)"/>
    </dxf>
  </rfmt>
  <rfmt sheetId="24" sqref="B46">
    <dxf>
      <numFmt numFmtId="35" formatCode="_(* #,##0.00_);_(* \(#,##0.00\);_(* &quot;-&quot;??_);_(@_)"/>
    </dxf>
  </rfmt>
  <rfmt sheetId="24" sqref="B46">
    <dxf>
      <numFmt numFmtId="182" formatCode="_(* #,##0.0_);_(* \(#,##0.0\);_(* &quot;-&quot;??_);_(@_)"/>
    </dxf>
  </rfmt>
  <rfmt sheetId="24" sqref="B46">
    <dxf>
      <numFmt numFmtId="181" formatCode="_(* #,##0_);_(* \(#,##0\);_(* &quot;-&quot;??_);_(@_)"/>
    </dxf>
  </rfmt>
  <rfmt sheetId="24" sqref="J46">
    <dxf>
      <numFmt numFmtId="35" formatCode="_(* #,##0.00_);_(* \(#,##0.00\);_(* &quot;-&quot;??_);_(@_)"/>
    </dxf>
  </rfmt>
  <rfmt sheetId="24" sqref="J46">
    <dxf>
      <numFmt numFmtId="182" formatCode="_(* #,##0.0_);_(* \(#,##0.0\);_(* &quot;-&quot;??_);_(@_)"/>
    </dxf>
  </rfmt>
  <rfmt sheetId="24" sqref="J46">
    <dxf>
      <numFmt numFmtId="181" formatCode="_(* #,##0_);_(* \(#,##0\);_(* &quot;-&quot;??_);_(@_)"/>
    </dxf>
  </rfmt>
  <rfmt sheetId="24" sqref="R46">
    <dxf>
      <numFmt numFmtId="35" formatCode="_(* #,##0.00_);_(* \(#,##0.00\);_(* &quot;-&quot;??_);_(@_)"/>
    </dxf>
  </rfmt>
  <rfmt sheetId="24" sqref="R46">
    <dxf>
      <numFmt numFmtId="182" formatCode="_(* #,##0.0_);_(* \(#,##0.0\);_(* &quot;-&quot;??_);_(@_)"/>
    </dxf>
  </rfmt>
  <rfmt sheetId="24" sqref="R46">
    <dxf>
      <numFmt numFmtId="181" formatCode="_(* #,##0_);_(* \(#,##0\);_(* &quot;-&quot;??_);_(@_)"/>
    </dxf>
  </rfmt>
  <rfmt sheetId="24" sqref="B51:C51">
    <dxf>
      <numFmt numFmtId="35" formatCode="_(* #,##0.00_);_(* \(#,##0.00\);_(* &quot;-&quot;??_);_(@_)"/>
    </dxf>
  </rfmt>
  <rfmt sheetId="24" sqref="B51:C51">
    <dxf>
      <numFmt numFmtId="182" formatCode="_(* #,##0.0_);_(* \(#,##0.0\);_(* &quot;-&quot;??_);_(@_)"/>
    </dxf>
  </rfmt>
  <rfmt sheetId="24" sqref="B51:C51">
    <dxf>
      <numFmt numFmtId="181" formatCode="_(* #,##0_);_(* \(#,##0\);_(* &quot;-&quot;??_);_(@_)"/>
    </dxf>
  </rfmt>
  <rfmt sheetId="24" sqref="J51">
    <dxf>
      <numFmt numFmtId="35" formatCode="_(* #,##0.00_);_(* \(#,##0.00\);_(* &quot;-&quot;??_);_(@_)"/>
    </dxf>
  </rfmt>
  <rfmt sheetId="24" sqref="J51">
    <dxf>
      <numFmt numFmtId="182" formatCode="_(* #,##0.0_);_(* \(#,##0.0\);_(* &quot;-&quot;??_);_(@_)"/>
    </dxf>
  </rfmt>
  <rfmt sheetId="24" sqref="J51">
    <dxf>
      <numFmt numFmtId="181" formatCode="_(* #,##0_);_(* \(#,##0\);_(* &quot;-&quot;??_);_(@_)"/>
    </dxf>
  </rfmt>
  <rfmt sheetId="24" sqref="B59">
    <dxf>
      <numFmt numFmtId="35" formatCode="_(* #,##0.00_);_(* \(#,##0.00\);_(* &quot;-&quot;??_);_(@_)"/>
    </dxf>
  </rfmt>
  <rfmt sheetId="24" sqref="B59">
    <dxf>
      <numFmt numFmtId="182" formatCode="_(* #,##0.0_);_(* \(#,##0.0\);_(* &quot;-&quot;??_);_(@_)"/>
    </dxf>
  </rfmt>
  <rfmt sheetId="24" sqref="B59">
    <dxf>
      <numFmt numFmtId="181" formatCode="_(* #,##0_);_(* \(#,##0\);_(* &quot;-&quot;??_);_(@_)"/>
    </dxf>
  </rfmt>
  <rfmt sheetId="24" sqref="B64">
    <dxf>
      <numFmt numFmtId="35" formatCode="_(* #,##0.00_);_(* \(#,##0.00\);_(* &quot;-&quot;??_);_(@_)"/>
    </dxf>
  </rfmt>
  <rfmt sheetId="24" sqref="B64">
    <dxf>
      <numFmt numFmtId="182" formatCode="_(* #,##0.0_);_(* \(#,##0.0\);_(* &quot;-&quot;??_);_(@_)"/>
    </dxf>
  </rfmt>
  <rfmt sheetId="24" sqref="B64">
    <dxf>
      <numFmt numFmtId="181" formatCode="_(* #,##0_);_(* \(#,##0\);_(* &quot;-&quot;??_);_(@_)"/>
    </dxf>
  </rfmt>
  <rfmt sheetId="24" sqref="J59">
    <dxf>
      <numFmt numFmtId="35" formatCode="_(* #,##0.00_);_(* \(#,##0.00\);_(* &quot;-&quot;??_);_(@_)"/>
    </dxf>
  </rfmt>
  <rfmt sheetId="24" sqref="J59">
    <dxf>
      <numFmt numFmtId="182" formatCode="_(* #,##0.0_);_(* \(#,##0.0\);_(* &quot;-&quot;??_);_(@_)"/>
    </dxf>
  </rfmt>
  <rfmt sheetId="24" sqref="J59">
    <dxf>
      <numFmt numFmtId="181" formatCode="_(* #,##0_);_(* \(#,##0\);_(* &quot;-&quot;??_);_(@_)"/>
    </dxf>
  </rfmt>
  <rfmt sheetId="24" sqref="J64">
    <dxf>
      <numFmt numFmtId="35" formatCode="_(* #,##0.00_);_(* \(#,##0.00\);_(* &quot;-&quot;??_);_(@_)"/>
    </dxf>
  </rfmt>
  <rfmt sheetId="24" sqref="J64">
    <dxf>
      <numFmt numFmtId="182" formatCode="_(* #,##0.0_);_(* \(#,##0.0\);_(* &quot;-&quot;??_);_(@_)"/>
    </dxf>
  </rfmt>
  <rfmt sheetId="24" sqref="J64">
    <dxf>
      <numFmt numFmtId="181" formatCode="_(* #,##0_);_(* \(#,##0\);_(* &quot;-&quot;??_);_(@_)"/>
    </dxf>
  </rfmt>
  <rfmt sheetId="24" sqref="R59">
    <dxf>
      <numFmt numFmtId="35" formatCode="_(* #,##0.00_);_(* \(#,##0.00\);_(* &quot;-&quot;??_);_(@_)"/>
    </dxf>
  </rfmt>
  <rfmt sheetId="24" sqref="R59">
    <dxf>
      <numFmt numFmtId="182" formatCode="_(* #,##0.0_);_(* \(#,##0.0\);_(* &quot;-&quot;??_);_(@_)"/>
    </dxf>
  </rfmt>
  <rfmt sheetId="24" sqref="R59">
    <dxf>
      <numFmt numFmtId="181" formatCode="_(* #,##0_);_(* \(#,##0\);_(* &quot;-&quot;??_);_(@_)"/>
    </dxf>
  </rfmt>
  <rfmt sheetId="24" sqref="R64">
    <dxf>
      <numFmt numFmtId="35" formatCode="_(* #,##0.00_);_(* \(#,##0.00\);_(* &quot;-&quot;??_);_(@_)"/>
    </dxf>
  </rfmt>
  <rfmt sheetId="24" sqref="R64">
    <dxf>
      <numFmt numFmtId="182" formatCode="_(* #,##0.0_);_(* \(#,##0.0\);_(* &quot;-&quot;??_);_(@_)"/>
    </dxf>
  </rfmt>
  <rfmt sheetId="24" sqref="R64">
    <dxf>
      <numFmt numFmtId="181" formatCode="_(* #,##0_);_(* \(#,##0\);_(* &quot;-&quot;??_);_(@_)"/>
    </dxf>
  </rfmt>
  <rfmt sheetId="24" sqref="B70">
    <dxf>
      <numFmt numFmtId="35" formatCode="_(* #,##0.00_);_(* \(#,##0.00\);_(* &quot;-&quot;??_);_(@_)"/>
    </dxf>
  </rfmt>
  <rfmt sheetId="24" sqref="B70">
    <dxf>
      <numFmt numFmtId="183" formatCode="_(* #,##0.000_);_(* \(#,##0.000\);_(* &quot;-&quot;??_);_(@_)"/>
    </dxf>
  </rfmt>
  <rfmt sheetId="24" sqref="B70">
    <dxf>
      <numFmt numFmtId="188" formatCode="_(* #,##0.0000_);_(* \(#,##0.0000\);_(* &quot;-&quot;??_);_(@_)"/>
    </dxf>
  </rfmt>
  <rfmt sheetId="24" sqref="B70">
    <dxf>
      <numFmt numFmtId="183" formatCode="_(* #,##0.000_);_(* \(#,##0.000\);_(* &quot;-&quot;??_);_(@_)"/>
    </dxf>
  </rfmt>
  <rfmt sheetId="24" sqref="B70">
    <dxf>
      <numFmt numFmtId="35" formatCode="_(* #,##0.00_);_(* \(#,##0.00\);_(* &quot;-&quot;??_);_(@_)"/>
    </dxf>
  </rfmt>
  <rfmt sheetId="24" sqref="B70">
    <dxf>
      <numFmt numFmtId="182" formatCode="_(* #,##0.0_);_(* \(#,##0.0\);_(* &quot;-&quot;??_);_(@_)"/>
    </dxf>
  </rfmt>
  <rfmt sheetId="24" sqref="J70">
    <dxf>
      <numFmt numFmtId="35" formatCode="_(* #,##0.00_);_(* \(#,##0.00\);_(* &quot;-&quot;??_);_(@_)"/>
    </dxf>
  </rfmt>
  <rfmt sheetId="24" sqref="J70">
    <dxf>
      <numFmt numFmtId="183" formatCode="_(* #,##0.000_);_(* \(#,##0.000\);_(* &quot;-&quot;??_);_(@_)"/>
    </dxf>
  </rfmt>
  <rfmt sheetId="24" sqref="J70">
    <dxf>
      <numFmt numFmtId="188" formatCode="_(* #,##0.0000_);_(* \(#,##0.0000\);_(* &quot;-&quot;??_);_(@_)"/>
    </dxf>
  </rfmt>
  <rfmt sheetId="24" sqref="J70">
    <dxf>
      <numFmt numFmtId="183" formatCode="_(* #,##0.000_);_(* \(#,##0.000\);_(* &quot;-&quot;??_);_(@_)"/>
    </dxf>
  </rfmt>
  <rfmt sheetId="24" sqref="J70">
    <dxf>
      <numFmt numFmtId="35" formatCode="_(* #,##0.00_);_(* \(#,##0.00\);_(* &quot;-&quot;??_);_(@_)"/>
    </dxf>
  </rfmt>
  <rfmt sheetId="24" sqref="J70">
    <dxf>
      <numFmt numFmtId="182" formatCode="_(* #,##0.0_);_(* \(#,##0.0\);_(* &quot;-&quot;??_);_(@_)"/>
    </dxf>
  </rfmt>
  <rfmt sheetId="24" sqref="J70">
    <dxf>
      <numFmt numFmtId="181" formatCode="_(* #,##0_);_(* \(#,##0\);_(* &quot;-&quot;??_);_(@_)"/>
    </dxf>
  </rfmt>
  <rfmt sheetId="24" sqref="R70">
    <dxf>
      <numFmt numFmtId="35" formatCode="_(* #,##0.00_);_(* \(#,##0.00\);_(* &quot;-&quot;??_);_(@_)"/>
    </dxf>
  </rfmt>
  <rfmt sheetId="24" sqref="R70">
    <dxf>
      <numFmt numFmtId="182" formatCode="_(* #,##0.0_);_(* \(#,##0.0\);_(* &quot;-&quot;??_);_(@_)"/>
    </dxf>
  </rfmt>
  <rfmt sheetId="24" sqref="R70">
    <dxf>
      <numFmt numFmtId="181" formatCode="_(* #,##0_);_(* \(#,##0\);_(* &quot;-&quot;??_);_(@_)"/>
    </dxf>
  </rfmt>
  <rfmt sheetId="24" sqref="J76">
    <dxf>
      <numFmt numFmtId="35" formatCode="_(* #,##0.00_);_(* \(#,##0.00\);_(* &quot;-&quot;??_);_(@_)"/>
    </dxf>
  </rfmt>
  <rfmt sheetId="24" sqref="J76">
    <dxf>
      <numFmt numFmtId="182" formatCode="_(* #,##0.0_);_(* \(#,##0.0\);_(* &quot;-&quot;??_);_(@_)"/>
    </dxf>
  </rfmt>
  <rfmt sheetId="24" sqref="J76">
    <dxf>
      <numFmt numFmtId="181" formatCode="_(* #,##0_);_(* \(#,##0\);_(* &quot;-&quot;??_);_(@_)"/>
    </dxf>
  </rfmt>
  <rfmt sheetId="24" sqref="R76">
    <dxf>
      <numFmt numFmtId="35" formatCode="_(* #,##0.00_);_(* \(#,##0.00\);_(* &quot;-&quot;??_);_(@_)"/>
    </dxf>
  </rfmt>
  <rfmt sheetId="24" sqref="R76">
    <dxf>
      <numFmt numFmtId="182" formatCode="_(* #,##0.0_);_(* \(#,##0.0\);_(* &quot;-&quot;??_);_(@_)"/>
    </dxf>
  </rfmt>
  <rfmt sheetId="24" sqref="R76">
    <dxf>
      <numFmt numFmtId="181" formatCode="_(* #,##0_);_(* \(#,##0\);_(* &quot;-&quot;??_);_(@_)"/>
    </dxf>
  </rfmt>
  <rfmt sheetId="24" sqref="V75">
    <dxf>
      <numFmt numFmtId="35" formatCode="_(* #,##0.00_);_(* \(#,##0.00\);_(* &quot;-&quot;??_);_(@_)"/>
    </dxf>
  </rfmt>
  <rfmt sheetId="24" sqref="V75">
    <dxf>
      <numFmt numFmtId="182" formatCode="_(* #,##0.0_);_(* \(#,##0.0\);_(* &quot;-&quot;??_);_(@_)"/>
    </dxf>
  </rfmt>
  <rfmt sheetId="24" sqref="V75">
    <dxf>
      <numFmt numFmtId="181" formatCode="_(* #,##0_);_(* \(#,##0\);_(* &quot;-&quot;??_);_(@_)"/>
    </dxf>
  </rfmt>
  <rfmt sheetId="24" sqref="F75">
    <dxf>
      <numFmt numFmtId="35" formatCode="_(* #,##0.00_);_(* \(#,##0.00\);_(* &quot;-&quot;??_);_(@_)"/>
    </dxf>
  </rfmt>
  <rfmt sheetId="24" sqref="F75">
    <dxf>
      <numFmt numFmtId="182" formatCode="_(* #,##0.0_);_(* \(#,##0.0\);_(* &quot;-&quot;??_);_(@_)"/>
    </dxf>
  </rfmt>
  <rfmt sheetId="24" sqref="F75">
    <dxf>
      <numFmt numFmtId="181" formatCode="_(* #,##0_);_(* \(#,##0\);_(* &quot;-&quot;??_);_(@_)"/>
    </dxf>
  </rfmt>
  <rfmt sheetId="24" sqref="N75">
    <dxf>
      <numFmt numFmtId="4" formatCode="#,##0.00"/>
    </dxf>
  </rfmt>
  <rfmt sheetId="24" sqref="N75">
    <dxf>
      <numFmt numFmtId="165" formatCode="#,##0.0"/>
    </dxf>
  </rfmt>
  <rfmt sheetId="24" sqref="N75">
    <dxf>
      <numFmt numFmtId="3" formatCode="#,##0"/>
    </dxf>
  </rfmt>
  <rfmt sheetId="24" sqref="B76">
    <dxf>
      <numFmt numFmtId="35" formatCode="_(* #,##0.00_);_(* \(#,##0.00\);_(* &quot;-&quot;??_);_(@_)"/>
    </dxf>
  </rfmt>
  <rfmt sheetId="24" sqref="B76">
    <dxf>
      <numFmt numFmtId="182" formatCode="_(* #,##0.0_);_(* \(#,##0.0\);_(* &quot;-&quot;??_);_(@_)"/>
    </dxf>
  </rfmt>
  <rfmt sheetId="24" sqref="B76">
    <dxf>
      <numFmt numFmtId="181" formatCode="_(* #,##0_);_(* \(#,##0\);_(* &quot;-&quot;??_);_(@_)"/>
    </dxf>
  </rfmt>
  <rcmt sheetId="24" cell="X25" guid="{79025597-C67F-48C0-A6FA-8264427BEA30}" alwaysShow="1" author="Andrea Martin" newLength="39"/>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B70">
    <dxf>
      <numFmt numFmtId="35" formatCode="_(* #,##0.00_);_(* \(#,##0.00\);_(* &quot;-&quot;??_);_(@_)"/>
    </dxf>
  </rfmt>
  <rfmt sheetId="24" sqref="B70">
    <dxf>
      <numFmt numFmtId="182" formatCode="_(* #,##0.0_);_(* \(#,##0.0\);_(* &quot;-&quot;??_);_(@_)"/>
    </dxf>
  </rfmt>
  <rfmt sheetId="24" sqref="B70">
    <dxf>
      <numFmt numFmtId="181" formatCode="_(* #,##0_);_(* \(#,##0\);_(* &quot;-&quot;??_);_(@_)"/>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9">
    <nc r="H10" t="inlineStr">
      <is>
        <t>hi andrea</t>
      </is>
    </nc>
  </rcc>
  <rdn rId="0" localSheetId="2" customView="1" name="Z_9BEC6399_AE85_4D88_8FBA_3674E2F30307_.wvu.Rows" hidden="1" oldHidden="1">
    <formula>'03-08_SectorTbl'!$104:$104</formula>
  </rdn>
  <rdn rId="0" localSheetId="2" customView="1" name="Z_9BEC6399_AE85_4D88_8FBA_3674E2F30307_.wvu.Cols" hidden="1" oldHidden="1">
    <formula>'03-08_SectorTbl'!$BD:$BF,'03-08_SectorTbl'!$BO:$BO</formula>
  </rdn>
  <rdn rId="0" localSheetId="4" customView="1" name="Z_9BEC6399_AE85_4D88_8FBA_3674E2F30307_.wvu.Rows" hidden="1" oldHidden="1">
    <formula>frontmatter!$20:$20</formula>
  </rdn>
  <rdn rId="0" localSheetId="6" customView="1" name="Z_9BEC6399_AE85_4D88_8FBA_3674E2F30307_.wvu.FilterData" hidden="1" oldHidden="1">
    <formula>USGPC_Scope!$A$4:$D$55</formula>
  </rdn>
  <rdn rId="0" localSheetId="7" customView="1" name="Z_9BEC6399_AE85_4D88_8FBA_3674E2F30307_.wvu.FilterData" hidden="1" oldHidden="1">
    <formula>Summary_RptTbls!$A$5:$A$43</formula>
  </rdn>
  <rcv guid="{9BEC6399-AE85-4D88-8FBA-3674E2F30307}" action="add"/>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8" sqref="B5:E12">
    <dxf>
      <fill>
        <patternFill patternType="none">
          <bgColor auto="1"/>
        </patternFill>
      </fill>
    </dxf>
  </rfmt>
  <rcc rId="1693" sId="18" numFmtId="4">
    <oc r="B7">
      <v>29644648.64168825</v>
    </oc>
    <nc r="B7">
      <v>26853863.857298039</v>
    </nc>
  </rcc>
  <rcc rId="1694" sId="18" numFmtId="4">
    <oc r="B8">
      <v>7589916.2060248218</v>
    </oc>
    <nc r="B8">
      <v>6709335.8014309946</v>
    </nc>
  </rcc>
  <rcc rId="1695" sId="18" numFmtId="4">
    <oc r="B9">
      <v>3641454.6037253658</v>
    </oc>
    <nc r="B9">
      <v>3161768.9972545337</v>
    </nc>
  </rcc>
  <rcc rId="1696" sId="18">
    <oc r="E7" t="inlineStr">
      <is>
        <t>B10</t>
      </is>
    </oc>
    <nc r="E7" t="inlineStr">
      <is>
        <t>modeled, B17</t>
      </is>
    </nc>
  </rcc>
  <rcc rId="1697" sId="18">
    <oc r="E8" t="inlineStr">
      <is>
        <t>C10</t>
      </is>
    </oc>
    <nc r="E8" t="inlineStr">
      <is>
        <t>modeled C17</t>
      </is>
    </nc>
  </rcc>
  <rcc rId="1698" sId="18">
    <oc r="E9" t="inlineStr">
      <is>
        <t>D10</t>
      </is>
    </oc>
    <nc r="E9" t="inlineStr">
      <is>
        <t>modeled D17</t>
      </is>
    </nc>
  </rcc>
  <rcc rId="1699" sId="18">
    <oc r="E11" t="inlineStr">
      <is>
        <t>B24</t>
      </is>
    </oc>
    <nc r="E11" t="inlineStr">
      <is>
        <t>Ratio 2003/2006 miles * 2006 emissions</t>
      </is>
    </nc>
  </rcc>
  <rrc rId="1700" sId="18" ref="A10:XFD10" action="insertRow"/>
  <rcc rId="1701" sId="18" odxf="1" dxf="1">
    <nc r="A10" t="inlineStr">
      <is>
        <t>Passenger Miles</t>
      </is>
    </nc>
    <odxf>
      <font>
        <family val="2"/>
      </font>
    </odxf>
    <ndxf>
      <font>
        <sz val="9"/>
        <color auto="1"/>
        <name val="Arial"/>
        <family val="2"/>
        <scheme val="none"/>
      </font>
    </ndxf>
  </rcc>
  <rfmt sheetId="18" sqref="A10" start="0" length="0">
    <dxf>
      <alignment relativeIndent="1"/>
    </dxf>
  </rfmt>
  <rcc rId="1702" sId="18">
    <nc r="B10">
      <f>SUM(B7:B9)</f>
    </nc>
  </rcc>
  <rcc rId="1703" sId="18">
    <nc r="C10" t="inlineStr">
      <is>
        <t>mi</t>
      </is>
    </nc>
  </rcc>
  <rcc rId="1704" sId="18" odxf="1" dxf="1">
    <nc r="F10">
      <f>SUM(F7:F9)</f>
    </nc>
    <odxf>
      <fill>
        <patternFill patternType="solid">
          <bgColor theme="9" tint="0.59999389629810485"/>
        </patternFill>
      </fill>
    </odxf>
    <ndxf>
      <fill>
        <patternFill patternType="none">
          <bgColor indexed="65"/>
        </patternFill>
      </fill>
    </ndxf>
  </rcc>
  <rcc rId="1705" sId="18">
    <nc r="G10" t="inlineStr">
      <is>
        <t>mi</t>
      </is>
    </nc>
  </rcc>
  <rcc rId="1706" sId="18" odxf="1" dxf="1">
    <nc r="J10">
      <f>SUM(J7:J9)</f>
    </nc>
    <odxf>
      <fill>
        <patternFill patternType="solid">
          <bgColor theme="9" tint="0.59999389629810485"/>
        </patternFill>
      </fill>
    </odxf>
    <ndxf>
      <fill>
        <patternFill patternType="none">
          <bgColor indexed="65"/>
        </patternFill>
      </fill>
    </ndxf>
  </rcc>
  <rcc rId="1707" sId="18">
    <nc r="K10" t="inlineStr">
      <is>
        <t>mi</t>
      </is>
    </nc>
  </rcc>
  <rcc rId="1708" sId="18" odxf="1" dxf="1">
    <nc r="O10">
      <f>SUM(O7:O9)</f>
    </nc>
    <odxf>
      <fill>
        <patternFill patternType="solid">
          <bgColor theme="9" tint="0.59999389629810485"/>
        </patternFill>
      </fill>
    </odxf>
    <ndxf>
      <fill>
        <patternFill patternType="none">
          <bgColor indexed="65"/>
        </patternFill>
      </fill>
    </ndxf>
  </rcc>
  <rcc rId="1709" sId="18">
    <nc r="P10" t="inlineStr">
      <is>
        <t>mi</t>
      </is>
    </nc>
  </rcc>
  <rfmt sheetId="18" sqref="O10">
    <dxf>
      <fill>
        <patternFill>
          <bgColor auto="1"/>
        </patternFill>
      </fill>
    </dxf>
  </rfmt>
  <rfmt sheetId="18" sqref="O10">
    <dxf>
      <fill>
        <patternFill patternType="solid">
          <bgColor theme="9" tint="0.79998168889431442"/>
        </patternFill>
      </fill>
    </dxf>
  </rfmt>
  <rfmt sheetId="18" sqref="O10">
    <dxf>
      <fill>
        <patternFill>
          <bgColor theme="9" tint="0.59999389629810485"/>
        </patternFill>
      </fill>
    </dxf>
  </rfmt>
  <rfmt sheetId="18" sqref="J10">
    <dxf>
      <fill>
        <patternFill patternType="solid">
          <bgColor theme="9" tint="0.59999389629810485"/>
        </patternFill>
      </fill>
    </dxf>
  </rfmt>
  <rfmt sheetId="18" sqref="F10">
    <dxf>
      <fill>
        <patternFill patternType="solid">
          <bgColor theme="9" tint="0.59999389629810485"/>
        </patternFill>
      </fill>
    </dxf>
  </rfmt>
  <rcc rId="1710" sId="18">
    <oc r="B12">
      <v>4815582.5725452872</v>
    </oc>
    <nc r="B12">
      <f>B10/F10*F12</f>
    </nc>
  </rcc>
  <rcc rId="1711" sId="18" numFmtId="4">
    <oc r="F12">
      <v>4815582.5725452872</v>
    </oc>
    <nc r="F12">
      <v>4920545.4249083539</v>
    </nc>
  </rcc>
  <rcc rId="1712" sId="18" numFmtId="4">
    <oc r="F13">
      <v>24436.078117790417</v>
    </oc>
    <nc r="F13">
      <v>26829.315748533169</v>
    </nc>
  </rcc>
  <rcc rId="1713" sId="18">
    <nc r="E14" t="inlineStr">
      <is>
        <t>Probably underestimate- gives 2003 the fuel efficiceny of 2008</t>
      </is>
    </nc>
  </rcc>
  <rfmt sheetId="18" sqref="B7:B14">
    <dxf>
      <fill>
        <patternFill patternType="solid">
          <bgColor theme="9" tint="0.59999389629810485"/>
        </patternFill>
      </fill>
    </dxf>
  </rfmt>
  <rfmt sheetId="18" sqref="B61:E73">
    <dxf>
      <fill>
        <patternFill patternType="none">
          <bgColor auto="1"/>
        </patternFill>
      </fill>
    </dxf>
  </rfmt>
  <rfmt sheetId="18" sqref="B61:B64 B66 B68:B71 B73">
    <dxf>
      <fill>
        <patternFill patternType="solid">
          <bgColor theme="9" tint="0.59999389629810485"/>
        </patternFill>
      </fill>
    </dxf>
  </rfmt>
  <rcc rId="1714" sId="18" numFmtId="4">
    <oc r="B61">
      <v>2265886.4260681556</v>
    </oc>
    <nc r="B61">
      <v>2286053.7140061758</v>
    </nc>
  </rcc>
  <rcc rId="1715" sId="18" numFmtId="4">
    <oc r="B13">
      <v>24436.078117790417</v>
    </oc>
    <nc r="B13">
      <f>B10/F10*F13</f>
    </nc>
  </rcc>
  <rfmt sheetId="18" sqref="E13" start="0" length="0">
    <dxf>
      <alignment vertical="bottom"/>
    </dxf>
  </rfmt>
  <rcc rId="1716" sId="18" odxf="1" dxf="1">
    <oc r="E13" t="inlineStr">
      <is>
        <t>B25</t>
      </is>
    </oc>
    <nc r="E13" t="inlineStr">
      <is>
        <t>Ratio 2003/2006 miles * 2006 emissions</t>
      </is>
    </nc>
    <ndxf>
      <alignment vertical="top"/>
    </ndxf>
  </rcc>
  <rcc rId="1717" sId="18">
    <oc r="E61" t="inlineStr">
      <is>
        <t>F10</t>
      </is>
    </oc>
    <nc r="E61" t="inlineStr">
      <is>
        <t>Ratio 2003/2006 miles * 2006 emissions</t>
      </is>
    </nc>
  </rcc>
  <rm rId="1718" sheetId="18" source="E61" destination="E63" sourceSheetId="18">
    <rcc rId="0" sId="18" dxf="1">
      <nc r="E63" t="inlineStr">
        <is>
          <t>D24</t>
        </is>
      </nc>
      <ndxf>
        <numFmt numFmtId="3" formatCode="#,##0"/>
        <alignment horizontal="left"/>
        <border outline="0">
          <right style="thin">
            <color indexed="64"/>
          </right>
        </border>
      </ndxf>
    </rcc>
  </rm>
  <rcc rId="1719" sId="18">
    <oc r="E64" t="inlineStr">
      <is>
        <t>D25</t>
      </is>
    </oc>
    <nc r="E64" t="inlineStr">
      <is>
        <t>Ratio 2003/2006 miles * 2006 emissions</t>
      </is>
    </nc>
  </rcc>
  <rcc rId="1720" sId="18">
    <oc r="E70" t="inlineStr">
      <is>
        <t>E24</t>
      </is>
    </oc>
    <nc r="E70" t="inlineStr">
      <is>
        <t>Ratio 2003/2006 miles * 2006 emissions</t>
      </is>
    </nc>
  </rcc>
  <rcc rId="1721" sId="18">
    <oc r="E71" t="inlineStr">
      <is>
        <t>E25</t>
      </is>
    </oc>
    <nc r="E71" t="inlineStr">
      <is>
        <t>Ratio 2003/2006 miles * 2006 emissions</t>
      </is>
    </nc>
  </rcc>
  <rcc rId="1722" sId="18" odxf="1" dxf="1">
    <nc r="E73" t="inlineStr">
      <is>
        <t>Probably underestimate- gives 2003 the fuel efficiceny of 2008</t>
      </is>
    </nc>
    <odxf>
      <alignment vertical="top"/>
    </odxf>
    <ndxf>
      <alignment vertical="bottom"/>
    </ndxf>
  </rcc>
  <rcc rId="1723" sId="18" odxf="1" dxf="1">
    <nc r="E66" t="inlineStr">
      <is>
        <t>Probably underestimate- gives 2003 the fuel efficiceny of 2008</t>
      </is>
    </nc>
    <odxf>
      <alignment vertical="top"/>
    </odxf>
    <ndxf>
      <alignment vertical="bottom"/>
    </ndxf>
  </rcc>
  <rcc rId="1724" sId="18">
    <nc r="E61" t="inlineStr">
      <is>
        <t>C14</t>
      </is>
    </nc>
  </rcc>
  <rcc rId="1725" sId="18">
    <oc r="E68" t="inlineStr">
      <is>
        <t>G10</t>
      </is>
    </oc>
    <nc r="E68" t="inlineStr">
      <is>
        <t>D14</t>
      </is>
    </nc>
  </rcc>
  <rcc rId="1726" sId="18" numFmtId="4">
    <oc r="B63">
      <v>401531.56438688713</v>
    </oc>
    <nc r="B63">
      <f>B61/F61*F63</f>
    </nc>
  </rcc>
  <rcc rId="1727" sId="18" numFmtId="4">
    <oc r="B64">
      <v>3574.2620298266811</v>
    </oc>
    <nc r="B64">
      <f>B61/F61*F64</f>
    </nc>
  </rcc>
  <rcc rId="1728" sId="18" numFmtId="4">
    <oc r="B70">
      <v>594345.81629044062</v>
    </oc>
    <nc r="B70">
      <f>B68/F68*F70</f>
    </nc>
  </rcc>
  <rcc rId="1729" sId="18" numFmtId="4">
    <oc r="B71">
      <v>84.11675857457098</v>
    </oc>
    <nc r="B71">
      <f>B68/F68*F71</f>
    </nc>
  </rc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R74">
    <dxf>
      <numFmt numFmtId="183" formatCode="_(* #,##0.000_);_(* \(#,##0.000\);_(* &quot;-&quot;??_);_(@_)"/>
    </dxf>
  </rfmt>
  <rfmt sheetId="24" sqref="R74">
    <dxf>
      <numFmt numFmtId="35" formatCode="_(* #,##0.00_);_(* \(#,##0.00\);_(* &quot;-&quot;??_);_(@_)"/>
    </dxf>
  </rfmt>
  <rfmt sheetId="24" sqref="R74">
    <dxf>
      <numFmt numFmtId="182" formatCode="_(* #,##0.0_);_(* \(#,##0.0\);_(* &quot;-&quot;??_);_(@_)"/>
    </dxf>
  </rfmt>
  <rfmt sheetId="24" sqref="R74">
    <dxf>
      <numFmt numFmtId="181" formatCode="_(* #,##0_);_(* \(#,##0\);_(* &quot;-&quot;??_);_(@_)"/>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4" cell="H58" guid="{BA604301-8C4E-42E3-83C7-8374FE8EE2E7}" alwaysShow="1" author="Andrea Martin" newLength="43"/>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E27" start="0" length="0">
    <dxf>
      <fill>
        <patternFill patternType="none">
          <bgColor indexed="65"/>
        </patternFill>
      </fill>
    </dxf>
  </rfmt>
  <rcc rId="1740" sId="7">
    <oc r="D27">
      <f>'Trans- Road'!#REF!</f>
    </oc>
    <nc r="D27">
      <f>SUM('Trans- Road'!J73,'Trans- Road'!J66)</f>
    </nc>
  </rcc>
  <rcc rId="1741" sId="7">
    <oc r="C27">
      <f>'Trans- Road'!#REF!</f>
    </oc>
    <nc r="C27">
      <f>SUM('Trans- Road'!F73,'Trans- Road'!F66)</f>
    </nc>
  </rcc>
  <rcc rId="1742" sId="7">
    <oc r="B27">
      <f>'Trans- Road'!#REF!</f>
    </oc>
    <nc r="B27">
      <f>SUM('Trans- Road'!B73,'Trans- Road'!B66)</f>
    </nc>
  </rcc>
  <rcc rId="1743" sId="7">
    <oc r="E27">
      <f>'Trans- Road'!#REF!</f>
    </oc>
    <nc r="E27">
      <f>SUM('Trans- Road'!O73,'Trans- Road'!O66)</f>
    </nc>
  </rcc>
  <rcc rId="1744" sId="7">
    <oc r="B29">
      <f>'Trans-Rail'!#REF!</f>
    </oc>
    <nc r="B29">
      <f>'Trans-Rail'!E41</f>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5" sId="24">
    <oc r="A46" t="inlineStr">
      <is>
        <t>total energy consumed</t>
      </is>
    </oc>
    <nc r="A46" t="inlineStr">
      <is>
        <t>Total energy consumed</t>
      </is>
    </nc>
  </rcc>
  <rcc rId="1746" sId="24">
    <oc r="A51" t="inlineStr">
      <is>
        <t>total energy consumed</t>
      </is>
    </oc>
    <nc r="A51" t="inlineStr">
      <is>
        <t>Total energy consumed</t>
      </is>
    </nc>
  </rcc>
  <rcmt sheetId="24" cell="A67" guid="{0040069E-8132-4AD5-9434-DC3A5F2F7DE6}" alwaysShow="1" author="Andrea Martin" newLength="116"/>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H25">
    <dxf>
      <fill>
        <patternFill patternType="solid">
          <bgColor rgb="FFFFFF00"/>
        </patternFill>
      </fill>
    </dxf>
  </rfmt>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7" sId="24">
    <nc r="Q25" t="inlineStr">
      <is>
        <t>U.S. Community Protocol Table WW.14.2</t>
      </is>
    </nc>
  </rcc>
  <rfmt sheetId="24" sqref="Q25" start="0" length="2147483647">
    <dxf>
      <font>
        <b val="0"/>
        <family val="2"/>
      </font>
    </dxf>
  </rfmt>
  <rcc rId="1748" sId="24" odxf="1" dxf="1">
    <oc r="Y25" t="inlineStr">
      <is>
        <t>MG denotes: million gallons</t>
      </is>
    </oc>
    <nc r="Y25" t="inlineStr">
      <is>
        <t>U.S. Community Protocol Table WW.14.2</t>
      </is>
    </nc>
    <odxf>
      <alignment horizontal="general" vertical="top"/>
      <border outline="0">
        <right/>
      </border>
    </odxf>
    <ndxf>
      <alignment horizontal="left" vertical="bottom"/>
      <border outline="0">
        <right style="thin">
          <color indexed="64"/>
        </right>
      </border>
    </ndxf>
  </rcc>
  <rcc rId="1749" sId="24" odxf="1" dxf="1">
    <nc r="I25" t="inlineStr">
      <is>
        <t>U.S. Community Protocol Table WW.14.2</t>
      </is>
    </nc>
    <odxf>
      <font>
        <b/>
        <family val="2"/>
      </font>
    </odxf>
    <ndxf>
      <font>
        <b val="0"/>
        <sz val="9"/>
        <color auto="1"/>
        <name val="Arial"/>
        <family val="2"/>
        <scheme val="none"/>
      </font>
    </ndxf>
  </rcc>
  <rfmt sheetId="24" sqref="P25 X25">
    <dxf>
      <fill>
        <patternFill patternType="none">
          <bgColor auto="1"/>
        </patternFill>
      </fill>
    </dxf>
  </rfmt>
  <rcc rId="1750" sId="24">
    <nc r="Y37" t="inlineStr">
      <is>
        <t>U.S. Community Protocol Table WW.14.2</t>
      </is>
    </nc>
  </rcc>
  <rcc rId="1751" sId="24" odxf="1" dxf="1">
    <nc r="Q37" t="inlineStr">
      <is>
        <t>U.S. Community Protocol Table WW.14.2</t>
      </is>
    </nc>
    <odxf>
      <font>
        <b/>
        <family val="2"/>
      </font>
    </odxf>
    <ndxf>
      <font>
        <b val="0"/>
        <sz val="9"/>
        <color auto="1"/>
        <name val="Arial"/>
        <family val="2"/>
        <scheme val="none"/>
      </font>
    </ndxf>
  </rcc>
  <rcc rId="1752" sId="24" odxf="1" dxf="1">
    <nc r="I37" t="inlineStr">
      <is>
        <t>U.S. Community Protocol Table WW.14.2</t>
      </is>
    </nc>
    <odxf>
      <font>
        <b/>
        <family val="2"/>
      </font>
    </odxf>
    <ndxf>
      <font>
        <b val="0"/>
        <sz val="9"/>
        <color auto="1"/>
        <name val="Arial"/>
        <family val="2"/>
        <scheme val="none"/>
      </font>
    </ndxf>
  </rcc>
  <rfmt sheetId="24" sqref="H45" start="0" length="0">
    <dxf>
      <font>
        <b val="0"/>
        <sz val="9"/>
        <color auto="1"/>
        <name val="Arial"/>
        <family val="2"/>
        <scheme val="none"/>
      </font>
      <border outline="0">
        <right style="thin">
          <color indexed="64"/>
        </right>
      </border>
    </dxf>
  </rfmt>
  <rfmt sheetId="24" sqref="H50" start="0" length="0">
    <dxf>
      <font>
        <b val="0"/>
        <sz val="9"/>
        <color auto="1"/>
        <name val="Arial"/>
        <family val="2"/>
        <scheme val="none"/>
      </font>
      <border outline="0">
        <right style="thin">
          <color indexed="64"/>
        </right>
      </border>
    </dxf>
  </rfmt>
  <rcc rId="1753" sId="24" odxf="1" dxf="1">
    <nc r="Q45" t="inlineStr">
      <is>
        <t>U.S. Community Protocol Table WW.14.3</t>
      </is>
    </nc>
    <odxf>
      <font>
        <b/>
        <family val="2"/>
      </font>
    </odxf>
    <ndxf>
      <font>
        <b val="0"/>
        <sz val="9"/>
        <color auto="1"/>
        <name val="Arial"/>
        <family val="2"/>
        <scheme val="none"/>
      </font>
    </ndxf>
  </rcc>
  <rfmt sheetId="24" sqref="Q46" start="0" length="0">
    <dxf>
      <border outline="0">
        <right/>
      </border>
    </dxf>
  </rfmt>
  <rfmt sheetId="24" sqref="Q47" start="0" length="0">
    <dxf>
      <border outline="0">
        <right/>
      </border>
    </dxf>
  </rfmt>
  <rfmt sheetId="24" sqref="Q48" start="0" length="0">
    <dxf>
      <border outline="0">
        <right/>
      </border>
    </dxf>
  </rfmt>
  <rfmt sheetId="24" sqref="Q49" start="0" length="0">
    <dxf>
      <border outline="0">
        <right/>
      </border>
    </dxf>
  </rfmt>
  <rcc rId="1754" sId="24" odxf="1" dxf="1">
    <nc r="Q50" t="inlineStr">
      <is>
        <t>U.S. Community Protocol Table WW.14.3</t>
      </is>
    </nc>
    <odxf>
      <font>
        <b/>
        <family val="2"/>
      </font>
    </odxf>
    <ndxf>
      <font>
        <b val="0"/>
        <sz val="9"/>
        <color auto="1"/>
        <name val="Arial"/>
        <family val="2"/>
        <scheme val="none"/>
      </font>
    </ndxf>
  </rcc>
  <rcc rId="1755" sId="24" odxf="1" dxf="1">
    <nc r="I45" t="inlineStr">
      <is>
        <t>U.S. Community Protocol Table WW.14.3</t>
      </is>
    </nc>
    <odxf>
      <font>
        <b/>
        <family val="2"/>
      </font>
    </odxf>
    <ndxf>
      <font>
        <b val="0"/>
        <sz val="9"/>
        <color auto="1"/>
        <name val="Arial"/>
        <family val="2"/>
        <scheme val="none"/>
      </font>
    </ndxf>
  </rcc>
  <rfmt sheetId="24" sqref="I46" start="0" length="0">
    <dxf>
      <border outline="0">
        <right/>
      </border>
    </dxf>
  </rfmt>
  <rfmt sheetId="24" sqref="I47" start="0" length="0">
    <dxf>
      <border outline="0">
        <right/>
      </border>
    </dxf>
  </rfmt>
  <rfmt sheetId="24" sqref="I48" start="0" length="0">
    <dxf>
      <border outline="0">
        <right/>
      </border>
    </dxf>
  </rfmt>
  <rfmt sheetId="24" sqref="I49" start="0" length="0">
    <dxf>
      <border outline="0">
        <right/>
      </border>
    </dxf>
  </rfmt>
  <rcc rId="1756" sId="24" odxf="1" dxf="1">
    <nc r="I50" t="inlineStr">
      <is>
        <t>U.S. Community Protocol Table WW.14.3</t>
      </is>
    </nc>
    <odxf>
      <font>
        <b/>
        <family val="2"/>
      </font>
    </odxf>
    <ndxf>
      <font>
        <b val="0"/>
        <sz val="9"/>
        <color auto="1"/>
        <name val="Arial"/>
        <family val="2"/>
        <scheme val="none"/>
      </font>
    </ndxf>
  </rcc>
  <rcc rId="1757" sId="24">
    <nc r="Y45" t="inlineStr">
      <is>
        <t>U.S. Community Protocol Table WW.14.3</t>
      </is>
    </nc>
  </rcc>
  <rfmt sheetId="24" sqref="Y46" start="0" length="0">
    <dxf>
      <font>
        <b/>
        <sz val="9"/>
        <color auto="1"/>
        <name val="Arial"/>
        <family val="2"/>
        <scheme val="none"/>
      </font>
      <border outline="0">
        <right/>
      </border>
    </dxf>
  </rfmt>
  <rfmt sheetId="24" sqref="Y47" start="0" length="0">
    <dxf>
      <font>
        <b/>
        <sz val="9"/>
        <color auto="1"/>
        <name val="Arial"/>
        <family val="2"/>
        <scheme val="none"/>
      </font>
      <border outline="0">
        <right/>
      </border>
    </dxf>
  </rfmt>
  <rfmt sheetId="24" sqref="Y48" start="0" length="0">
    <dxf>
      <font>
        <b/>
        <sz val="9"/>
        <color auto="1"/>
        <name val="Arial"/>
        <family val="2"/>
        <scheme val="none"/>
      </font>
      <border outline="0">
        <right/>
      </border>
    </dxf>
  </rfmt>
  <rfmt sheetId="24" sqref="Y49" start="0" length="0">
    <dxf>
      <font>
        <b/>
        <sz val="9"/>
        <color auto="1"/>
        <name val="Arial"/>
        <family val="2"/>
        <scheme val="none"/>
      </font>
      <border outline="0">
        <right/>
      </border>
    </dxf>
  </rfmt>
  <rcc rId="1758" sId="24">
    <nc r="Y50" t="inlineStr">
      <is>
        <t>U.S. Community Protocol Table WW.14.3</t>
      </is>
    </nc>
  </rcc>
  <rfmt sheetId="24" sqref="Y59" start="0" length="0">
    <dxf>
      <font>
        <b/>
        <sz val="9"/>
        <color auto="1"/>
        <name val="Arial"/>
        <family val="2"/>
        <scheme val="none"/>
      </font>
      <border outline="0">
        <right/>
      </border>
    </dxf>
  </rfmt>
  <rfmt sheetId="24" sqref="Y60" start="0" length="0">
    <dxf>
      <font>
        <b/>
        <sz val="9"/>
        <color auto="1"/>
        <name val="Arial"/>
        <family val="2"/>
        <scheme val="none"/>
      </font>
      <border outline="0">
        <right/>
      </border>
    </dxf>
  </rfmt>
  <rfmt sheetId="24" sqref="Y61" start="0" length="0">
    <dxf>
      <font>
        <b/>
        <sz val="9"/>
        <color auto="1"/>
        <name val="Arial"/>
        <family val="2"/>
        <scheme val="none"/>
      </font>
      <border outline="0">
        <right/>
      </border>
    </dxf>
  </rfmt>
  <rfmt sheetId="24" sqref="Y62" start="0" length="0">
    <dxf>
      <font>
        <b/>
        <sz val="9"/>
        <color auto="1"/>
        <name val="Arial"/>
        <family val="2"/>
        <scheme val="none"/>
      </font>
      <border outline="0">
        <right/>
      </border>
    </dxf>
  </rfmt>
  <rcc rId="1759" sId="24">
    <nc r="Y58" t="inlineStr">
      <is>
        <t>U.S. Community Protocol Table WW.14.4</t>
      </is>
    </nc>
  </rcc>
  <rcc rId="1760" sId="24">
    <nc r="Y63" t="inlineStr">
      <is>
        <t>U.S. Community Protocol Table WW.14.4</t>
      </is>
    </nc>
  </rcc>
  <rcc rId="1761" sId="24" odxf="1" dxf="1">
    <nc r="Q58" t="inlineStr">
      <is>
        <t>U.S. Community Protocol Table WW.14.4</t>
      </is>
    </nc>
    <odxf>
      <font>
        <b/>
        <family val="2"/>
      </font>
    </odxf>
    <ndxf>
      <font>
        <b val="0"/>
        <sz val="9"/>
        <color auto="1"/>
        <name val="Arial"/>
        <family val="2"/>
        <scheme val="none"/>
      </font>
    </ndxf>
  </rcc>
  <rfmt sheetId="24" sqref="Q59" start="0" length="0">
    <dxf>
      <border outline="0">
        <right/>
      </border>
    </dxf>
  </rfmt>
  <rfmt sheetId="24" sqref="Q60" start="0" length="0">
    <dxf>
      <border outline="0">
        <right/>
      </border>
    </dxf>
  </rfmt>
  <rfmt sheetId="24" sqref="Q61" start="0" length="0">
    <dxf>
      <border outline="0">
        <right/>
      </border>
    </dxf>
  </rfmt>
  <rfmt sheetId="24" sqref="Q62" start="0" length="0">
    <dxf>
      <border outline="0">
        <right/>
      </border>
    </dxf>
  </rfmt>
  <rcc rId="1762" sId="24" odxf="1" dxf="1">
    <nc r="Q63" t="inlineStr">
      <is>
        <t>U.S. Community Protocol Table WW.14.4</t>
      </is>
    </nc>
    <odxf>
      <font>
        <b/>
        <family val="2"/>
      </font>
    </odxf>
    <ndxf>
      <font>
        <b val="0"/>
        <sz val="9"/>
        <color auto="1"/>
        <name val="Arial"/>
        <family val="2"/>
        <scheme val="none"/>
      </font>
    </ndxf>
  </rcc>
  <rcc rId="1763" sId="24" odxf="1" dxf="1">
    <nc r="I58" t="inlineStr">
      <is>
        <t>U.S. Community Protocol Table WW.14.4</t>
      </is>
    </nc>
    <odxf>
      <font>
        <b/>
        <family val="2"/>
      </font>
    </odxf>
    <ndxf>
      <font>
        <b val="0"/>
        <sz val="9"/>
        <color auto="1"/>
        <name val="Arial"/>
        <family val="2"/>
        <scheme val="none"/>
      </font>
    </ndxf>
  </rcc>
  <rfmt sheetId="24" sqref="I59" start="0" length="0">
    <dxf>
      <border outline="0">
        <right/>
      </border>
    </dxf>
  </rfmt>
  <rfmt sheetId="24" sqref="I60" start="0" length="0">
    <dxf>
      <border outline="0">
        <right/>
      </border>
    </dxf>
  </rfmt>
  <rfmt sheetId="24" sqref="I61" start="0" length="0">
    <dxf>
      <border outline="0">
        <right/>
      </border>
    </dxf>
  </rfmt>
  <rfmt sheetId="24" sqref="I62" start="0" length="0">
    <dxf>
      <border outline="0">
        <right/>
      </border>
    </dxf>
  </rfmt>
  <rcc rId="1764" sId="24" odxf="1" dxf="1">
    <nc r="I63" t="inlineStr">
      <is>
        <t>U.S. Community Protocol Table WW.14.4</t>
      </is>
    </nc>
    <odxf>
      <font>
        <b/>
        <family val="2"/>
      </font>
    </odxf>
    <ndxf>
      <font>
        <b val="0"/>
        <sz val="9"/>
        <color auto="1"/>
        <name val="Arial"/>
        <family val="2"/>
        <scheme val="none"/>
      </font>
    </ndxf>
  </rcc>
  <rcmt sheetId="24" cell="H58" guid="{00000000-0000-0000-0000-000000000000}" action="delete" alwaysShow="1" author="Andrea Martin"/>
  <rcmt sheetId="24" cell="A67" guid="{00000000-0000-0000-0000-000000000000}" action="delete" alwaysShow="1" author="Andrea Martin"/>
  <rcc rId="1765" sId="24">
    <oc r="A67" t="inlineStr">
      <is>
        <t>Cascade Water alliance?</t>
      </is>
    </oc>
    <nc r="A67" t="inlineStr">
      <is>
        <t>Cascade Water alliance- not yet supplying water, acting as water purveyor</t>
      </is>
    </nc>
  </rcc>
  <rrc rId="1766" sId="24" ref="A67:XFD67" action="deleteRow">
    <rfmt sheetId="24" xfDxf="1" sqref="A67:XFD67" start="0" length="0"/>
    <rcc rId="0" sId="24" dxf="1">
      <nc r="A67" t="inlineStr">
        <is>
          <t>Cascade Water alliance- not yet supplying water, acting as water purveyor</t>
        </is>
      </nc>
      <ndxf>
        <numFmt numFmtId="30" formatCode="@"/>
        <border outline="0">
          <right style="thin">
            <color indexed="64"/>
          </right>
        </border>
      </ndxf>
    </rcc>
    <rfmt sheetId="24" sqref="B67" start="0" length="0">
      <dxf>
        <alignment vertical="bottom"/>
      </dxf>
    </rfmt>
    <rfmt sheetId="24" sqref="C67" start="0" length="0">
      <dxf>
        <alignment vertical="bottom"/>
      </dxf>
    </rfmt>
    <rfmt sheetId="24" sqref="D67" start="0" length="0">
      <dxf>
        <alignment vertical="bottom"/>
      </dxf>
    </rfmt>
    <rfmt sheetId="24" sqref="E67" start="0" length="0">
      <dxf>
        <alignment vertical="bottom"/>
        <border outline="0">
          <right style="thin">
            <color indexed="64"/>
          </right>
        </border>
      </dxf>
    </rfmt>
    <rfmt sheetId="24" sqref="F67" start="0" length="0">
      <dxf>
        <numFmt numFmtId="3" formatCode="#,##0"/>
      </dxf>
    </rfmt>
    <rfmt sheetId="24" sqref="G67" start="0" length="0">
      <dxf/>
    </rfmt>
    <rfmt sheetId="24" sqref="H67" start="0" length="0">
      <dxf>
        <font>
          <sz val="7"/>
          <color auto="1"/>
          <name val="Arial"/>
          <family val="2"/>
          <scheme val="none"/>
        </font>
      </dxf>
    </rfmt>
    <rfmt sheetId="24" sqref="I67" start="0" length="0">
      <dxf>
        <font>
          <sz val="7"/>
          <color auto="1"/>
          <name val="Arial"/>
          <family val="2"/>
          <scheme val="none"/>
        </font>
        <border outline="0">
          <right style="thin">
            <color indexed="64"/>
          </right>
        </border>
      </dxf>
    </rfmt>
    <rfmt sheetId="24" sqref="J67" start="0" length="0">
      <dxf>
        <alignment vertical="bottom"/>
      </dxf>
    </rfmt>
    <rfmt sheetId="24" sqref="K67" start="0" length="0">
      <dxf>
        <alignment vertical="bottom"/>
      </dxf>
    </rfmt>
    <rfmt sheetId="24" sqref="L67" start="0" length="0">
      <dxf>
        <alignment vertical="bottom"/>
      </dxf>
    </rfmt>
    <rfmt sheetId="24" sqref="M67" start="0" length="0">
      <dxf>
        <alignment vertical="bottom"/>
        <border outline="0">
          <right style="thin">
            <color indexed="64"/>
          </right>
        </border>
      </dxf>
    </rfmt>
    <rfmt sheetId="24" sqref="N67" start="0" length="0">
      <dxf>
        <numFmt numFmtId="3" formatCode="#,##0"/>
      </dxf>
    </rfmt>
    <rfmt sheetId="24" sqref="O67" start="0" length="0">
      <dxf/>
    </rfmt>
    <rfmt sheetId="24" sqref="P67" start="0" length="0">
      <dxf>
        <numFmt numFmtId="30" formatCode="@"/>
      </dxf>
    </rfmt>
    <rfmt sheetId="24" sqref="Q67" start="0" length="0">
      <dxf>
        <font>
          <sz val="7"/>
          <color auto="1"/>
          <name val="Arial"/>
          <family val="2"/>
          <scheme val="none"/>
        </font>
        <numFmt numFmtId="30" formatCode="@"/>
        <border outline="0">
          <right style="thin">
            <color indexed="64"/>
          </right>
        </border>
      </dxf>
    </rfmt>
    <rfmt sheetId="24" sqref="R67" start="0" length="0">
      <dxf>
        <alignment vertical="bottom"/>
      </dxf>
    </rfmt>
    <rfmt sheetId="24" sqref="S67" start="0" length="0">
      <dxf>
        <alignment vertical="bottom"/>
      </dxf>
    </rfmt>
    <rfmt sheetId="24" sqref="T67" start="0" length="0">
      <dxf>
        <alignment vertical="bottom"/>
      </dxf>
    </rfmt>
    <rfmt sheetId="24" sqref="U67" start="0" length="0">
      <dxf>
        <alignment vertical="bottom"/>
        <border outline="0">
          <right style="thin">
            <color indexed="64"/>
          </right>
        </border>
      </dxf>
    </rfmt>
    <rfmt sheetId="24" sqref="V67" start="0" length="0">
      <dxf>
        <numFmt numFmtId="3" formatCode="#,##0"/>
      </dxf>
    </rfmt>
    <rfmt sheetId="24" sqref="W67" start="0" length="0">
      <dxf/>
    </rfmt>
    <rfmt sheetId="24" sqref="X67" start="0" length="0">
      <dxf>
        <numFmt numFmtId="30" formatCode="@"/>
      </dxf>
    </rfmt>
    <rfmt sheetId="24" sqref="Y67" start="0" length="0">
      <dxf>
        <font>
          <sz val="7"/>
          <color auto="1"/>
          <name val="Arial"/>
          <family val="2"/>
          <scheme val="none"/>
        </font>
        <numFmt numFmtId="30" formatCode="@"/>
        <border outline="0">
          <right style="thin">
            <color indexed="64"/>
          </right>
        </border>
      </dxf>
    </rfmt>
    <rfmt sheetId="24" sqref="Z67" start="0" length="0">
      <dxf>
        <font>
          <sz val="7"/>
          <color auto="1"/>
          <name val="Arial"/>
          <family val="2"/>
          <scheme val="none"/>
        </font>
        <numFmt numFmtId="30" formatCode="@"/>
        <border outline="0">
          <left style="thin">
            <color indexed="64"/>
          </left>
          <right style="thin">
            <color indexed="64"/>
          </right>
        </border>
      </dxf>
    </rfmt>
  </rrc>
  <rrc rId="1767" sId="24" ref="A67:XFD67" action="deleteRow">
    <rfmt sheetId="24" xfDxf="1" sqref="A67:XFD67" start="0" length="0"/>
    <rfmt sheetId="24" sqref="A67" start="0" length="0">
      <dxf>
        <numFmt numFmtId="30" formatCode="@"/>
        <border outline="0">
          <right style="thin">
            <color indexed="64"/>
          </right>
        </border>
      </dxf>
    </rfmt>
    <rfmt sheetId="24" sqref="B67" start="0" length="0">
      <dxf>
        <alignment vertical="bottom"/>
      </dxf>
    </rfmt>
    <rfmt sheetId="24" sqref="C67" start="0" length="0">
      <dxf>
        <alignment vertical="bottom"/>
      </dxf>
    </rfmt>
    <rfmt sheetId="24" sqref="D67" start="0" length="0">
      <dxf>
        <alignment vertical="bottom"/>
      </dxf>
    </rfmt>
    <rfmt sheetId="24" sqref="E67" start="0" length="0">
      <dxf>
        <alignment vertical="bottom"/>
        <border outline="0">
          <right style="thin">
            <color indexed="64"/>
          </right>
        </border>
      </dxf>
    </rfmt>
    <rfmt sheetId="24" sqref="F67" start="0" length="0">
      <dxf>
        <numFmt numFmtId="3" formatCode="#,##0"/>
      </dxf>
    </rfmt>
    <rfmt sheetId="24" sqref="G67" start="0" length="0">
      <dxf/>
    </rfmt>
    <rfmt sheetId="24" sqref="H67" start="0" length="0">
      <dxf>
        <font>
          <sz val="7"/>
          <color auto="1"/>
          <name val="Arial"/>
          <family val="2"/>
          <scheme val="none"/>
        </font>
      </dxf>
    </rfmt>
    <rfmt sheetId="24" sqref="I67" start="0" length="0">
      <dxf>
        <font>
          <sz val="7"/>
          <color auto="1"/>
          <name val="Arial"/>
          <family val="2"/>
          <scheme val="none"/>
        </font>
        <border outline="0">
          <right style="thin">
            <color indexed="64"/>
          </right>
        </border>
      </dxf>
    </rfmt>
    <rfmt sheetId="24" sqref="J67" start="0" length="0">
      <dxf>
        <alignment vertical="bottom"/>
      </dxf>
    </rfmt>
    <rfmt sheetId="24" sqref="K67" start="0" length="0">
      <dxf>
        <alignment vertical="bottom"/>
      </dxf>
    </rfmt>
    <rfmt sheetId="24" sqref="L67" start="0" length="0">
      <dxf>
        <alignment vertical="bottom"/>
      </dxf>
    </rfmt>
    <rfmt sheetId="24" sqref="M67" start="0" length="0">
      <dxf>
        <alignment vertical="bottom"/>
        <border outline="0">
          <right style="thin">
            <color indexed="64"/>
          </right>
        </border>
      </dxf>
    </rfmt>
    <rfmt sheetId="24" sqref="N67" start="0" length="0">
      <dxf>
        <numFmt numFmtId="3" formatCode="#,##0"/>
      </dxf>
    </rfmt>
    <rfmt sheetId="24" sqref="O67" start="0" length="0">
      <dxf/>
    </rfmt>
    <rfmt sheetId="24" sqref="P67" start="0" length="0">
      <dxf>
        <numFmt numFmtId="30" formatCode="@"/>
      </dxf>
    </rfmt>
    <rfmt sheetId="24" sqref="Q67" start="0" length="0">
      <dxf>
        <font>
          <sz val="7"/>
          <color auto="1"/>
          <name val="Arial"/>
          <family val="2"/>
          <scheme val="none"/>
        </font>
        <numFmt numFmtId="30" formatCode="@"/>
        <border outline="0">
          <right style="thin">
            <color indexed="64"/>
          </right>
        </border>
      </dxf>
    </rfmt>
    <rfmt sheetId="24" sqref="R67" start="0" length="0">
      <dxf>
        <alignment vertical="bottom"/>
      </dxf>
    </rfmt>
    <rfmt sheetId="24" sqref="S67" start="0" length="0">
      <dxf>
        <alignment vertical="bottom"/>
      </dxf>
    </rfmt>
    <rfmt sheetId="24" sqref="T67" start="0" length="0">
      <dxf>
        <alignment vertical="bottom"/>
      </dxf>
    </rfmt>
    <rfmt sheetId="24" sqref="U67" start="0" length="0">
      <dxf>
        <alignment vertical="bottom"/>
        <border outline="0">
          <right style="thin">
            <color indexed="64"/>
          </right>
        </border>
      </dxf>
    </rfmt>
    <rfmt sheetId="24" sqref="V67" start="0" length="0">
      <dxf>
        <numFmt numFmtId="3" formatCode="#,##0"/>
      </dxf>
    </rfmt>
    <rfmt sheetId="24" sqref="W67" start="0" length="0">
      <dxf/>
    </rfmt>
    <rfmt sheetId="24" sqref="X67" start="0" length="0">
      <dxf>
        <numFmt numFmtId="30" formatCode="@"/>
      </dxf>
    </rfmt>
    <rfmt sheetId="24" sqref="Y67" start="0" length="0">
      <dxf>
        <font>
          <sz val="7"/>
          <color auto="1"/>
          <name val="Arial"/>
          <family val="2"/>
          <scheme val="none"/>
        </font>
        <numFmt numFmtId="30" formatCode="@"/>
        <border outline="0">
          <right style="thin">
            <color indexed="64"/>
          </right>
        </border>
      </dxf>
    </rfmt>
    <rfmt sheetId="24" sqref="Z67" start="0" length="0">
      <dxf>
        <font>
          <sz val="7"/>
          <color auto="1"/>
          <name val="Arial"/>
          <family val="2"/>
          <scheme val="none"/>
        </font>
        <numFmt numFmtId="30" formatCode="@"/>
        <border outline="0">
          <left style="thin">
            <color indexed="64"/>
          </left>
          <right style="thin">
            <color indexed="64"/>
          </right>
        </border>
      </dxf>
    </rfmt>
  </rrc>
  <rrc rId="1768" sId="24" ref="A67:XFD67" action="deleteRow">
    <rfmt sheetId="24" xfDxf="1" sqref="A67:XFD67" start="0" length="0"/>
    <rfmt sheetId="24" sqref="A67" start="0" length="0">
      <dxf>
        <numFmt numFmtId="30" formatCode="@"/>
        <border outline="0">
          <right style="thin">
            <color indexed="64"/>
          </right>
        </border>
      </dxf>
    </rfmt>
    <rfmt sheetId="24" sqref="B67" start="0" length="0">
      <dxf>
        <alignment vertical="bottom"/>
      </dxf>
    </rfmt>
    <rfmt sheetId="24" sqref="C67" start="0" length="0">
      <dxf>
        <alignment vertical="bottom"/>
      </dxf>
    </rfmt>
    <rfmt sheetId="24" sqref="D67" start="0" length="0">
      <dxf>
        <alignment vertical="bottom"/>
      </dxf>
    </rfmt>
    <rfmt sheetId="24" sqref="E67" start="0" length="0">
      <dxf>
        <alignment vertical="bottom"/>
        <border outline="0">
          <right style="thin">
            <color indexed="64"/>
          </right>
        </border>
      </dxf>
    </rfmt>
    <rfmt sheetId="24" sqref="F67" start="0" length="0">
      <dxf>
        <numFmt numFmtId="3" formatCode="#,##0"/>
      </dxf>
    </rfmt>
    <rfmt sheetId="24" sqref="G67" start="0" length="0">
      <dxf/>
    </rfmt>
    <rfmt sheetId="24" sqref="H67" start="0" length="0">
      <dxf>
        <font>
          <sz val="7"/>
          <color auto="1"/>
          <name val="Arial"/>
          <family val="2"/>
          <scheme val="none"/>
        </font>
      </dxf>
    </rfmt>
    <rfmt sheetId="24" sqref="I67" start="0" length="0">
      <dxf>
        <font>
          <sz val="7"/>
          <color auto="1"/>
          <name val="Arial"/>
          <family val="2"/>
          <scheme val="none"/>
        </font>
        <border outline="0">
          <right style="thin">
            <color indexed="64"/>
          </right>
        </border>
      </dxf>
    </rfmt>
    <rfmt sheetId="24" sqref="J67" start="0" length="0">
      <dxf>
        <alignment vertical="bottom"/>
      </dxf>
    </rfmt>
    <rfmt sheetId="24" sqref="K67" start="0" length="0">
      <dxf>
        <alignment vertical="bottom"/>
      </dxf>
    </rfmt>
    <rfmt sheetId="24" sqref="L67" start="0" length="0">
      <dxf>
        <alignment vertical="bottom"/>
      </dxf>
    </rfmt>
    <rfmt sheetId="24" sqref="M67" start="0" length="0">
      <dxf>
        <alignment vertical="bottom"/>
        <border outline="0">
          <right style="thin">
            <color indexed="64"/>
          </right>
        </border>
      </dxf>
    </rfmt>
    <rfmt sheetId="24" sqref="N67" start="0" length="0">
      <dxf>
        <numFmt numFmtId="3" formatCode="#,##0"/>
      </dxf>
    </rfmt>
    <rfmt sheetId="24" sqref="O67" start="0" length="0">
      <dxf/>
    </rfmt>
    <rfmt sheetId="24" sqref="P67" start="0" length="0">
      <dxf>
        <numFmt numFmtId="30" formatCode="@"/>
      </dxf>
    </rfmt>
    <rfmt sheetId="24" sqref="Q67" start="0" length="0">
      <dxf>
        <font>
          <sz val="7"/>
          <color auto="1"/>
          <name val="Arial"/>
          <family val="2"/>
          <scheme val="none"/>
        </font>
        <numFmt numFmtId="30" formatCode="@"/>
        <border outline="0">
          <right style="thin">
            <color indexed="64"/>
          </right>
        </border>
      </dxf>
    </rfmt>
    <rfmt sheetId="24" sqref="R67" start="0" length="0">
      <dxf>
        <alignment vertical="bottom"/>
      </dxf>
    </rfmt>
    <rfmt sheetId="24" sqref="S67" start="0" length="0">
      <dxf>
        <alignment vertical="bottom"/>
      </dxf>
    </rfmt>
    <rfmt sheetId="24" sqref="T67" start="0" length="0">
      <dxf>
        <alignment vertical="bottom"/>
      </dxf>
    </rfmt>
    <rfmt sheetId="24" sqref="U67" start="0" length="0">
      <dxf>
        <alignment vertical="bottom"/>
        <border outline="0">
          <right style="thin">
            <color indexed="64"/>
          </right>
        </border>
      </dxf>
    </rfmt>
    <rfmt sheetId="24" sqref="V67" start="0" length="0">
      <dxf>
        <numFmt numFmtId="3" formatCode="#,##0"/>
      </dxf>
    </rfmt>
    <rfmt sheetId="24" sqref="W67" start="0" length="0">
      <dxf/>
    </rfmt>
    <rfmt sheetId="24" sqref="X67" start="0" length="0">
      <dxf>
        <numFmt numFmtId="30" formatCode="@"/>
      </dxf>
    </rfmt>
    <rfmt sheetId="24" sqref="Y67" start="0" length="0">
      <dxf>
        <font>
          <sz val="7"/>
          <color auto="1"/>
          <name val="Arial"/>
          <family val="2"/>
          <scheme val="none"/>
        </font>
        <numFmt numFmtId="30" formatCode="@"/>
        <border outline="0">
          <right style="thin">
            <color indexed="64"/>
          </right>
        </border>
      </dxf>
    </rfmt>
    <rfmt sheetId="24" sqref="Z67" start="0" length="0">
      <dxf>
        <font>
          <sz val="7"/>
          <color auto="1"/>
          <name val="Arial"/>
          <family val="2"/>
          <scheme val="none"/>
        </font>
        <numFmt numFmtId="30" formatCode="@"/>
        <border outline="0">
          <left style="thin">
            <color indexed="64"/>
          </left>
          <right style="thin">
            <color indexed="64"/>
          </right>
        </border>
      </dxf>
    </rfmt>
  </rrc>
  <rcc rId="1769" sId="24">
    <oc r="A78" t="inlineStr">
      <is>
        <t>Potable water GHG emissions</t>
      </is>
    </oc>
    <nc r="A78" t="inlineStr">
      <is>
        <r>
          <t xml:space="preserve">Notes: </t>
        </r>
        <r>
          <rPr>
            <sz val="9"/>
            <rFont val="Arial"/>
            <family val="2"/>
          </rPr>
          <t>future consideration of Cascade Water Alliance may be warranted. Currently water purveyor, but controls some future supply options (Lake Tapps)</t>
        </r>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BEC6399-AE85-4D88-8FBA-3674E2F30307}" action="delete"/>
  <rdn rId="0" localSheetId="2" customView="1" name="Z_9BEC6399_AE85_4D88_8FBA_3674E2F30307_.wvu.Rows" hidden="1" oldHidden="1">
    <formula>'03-08_SectorTbl'!$104:$104</formula>
    <oldFormula>'03-08_SectorTbl'!$104:$104</oldFormula>
  </rdn>
  <rdn rId="0" localSheetId="2" customView="1" name="Z_9BEC6399_AE85_4D88_8FBA_3674E2F30307_.wvu.Cols" hidden="1" oldHidden="1">
    <formula>'03-08_SectorTbl'!$BD:$BF,'03-08_SectorTbl'!$BO:$BO</formula>
    <oldFormula>'03-08_SectorTbl'!$BD:$BF,'03-08_SectorTbl'!$BO:$BO</oldFormula>
  </rdn>
  <rdn rId="0" localSheetId="4" customView="1" name="Z_9BEC6399_AE85_4D88_8FBA_3674E2F30307_.wvu.Rows" hidden="1" oldHidden="1">
    <formula>frontmatter!$20:$20</formula>
    <oldFormula>frontmatter!$20:$20</oldFormula>
  </rdn>
  <rdn rId="0" localSheetId="6" customView="1" name="Z_9BEC6399_AE85_4D88_8FBA_3674E2F30307_.wvu.FilterData" hidden="1" oldHidden="1">
    <formula>USGPC_Scope!$A$4:$D$55</formula>
    <oldFormula>USGPC_Scope!$A$4:$D$55</oldFormula>
  </rdn>
  <rdn rId="0" localSheetId="7" customView="1" name="Z_9BEC6399_AE85_4D88_8FBA_3674E2F30307_.wvu.FilterData" hidden="1" oldHidden="1">
    <formula>Summary_RptTbls!$A$5:$A$43</formula>
    <oldFormula>Summary_RptTbls!$A$5:$A$43</oldFormula>
  </rdn>
  <rcv guid="{9BEC6399-AE85-4D88-8FBA-3674E2F30307}"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9" sqref="F50:F53">
    <dxf>
      <numFmt numFmtId="35" formatCode="_(* #,##0.00_);_(* \(#,##0.00\);_(* &quot;-&quot;??_);_(@_)"/>
    </dxf>
  </rfmt>
  <rfmt sheetId="9" sqref="F50:F53">
    <dxf>
      <numFmt numFmtId="182" formatCode="_(* #,##0.0_);_(* \(#,##0.0\);_(* &quot;-&quot;??_);_(@_)"/>
    </dxf>
  </rfmt>
  <rfmt sheetId="9" sqref="F50:F53">
    <dxf>
      <numFmt numFmtId="181" formatCode="_(* #,##0_);_(* \(#,##0\);_(* &quot;-&quot;??_);_(@_)"/>
    </dxf>
  </rfmt>
  <rfmt sheetId="9" sqref="F50" start="0" length="0">
    <dxf>
      <numFmt numFmtId="164" formatCode="#,##0.000"/>
      <fill>
        <patternFill patternType="none">
          <bgColor indexed="65"/>
        </patternFill>
      </fill>
    </dxf>
  </rfmt>
  <rfmt sheetId="9" sqref="F51" start="0" length="0">
    <dxf>
      <numFmt numFmtId="164" formatCode="#,##0.000"/>
      <fill>
        <patternFill patternType="none">
          <bgColor indexed="65"/>
        </patternFill>
      </fill>
    </dxf>
  </rfmt>
  <rfmt sheetId="9" sqref="F52" start="0" length="0">
    <dxf>
      <numFmt numFmtId="164" formatCode="#,##0.000"/>
      <fill>
        <patternFill patternType="none">
          <bgColor indexed="65"/>
        </patternFill>
      </fill>
    </dxf>
  </rfmt>
  <rfmt sheetId="9" sqref="F53" start="0" length="0">
    <dxf>
      <numFmt numFmtId="164" formatCode="#,##0.000"/>
      <fill>
        <patternFill patternType="none">
          <bgColor indexed="65"/>
        </patternFill>
      </fill>
    </dxf>
  </rfmt>
  <rfmt sheetId="9" sqref="F50:F53">
    <dxf>
      <numFmt numFmtId="175" formatCode="#,##0.0000"/>
    </dxf>
  </rfmt>
  <rfmt sheetId="9" sqref="F50:F53">
    <dxf>
      <numFmt numFmtId="164" formatCode="#,##0.000"/>
    </dxf>
  </rfmt>
  <rfmt sheetId="9" sqref="F50:F53">
    <dxf>
      <numFmt numFmtId="4" formatCode="#,##0.00"/>
    </dxf>
  </rfmt>
  <rfmt sheetId="9" sqref="F50:F53">
    <dxf>
      <numFmt numFmtId="165" formatCode="#,##0.0"/>
    </dxf>
  </rfmt>
  <rfmt sheetId="9" sqref="F50:F53">
    <dxf>
      <numFmt numFmtId="3" formatCode="#,##0"/>
    </dxf>
  </rfmt>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4" cell="H25" guid="{00000000-0000-0000-0000-000000000000}" action="delete" alwaysShow="1" author="Andrea Martin"/>
  <rfmt sheetId="24" sqref="H25">
    <dxf>
      <fill>
        <patternFill patternType="none">
          <bgColor auto="1"/>
        </patternFill>
      </fill>
    </dxf>
  </rfmt>
  <rcmt sheetId="24" cell="R6" guid="{00000000-0000-0000-0000-000000000000}" action="delete" alwaysShow="1" author="Andrea Martin"/>
  <rfmt sheetId="9" sqref="E8" start="0" length="0">
    <dxf>
      <font>
        <sz val="9"/>
        <color auto="1"/>
        <name val="Arial"/>
        <family val="2"/>
        <scheme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9" odxf="1" dxf="1">
    <nc r="H11" t="inlineStr">
      <is>
        <t>hi andrea 2</t>
      </is>
    </nc>
    <odxf>
      <font/>
    </odxf>
    <ndxf>
      <font>
        <sz val="9"/>
        <color auto="1"/>
        <name val="Arial"/>
        <scheme val="none"/>
      </font>
    </ndxf>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4" cell="B27" guid="{011B045B-77F7-4EA8-8433-AE75575F0C42}" alwaysShow="1" author="Andrea Martin" oldLength="69" newLength="215"/>
  <rcmt sheetId="24" cell="Q72" guid="{4617818E-1D9E-455D-BFDC-4908AF47B934}" alwaysShow="1" author="Andrea Martin" newLength="23"/>
  <rcmt sheetId="24" cell="C73" guid="{7AEAEBF1-C25D-4DAD-A73F-DA76FBB62541}" alwaysShow="1" author="Andrea Martin" newLength="50"/>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0" sId="8" xfDxf="1" dxf="1">
    <nc r="A14" t="inlineStr">
      <is>
        <t>Water-Potable</t>
      </is>
    </nc>
  </rcc>
  <rcc rId="1781" sId="8">
    <nc r="B14" t="inlineStr">
      <is>
        <t>Andrea M</t>
      </is>
    </nc>
  </rcc>
  <rcc rId="1782" sId="8" odxf="1" dxf="1" numFmtId="19">
    <nc r="C14">
      <v>42874</v>
    </nc>
    <odxf>
      <numFmt numFmtId="0" formatCode="General"/>
    </odxf>
    <ndxf>
      <numFmt numFmtId="19" formatCode="m/d/yyyy"/>
    </ndxf>
  </rcc>
  <rcc rId="1783" sId="25">
    <oc r="A21" t="inlineStr">
      <is>
        <t>Equation WW.1.a of the Community Protocol</t>
      </is>
    </oc>
    <nc r="A21" t="inlineStr">
      <is>
        <t>Equation WW.1.a of the U.S. Community Protocol</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5" cell="C24" guid="{00000000-0000-0000-0000-000000000000}" action="delete" alwaysShow="1" author="Andrea Martin"/>
  <rcc rId="1784" sId="25">
    <oc r="C24" t="inlineStr">
      <is>
        <t>Kg/MMBTU</t>
      </is>
    </oc>
    <nc r="C24" t="inlineStr">
      <is>
        <t>kg/MMBTU</t>
      </is>
    </nc>
  </rcc>
  <rcc rId="1785" sId="25">
    <oc r="E113" t="inlineStr">
      <is>
        <t>Row 6</t>
      </is>
    </oc>
    <nc r="E113" t="inlineStr">
      <is>
        <t>Row 6 (King Co Ntrl Res Wastewater Treatment)</t>
      </is>
    </nc>
  </rcc>
  <rfmt sheetId="25" sqref="E113" start="0" length="2147483647">
    <dxf>
      <font>
        <sz val="8"/>
        <family val="2"/>
      </font>
    </dxf>
  </rfmt>
  <rfmt sheetId="25" sqref="E113" start="0" length="2147483647">
    <dxf>
      <font>
        <sz val="9"/>
        <family val="2"/>
      </font>
    </dxf>
  </rfmt>
  <rcc rId="1786" sId="25" odxf="1" dxf="1">
    <oc r="I113" t="inlineStr">
      <is>
        <t>Row 6</t>
      </is>
    </oc>
    <nc r="I113" t="inlineStr">
      <is>
        <t>Row 6 (King Co Ntrl Res Wastewater Treatment)</t>
      </is>
    </nc>
    <odxf>
      <font>
        <sz val="7"/>
        <family val="2"/>
      </font>
    </odxf>
    <ndxf>
      <font>
        <sz val="9"/>
        <color auto="1"/>
        <name val="Arial"/>
        <family val="2"/>
        <scheme val="none"/>
      </font>
    </ndxf>
  </rcc>
  <rcc rId="1787" sId="25" odxf="1" dxf="1">
    <oc r="M113" t="inlineStr">
      <is>
        <t>Row 6</t>
      </is>
    </oc>
    <nc r="M113" t="inlineStr">
      <is>
        <t>Row 6 (King Co Ntrl Res Wastewater Treatment)</t>
      </is>
    </nc>
    <odxf>
      <font>
        <sz val="7"/>
        <family val="2"/>
      </font>
    </odxf>
    <ndxf>
      <font>
        <sz val="9"/>
        <color auto="1"/>
        <name val="Arial"/>
        <family val="2"/>
        <scheme val="none"/>
      </font>
    </ndxf>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K76">
    <dxf>
      <numFmt numFmtId="170" formatCode="0.000"/>
    </dxf>
  </rfmt>
  <rfmt sheetId="26" sqref="K76">
    <dxf>
      <numFmt numFmtId="166" formatCode="0.0000"/>
    </dxf>
  </rfmt>
  <rfmt sheetId="26" sqref="K76">
    <dxf>
      <numFmt numFmtId="170" formatCode="0.000"/>
    </dxf>
  </rfmt>
  <rfmt sheetId="26" sqref="K76">
    <dxf>
      <numFmt numFmtId="2" formatCode="0.00"/>
    </dxf>
  </rfmt>
  <rfmt sheetId="26" sqref="K76">
    <dxf>
      <numFmt numFmtId="169" formatCode="0.0"/>
    </dxf>
  </rfmt>
  <rfmt sheetId="26" sqref="K76">
    <dxf>
      <numFmt numFmtId="1" formatCode="0"/>
    </dxf>
  </rfmt>
  <rfmt sheetId="26" sqref="K75">
    <dxf>
      <numFmt numFmtId="169" formatCode="0.0"/>
    </dxf>
  </rfmt>
  <rfmt sheetId="26" sqref="K75">
    <dxf>
      <numFmt numFmtId="1" formatCode="0"/>
    </dxf>
  </rfmt>
  <rfmt sheetId="26" sqref="K74">
    <dxf>
      <numFmt numFmtId="170" formatCode="0.000"/>
    </dxf>
  </rfmt>
  <rfmt sheetId="26" sqref="K74">
    <dxf>
      <numFmt numFmtId="2" formatCode="0.00"/>
    </dxf>
  </rfmt>
  <rfmt sheetId="26" sqref="K74">
    <dxf>
      <numFmt numFmtId="169" formatCode="0.0"/>
    </dxf>
  </rfmt>
  <rfmt sheetId="26" sqref="K74">
    <dxf>
      <numFmt numFmtId="1" formatCode="0"/>
    </dxf>
  </rfmt>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6" cell="K119" guid="{E2BECDEE-4904-4D85-9145-01A24E60F0F1}" alwaysShow="1" author="Andrea Martin" oldLength="112" newLength="44"/>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6" cell="J86" guid="{00000000-0000-0000-0000-000000000000}" action="delete" alwaysShow="1" author="Andrea Martin"/>
  <rfmt sheetId="26" s="1" sqref="N142" start="0" length="0">
    <dxf>
      <font>
        <u/>
        <sz val="9"/>
        <color theme="10"/>
        <name val="Calibri"/>
        <family val="2"/>
        <scheme val="minor"/>
      </font>
      <border outline="0">
        <right style="thin">
          <color indexed="64"/>
        </right>
      </border>
    </dxf>
  </rfmt>
  <rfmt sheetId="26" s="1" sqref="N143" start="0" length="0">
    <dxf>
      <font>
        <u/>
        <sz val="9"/>
        <color theme="10"/>
        <name val="Calibri"/>
        <family val="2"/>
        <scheme val="minor"/>
      </font>
      <border outline="0">
        <right style="thin">
          <color indexed="64"/>
        </right>
      </border>
    </dxf>
  </rfmt>
  <rfmt sheetId="26" s="1" sqref="N144" start="0" length="0">
    <dxf>
      <font>
        <u/>
        <sz val="9"/>
        <color theme="10"/>
        <name val="Calibri"/>
        <family val="2"/>
        <scheme val="minor"/>
      </font>
      <border outline="0">
        <right style="thin">
          <color indexed="64"/>
        </right>
      </border>
    </dxf>
  </rfmt>
  <rfmt sheetId="26" s="1" sqref="N145" start="0" length="0">
    <dxf>
      <font>
        <u/>
        <sz val="9"/>
        <color theme="10"/>
        <name val="Calibri"/>
        <family val="2"/>
        <scheme val="minor"/>
      </font>
    </dxf>
  </rfmt>
  <rfmt sheetId="26" s="1" sqref="N142" start="0" length="0">
    <dxf>
      <font>
        <u val="none"/>
        <sz val="9"/>
        <color auto="1"/>
        <name val="Calibri"/>
        <family val="2"/>
        <scheme val="minor"/>
      </font>
    </dxf>
  </rfmt>
  <rfmt sheetId="26" s="1" sqref="N143" start="0" length="0">
    <dxf>
      <font>
        <u val="none"/>
        <sz val="9"/>
        <color auto="1"/>
        <name val="Calibri"/>
        <family val="2"/>
        <scheme val="minor"/>
      </font>
    </dxf>
  </rfmt>
  <rfmt sheetId="26" s="1" sqref="N144" start="0" length="0">
    <dxf>
      <font>
        <u val="none"/>
        <sz val="9"/>
        <color auto="1"/>
        <name val="Calibri"/>
        <family val="2"/>
        <scheme val="minor"/>
      </font>
    </dxf>
  </rfmt>
  <rfmt sheetId="26" s="1" sqref="N145" start="0" length="0">
    <dxf>
      <font>
        <u val="none"/>
        <sz val="9"/>
        <color auto="1"/>
        <name val="Calibri"/>
        <family val="2"/>
        <scheme val="minor"/>
      </font>
    </dxf>
  </rfmt>
  <rcmt sheetId="26" cell="E137" guid="{00000000-0000-0000-0000-000000000000}" action="delete" alwaysShow="1" author="Andrea Martin"/>
  <rcmt sheetId="26" cell="J86" guid="{29B5D855-A4D6-426B-8FB8-8E4B8FB5918E}" alwaysShow="1" author="Andrea Martin" newLength="62"/>
  <rcmt sheetId="26" cell="N137" guid="{95591AC5-9E4A-43B1-9D35-6AAC79C510FE}" alwaysShow="1" author="Andrea Martin" newLength="42"/>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6" cell="F140" guid="{A5DAE03F-8E90-4DA3-9EC7-D1863E58EE97}" alwaysShow="1" author="Andrea Martin" newLength="126"/>
  <rcmt sheetId="26" cell="J140" guid="{990534A4-05E9-4D02-9C60-DB7D1723E41F}" alwaysShow="1" author="Andrea Martin" oldLength="49" newLength="128"/>
  <rcmt sheetId="26" cell="F142" guid="{435D8A83-651D-41F1-BAF5-7C5B3D17986F}" alwaysShow="1" author="Andrea Martin" newLength="140"/>
  <rcmt sheetId="26" cell="K150" guid="{C288FEE7-BFA4-4E48-A485-E1C8FA0A1FF7}" alwaysShow="1" author="Andrea Martin" newLength="60"/>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8" sId="8" xfDxf="1" dxf="1">
    <nc r="A15" t="inlineStr">
      <is>
        <t>Agr</t>
      </is>
    </nc>
  </rcc>
  <rcc rId="1799" sId="8">
    <nc r="B15" t="inlineStr">
      <is>
        <t>Andrea M</t>
      </is>
    </nc>
  </rcc>
  <rm rId="1800" sheetId="8" source="A15:B15" destination="A16:B16" sourceSheetId="8"/>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N26" start="0" length="0">
    <dxf>
      <numFmt numFmtId="30" formatCode="@"/>
      <border outline="0">
        <left/>
      </border>
    </dxf>
  </rfmt>
  <rfmt sheetId="26" sqref="N27" start="0" length="0">
    <dxf>
      <font>
        <b val="0"/>
        <name val="Calibri"/>
        <family val="2"/>
        <scheme val="minor"/>
      </font>
    </dxf>
  </rfmt>
  <rfmt sheetId="26" sqref="N30" start="0" length="0">
    <dxf>
      <numFmt numFmtId="30" formatCode="@"/>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9">
    <oc r="H10" t="inlineStr">
      <is>
        <t>hi andrea</t>
      </is>
    </oc>
    <nc r="H10"/>
  </rcc>
  <rcc rId="34" sId="9">
    <oc r="H11" t="inlineStr">
      <is>
        <t>hi andrea 2</t>
      </is>
    </oc>
    <nc r="H11"/>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6" cell="M13" guid="{6470815D-7F5E-4BF0-B6FD-2A59B3DA33F6}" alwaysShow="1" author="Andrea Martin" newLength="56"/>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N44" start="0" length="0">
    <dxf>
      <border outline="0">
        <right style="thin">
          <color indexed="64"/>
        </right>
      </border>
    </dxf>
  </rfmt>
  <rfmt sheetId="26" sqref="N45" start="0" length="0">
    <dxf>
      <border outline="0">
        <right style="thin">
          <color indexed="64"/>
        </right>
      </border>
    </dxf>
  </rfmt>
  <rfmt sheetId="26" sqref="N46" start="0" length="0">
    <dxf>
      <border outline="0">
        <right style="thin">
          <color indexed="64"/>
        </right>
      </border>
    </dxf>
  </rfmt>
  <rfmt sheetId="26" sqref="N47" start="0" length="0">
    <dxf>
      <border outline="0">
        <right style="thin">
          <color indexed="64"/>
        </right>
      </border>
    </dxf>
  </rfmt>
  <rfmt sheetId="26" sqref="N48" start="0" length="0">
    <dxf>
      <border outline="0">
        <right style="thin">
          <color indexed="64"/>
        </right>
      </border>
    </dxf>
  </rfmt>
  <rfmt sheetId="26" sqref="N49" start="0" length="0">
    <dxf>
      <border outline="0">
        <right style="thin">
          <color indexed="64"/>
        </right>
      </border>
    </dxf>
  </rfmt>
  <rfmt sheetId="26" sqref="N52" start="0" length="0">
    <dxf>
      <border outline="0">
        <right style="thin">
          <color indexed="64"/>
        </right>
      </border>
    </dxf>
  </rfmt>
  <rfmt sheetId="26" sqref="N57" start="0" length="0">
    <dxf>
      <border outline="0">
        <right style="thin">
          <color indexed="64"/>
        </right>
      </border>
    </dxf>
  </rfmt>
  <rfmt sheetId="26" sqref="N58" start="0" length="0">
    <dxf>
      <border outline="0">
        <right style="thin">
          <color indexed="64"/>
        </right>
      </border>
    </dxf>
  </rfmt>
  <rfmt sheetId="26" sqref="N59" start="0" length="0">
    <dxf>
      <border outline="0">
        <right style="thin">
          <color indexed="64"/>
        </right>
      </border>
    </dxf>
  </rfmt>
  <rfmt sheetId="26" sqref="N60" start="0" length="0">
    <dxf>
      <border outline="0">
        <right style="thin">
          <color indexed="64"/>
        </right>
      </border>
    </dxf>
  </rfmt>
  <rfmt sheetId="26" sqref="N61" start="0" length="0">
    <dxf>
      <border outline="0">
        <right style="thin">
          <color indexed="64"/>
        </right>
      </border>
    </dxf>
  </rfmt>
  <rfmt sheetId="26" sqref="N62" start="0" length="0">
    <dxf>
      <border outline="0">
        <right style="thin">
          <color indexed="64"/>
        </right>
      </border>
    </dxf>
  </rfmt>
  <rcmt sheetId="26" cell="N51" guid="{6F579FCE-D587-4D08-A084-B08C8FCC6D55}" alwaysShow="1" author="Andrea Martin" newLength="54"/>
  <rdn rId="0" localSheetId="3" customView="1" name="Z_15CC7F3D_99AB_49C1_AC00_E04D3FE3FBC1_.wvu.Cols" hidden="1"/>
  <rdn rId="0" localSheetId="4" customView="1" name="Z_15CC7F3D_99AB_49C1_AC00_E04D3FE3FBC1_.wvu.Cols" hidden="1"/>
  <rdn rId="0" localSheetId="5" customView="1" name="Z_15CC7F3D_99AB_49C1_AC00_E04D3FE3FBC1_.wvu.Rows" hidden="1"/>
  <rdn rId="0" localSheetId="5" customView="1" name="Z_15CC7F3D_99AB_49C1_AC00_E04D3FE3FBC1_.wvu.Cols" hidden="1"/>
  <rdn rId="0" localSheetId="6" customView="1" name="Z_15CC7F3D_99AB_49C1_AC00_E04D3FE3FBC1_.wvu.Rows" hidden="1"/>
  <rdn rId="0" localSheetId="6" customView="1" name="Z_15CC7F3D_99AB_49C1_AC00_E04D3FE3FBC1_.wvu.Cols" hidden="1"/>
  <rdn rId="0" localSheetId="22" customView="1" name="Z_15CC7F3D_99AB_49C1_AC00_E04D3FE3FBC1_.wvu.Rows" hidden="1"/>
  <rdn rId="0" localSheetId="22" customView="1" name="Z_15CC7F3D_99AB_49C1_AC00_E04D3FE3FBC1_.wvu.Cols" hidden="1"/>
  <rdn rId="0" localSheetId="22" customView="1" name="Z_15CC7F3D_99AB_49C1_AC00_E04D3FE3FBC1_.wvu.FilterData" hidden="1"/>
  <rdn rId="0" localSheetId="24" customView="1" name="Z_15CC7F3D_99AB_49C1_AC00_E04D3FE3FBC1_.wvu.Rows" hidden="1"/>
  <rdn rId="0" localSheetId="24" customView="1" name="Z_15CC7F3D_99AB_49C1_AC00_E04D3FE3FBC1_.wvu.Cols" hidden="1"/>
  <rdn rId="0" localSheetId="24" customView="1" name="Z_15CC7F3D_99AB_49C1_AC00_E04D3FE3FBC1_.wvu.FilterData" hidden="1"/>
  <rdn rId="0" localSheetId="25" customView="1" name="Z_15CC7F3D_99AB_49C1_AC00_E04D3FE3FBC1_.wvu.Rows" hidden="1"/>
  <rdn rId="0" localSheetId="25" customView="1" name="Z_15CC7F3D_99AB_49C1_AC00_E04D3FE3FBC1_.wvu.Cols" hidden="1"/>
  <rdn rId="0" localSheetId="25" customView="1" name="Z_15CC7F3D_99AB_49C1_AC00_E04D3FE3FBC1_.wvu.FilterData" hidden="1"/>
  <rcv guid="{15CC7F3D-99AB-49C1-AC00-E04D3FE3FBC1}" action="delete"/>
  <rdn rId="0" localSheetId="2" customView="1" name="Z_15CC7F3D_99AB_49C1_AC00_E04D3FE3FBC1_.wvu.Rows" hidden="1" oldHidden="1">
    <formula>'03-08_SectorTbl'!$104:$104</formula>
    <oldFormula>'03-08_SectorTbl'!$104:$104</oldFormula>
  </rdn>
  <rdn rId="0" localSheetId="2" customView="1" name="Z_15CC7F3D_99AB_49C1_AC00_E04D3FE3FBC1_.wvu.Cols" hidden="1" oldHidden="1">
    <formula>'03-08_SectorTbl'!$BD:$BF,'03-08_SectorTbl'!$BO:$BO</formula>
    <oldFormula>'03-08_SectorTbl'!$BD:$BF,'03-08_SectorTbl'!$BO:$BO</oldFormula>
  </rdn>
  <rdn rId="0" localSheetId="4" customView="1" name="Z_15CC7F3D_99AB_49C1_AC00_E04D3FE3FBC1_.wvu.Rows" hidden="1" oldHidden="1">
    <formula>frontmatter!$20:$20</formula>
    <oldFormula>frontmatter!$20:$20</oldFormula>
  </rdn>
  <rdn rId="0" localSheetId="6" customView="1" name="Z_15CC7F3D_99AB_49C1_AC00_E04D3FE3FBC1_.wvu.FilterData" hidden="1" oldHidden="1">
    <formula>USGPC_Scope!$A$4:$D$55</formula>
    <oldFormula>USGPC_Scope!$A$4:$D$55</oldFormula>
  </rdn>
  <rdn rId="0" localSheetId="7" customView="1" name="Z_15CC7F3D_99AB_49C1_AC00_E04D3FE3FBC1_.wvu.FilterData" hidden="1" oldHidden="1">
    <formula>Summary_RptTbls!$A$5:$A$43</formula>
    <oldFormula>Summary_RptTbls!$A$5:$A$43</oldFormula>
  </rdn>
  <rcv guid="{15CC7F3D-99AB-49C1-AC00-E04D3FE3FBC1}"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1" sId="26">
    <oc r="K128">
      <f>SUM(K119:K127)</f>
    </oc>
    <nc r="K128">
      <f>SUM(K119:K127)</f>
    </nc>
  </rcc>
  <rcc rId="1832" sId="24">
    <oc r="F11">
      <f>SUM(F9:F10)*1000000</f>
    </oc>
    <nc r="F11">
      <f>V11*B13</f>
    </nc>
  </rcc>
  <rcc rId="1833" sId="24">
    <oc r="N11">
      <f>SUM(N9:N10)*1000000</f>
    </oc>
    <nc r="N11">
      <f>V11*J13</f>
    </nc>
  </rcc>
  <rcmt sheetId="24" cell="N12" guid="{00000000-0000-0000-0000-000000000000}" action="delete" alwaysShow="1" author="Andrea Martin"/>
  <rcc rId="1834" sId="24">
    <oc r="F12">
      <f>1400000*B13</f>
    </oc>
    <nc r="F12">
      <f>V12*B13</f>
    </nc>
  </rcc>
  <rcc rId="1835" sId="24">
    <oc r="N12">
      <f>1400000*J13</f>
    </oc>
    <nc r="N12">
      <f>V12*J13</f>
    </nc>
  </rcc>
  <rcmt sheetId="24" cell="F12" guid="{00000000-0000-0000-0000-000000000000}" action="delete" alwaysShow="1" author="Andrea Martin"/>
  <rcmt sheetId="24" cell="F9" guid="{00000000-0000-0000-0000-000000000000}" action="delete" alwaysShow="1" author="Andrea Martin"/>
  <rcc rId="1836" sId="24" numFmtId="4">
    <oc r="B22">
      <v>0</v>
    </oc>
    <nc r="B22">
      <f>F9*F18</f>
    </nc>
  </rcc>
  <rcmt sheetId="24" cell="B22" guid="{00000000-0000-0000-0000-000000000000}" action="delete" alwaysShow="1" author="Andrea Martin"/>
  <rcc rId="1837" sId="24" numFmtId="4">
    <oc r="J22">
      <v>0</v>
    </oc>
    <nc r="J22">
      <f>N9*N18</f>
    </nc>
  </rcc>
  <rcmt sheetId="24" cell="X11" guid="{00000000-0000-0000-0000-000000000000}" action="delete" alwaysShow="1" author="Andrea Martin"/>
  <rcc rId="1838" sId="24">
    <oc r="C64" t="inlineStr">
      <is>
        <t>kWh/MG</t>
      </is>
    </oc>
    <nc r="C64" t="inlineStr">
      <is>
        <t>kWh/MG/day</t>
      </is>
    </nc>
  </rcc>
  <rcmt sheetId="24" cell="K64" guid="{00000000-0000-0000-0000-000000000000}" action="delete" alwaysShow="1" author="Andrea Martin"/>
  <rcmt sheetId="24" cell="C64" guid="{00000000-0000-0000-0000-000000000000}" action="delete" alwaysShow="1" author="Andrea Martin"/>
  <rcc rId="1839" sId="24">
    <oc r="K64" t="inlineStr">
      <is>
        <t>kWh/MG</t>
      </is>
    </oc>
    <nc r="K64" t="inlineStr">
      <is>
        <t>kWh/MG/day</t>
      </is>
    </nc>
  </rcc>
  <rcc rId="1840" sId="24">
    <oc r="S64" t="inlineStr">
      <is>
        <t>kWh/MG</t>
      </is>
    </oc>
    <nc r="S64" t="inlineStr">
      <is>
        <t>kWh/MG/day</t>
      </is>
    </nc>
  </rcc>
  <rcc rId="1841" sId="24">
    <oc r="C73" t="inlineStr">
      <is>
        <t>kWh</t>
      </is>
    </oc>
    <nc r="C73" t="inlineStr">
      <is>
        <t>kWh/day</t>
      </is>
    </nc>
  </rcc>
  <rcmt sheetId="24" cell="C73" guid="{00000000-0000-0000-0000-000000000000}" action="delete" alwaysShow="1" author="Andrea Martin"/>
  <rcc rId="1842" sId="24">
    <nc r="L73" t="inlineStr">
      <is>
        <t>kWh/day</t>
      </is>
    </nc>
  </rcc>
  <rcc rId="1843" sId="24">
    <nc r="T73" t="inlineStr">
      <is>
        <t>kWh/day</t>
      </is>
    </nc>
  </rcc>
  <rcc rId="1844" sId="24" odxf="1" dxf="1">
    <nc r="I72" t="inlineStr">
      <is>
        <t>U.S. Community Protocol Table WW.14.4</t>
      </is>
    </nc>
    <odxf>
      <font>
        <sz val="7"/>
        <family val="2"/>
      </font>
      <numFmt numFmtId="30" formatCode="@"/>
      <alignment horizontal="general" vertical="top" wrapText="1"/>
    </odxf>
    <ndxf>
      <font>
        <sz val="9"/>
        <color auto="1"/>
        <name val="Arial"/>
        <family val="2"/>
        <scheme val="none"/>
      </font>
      <numFmt numFmtId="0" formatCode="General"/>
      <alignment horizontal="left" vertical="bottom" wrapText="0"/>
    </ndxf>
  </rcc>
  <rcc rId="1845" sId="24" odxf="1" dxf="1">
    <nc r="Q72" t="inlineStr">
      <is>
        <t>U.S. Community Protocol Table WW.14.4</t>
      </is>
    </nc>
    <odxf>
      <font>
        <sz val="7"/>
        <family val="2"/>
      </font>
      <numFmt numFmtId="30" formatCode="@"/>
      <alignment horizontal="general" vertical="top"/>
    </odxf>
    <ndxf>
      <font>
        <sz val="9"/>
        <color auto="1"/>
        <name val="Arial"/>
        <family val="2"/>
        <scheme val="none"/>
      </font>
      <numFmt numFmtId="0" formatCode="General"/>
      <alignment horizontal="left" vertical="bottom"/>
    </ndxf>
  </rcc>
  <rcmt sheetId="24" cell="Q72" guid="{00000000-0000-0000-0000-000000000000}" action="delete" alwaysShow="1" author="Andrea Martin"/>
  <rcc rId="1846" sId="24" odxf="1" dxf="1">
    <nc r="Y72" t="inlineStr">
      <is>
        <t>U.S. Community Protocol Table WW.14.4</t>
      </is>
    </nc>
    <odxf>
      <font>
        <sz val="7"/>
        <family val="2"/>
      </font>
      <numFmt numFmtId="30" formatCode="@"/>
      <alignment horizontal="general" vertical="top"/>
    </odxf>
    <ndxf>
      <font>
        <sz val="9"/>
        <color auto="1"/>
        <name val="Arial"/>
        <family val="2"/>
        <scheme val="none"/>
      </font>
      <numFmt numFmtId="0" formatCode="General"/>
      <alignment horizontal="left" vertical="bottom"/>
    </ndxf>
  </rcc>
  <rcmt sheetId="24" cell="X72" guid="{00000000-0000-0000-0000-000000000000}" action="delete" alwaysShow="1" author="Andrea Martin"/>
  <rcc rId="1847" sId="24">
    <oc r="J27">
      <f>J26*0.001*Electricity!N48*tonTOMg</f>
    </oc>
    <nc r="J27">
      <f>J26*0.001*Electricity!F48*tonTOMg</f>
    </nc>
  </rcc>
  <rcc rId="1848" sId="24">
    <oc r="B27">
      <f>B26*0.001*Electricity!N48*tonTOMg</f>
    </oc>
    <nc r="B27">
      <f>B26*0.001*Electricity!B48*tonTOMg</f>
    </nc>
  </rcc>
  <rcc rId="1849" sId="24">
    <oc r="C27" t="inlineStr">
      <is>
        <r>
          <t>MTCO</t>
        </r>
        <r>
          <rPr>
            <vertAlign val="subscript"/>
            <sz val="9"/>
            <rFont val="Arial"/>
            <family val="2"/>
          </rPr>
          <t>2</t>
        </r>
        <r>
          <rPr>
            <sz val="9"/>
            <rFont val="Arial"/>
            <family val="2"/>
          </rPr>
          <t>e/day</t>
        </r>
      </is>
    </oc>
    <nc r="C27" t="inlineStr">
      <is>
        <r>
          <t>MgCO</t>
        </r>
        <r>
          <rPr>
            <vertAlign val="subscript"/>
            <sz val="9"/>
            <rFont val="Arial"/>
            <family val="2"/>
          </rPr>
          <t>2</t>
        </r>
        <r>
          <rPr>
            <sz val="9"/>
            <rFont val="Arial"/>
            <family val="2"/>
          </rPr>
          <t>e/day</t>
        </r>
      </is>
    </nc>
  </rcc>
  <rcc rId="1850" sId="24">
    <oc r="K27" t="inlineStr">
      <is>
        <r>
          <t>MTCO</t>
        </r>
        <r>
          <rPr>
            <vertAlign val="subscript"/>
            <sz val="9"/>
            <rFont val="Arial"/>
            <family val="2"/>
          </rPr>
          <t>2</t>
        </r>
        <r>
          <rPr>
            <sz val="9"/>
            <rFont val="Arial"/>
            <family val="2"/>
          </rPr>
          <t>e/day</t>
        </r>
      </is>
    </oc>
    <nc r="K27" t="inlineStr">
      <is>
        <r>
          <t>MgCO</t>
        </r>
        <r>
          <rPr>
            <vertAlign val="subscript"/>
            <sz val="9"/>
            <rFont val="Arial"/>
            <family val="2"/>
          </rPr>
          <t>2</t>
        </r>
        <r>
          <rPr>
            <sz val="9"/>
            <rFont val="Arial"/>
            <family val="2"/>
          </rPr>
          <t>e/day</t>
        </r>
      </is>
    </nc>
  </rcc>
  <rcc rId="1851" sId="24">
    <oc r="S27" t="inlineStr">
      <is>
        <r>
          <t>MTCO</t>
        </r>
        <r>
          <rPr>
            <vertAlign val="subscript"/>
            <sz val="9"/>
            <rFont val="Arial"/>
            <family val="2"/>
          </rPr>
          <t>2</t>
        </r>
        <r>
          <rPr>
            <sz val="9"/>
            <rFont val="Arial"/>
            <family val="2"/>
          </rPr>
          <t>e/day</t>
        </r>
      </is>
    </oc>
    <nc r="S27" t="inlineStr">
      <is>
        <r>
          <t>MgCO</t>
        </r>
        <r>
          <rPr>
            <vertAlign val="subscript"/>
            <sz val="9"/>
            <rFont val="Arial"/>
            <family val="2"/>
          </rPr>
          <t>2</t>
        </r>
        <r>
          <rPr>
            <sz val="9"/>
            <rFont val="Arial"/>
            <family val="2"/>
          </rPr>
          <t>e/day</t>
        </r>
      </is>
    </nc>
  </rcc>
  <rcc rId="1852" sId="24">
    <oc r="S39" t="inlineStr">
      <is>
        <r>
          <t>MTCO</t>
        </r>
        <r>
          <rPr>
            <vertAlign val="subscript"/>
            <sz val="9"/>
            <rFont val="Arial"/>
            <family val="2"/>
          </rPr>
          <t>2</t>
        </r>
        <r>
          <rPr>
            <sz val="9"/>
            <rFont val="Arial"/>
            <family val="2"/>
          </rPr>
          <t>e/day</t>
        </r>
      </is>
    </oc>
    <nc r="S39" t="inlineStr">
      <is>
        <r>
          <t>MgCO</t>
        </r>
        <r>
          <rPr>
            <vertAlign val="subscript"/>
            <sz val="9"/>
            <rFont val="Arial"/>
            <family val="2"/>
          </rPr>
          <t>2</t>
        </r>
        <r>
          <rPr>
            <sz val="9"/>
            <rFont val="Arial"/>
            <family val="2"/>
          </rPr>
          <t>e/day</t>
        </r>
      </is>
    </nc>
  </rcc>
  <rcc rId="1853" sId="24">
    <oc r="K39" t="inlineStr">
      <is>
        <r>
          <t>MTCO</t>
        </r>
        <r>
          <rPr>
            <vertAlign val="subscript"/>
            <sz val="9"/>
            <rFont val="Arial"/>
            <family val="2"/>
          </rPr>
          <t>2</t>
        </r>
        <r>
          <rPr>
            <sz val="9"/>
            <rFont val="Arial"/>
            <family val="2"/>
          </rPr>
          <t>e/day</t>
        </r>
      </is>
    </oc>
    <nc r="K39" t="inlineStr">
      <is>
        <r>
          <t>MgCO</t>
        </r>
        <r>
          <rPr>
            <vertAlign val="subscript"/>
            <sz val="9"/>
            <rFont val="Arial"/>
            <family val="2"/>
          </rPr>
          <t>2</t>
        </r>
        <r>
          <rPr>
            <sz val="9"/>
            <rFont val="Arial"/>
            <family val="2"/>
          </rPr>
          <t>e/day</t>
        </r>
      </is>
    </nc>
  </rcc>
  <rcc rId="1854" sId="24">
    <oc r="C39" t="inlineStr">
      <is>
        <r>
          <t>MTCO</t>
        </r>
        <r>
          <rPr>
            <vertAlign val="subscript"/>
            <sz val="9"/>
            <rFont val="Arial"/>
            <family val="2"/>
          </rPr>
          <t>2</t>
        </r>
        <r>
          <rPr>
            <sz val="9"/>
            <rFont val="Arial"/>
            <family val="2"/>
          </rPr>
          <t>e/day</t>
        </r>
      </is>
    </oc>
    <nc r="C39" t="inlineStr">
      <is>
        <r>
          <t>MgCO</t>
        </r>
        <r>
          <rPr>
            <vertAlign val="subscript"/>
            <sz val="9"/>
            <rFont val="Arial"/>
            <family val="2"/>
          </rPr>
          <t>2</t>
        </r>
        <r>
          <rPr>
            <sz val="9"/>
            <rFont val="Arial"/>
            <family val="2"/>
          </rPr>
          <t>e/day</t>
        </r>
      </is>
    </nc>
  </rcc>
  <rcc rId="1855" sId="24">
    <oc r="B39">
      <f>B38*0.001*Electricity!N48*tonTOMg</f>
    </oc>
    <nc r="B39">
      <f>B38*0.001*Electricity!B48*tonTOMg</f>
    </nc>
  </rcc>
  <rcc rId="1856" sId="24">
    <oc r="J39">
      <f>J38*0.001*Electricity!N48*tonTOMg</f>
    </oc>
    <nc r="J39">
      <f>J38*0.001*Electricity!F48*tonTOMg</f>
    </nc>
  </rcc>
  <rcc rId="1857" sId="24">
    <oc r="J52">
      <f>J51*0.001*Electricity!N48*tonTOMg</f>
    </oc>
    <nc r="J52">
      <f>J51*0.001*Electricity!F48*tonTOMg</f>
    </nc>
  </rcc>
  <rcc rId="1858" sId="24">
    <oc r="J47">
      <f>J46*0.001*Electricity!N48*tonTOMg</f>
    </oc>
    <nc r="J47">
      <f>J46*0.001*Electricity!F48*tonTOMg</f>
    </nc>
  </rcc>
  <rcc rId="1859" sId="24">
    <oc r="B47">
      <f>B46*0.001*Electricity!N48*tonTOMg</f>
    </oc>
    <nc r="B47">
      <f>B46*0.001*Electricity!B48*tonTOMg</f>
    </nc>
  </rcc>
  <rcc rId="1860" sId="24">
    <oc r="B52">
      <f>B51*0.001*Electricity!N48*tonTOMg</f>
    </oc>
    <nc r="B52">
      <f>B51*0.001*Electricity!B48*tonTOMg</f>
    </nc>
  </rcc>
  <rcc rId="1861" sId="24">
    <oc r="B60">
      <f>B59*0.001*Electricity!N48*tonTOMg</f>
    </oc>
    <nc r="B60">
      <f>B59*0.001*Electricity!B48*tonTOMg</f>
    </nc>
  </rcc>
  <rcc rId="1862" sId="24">
    <oc r="B65">
      <f>B64*0.001*Electricity!N48*tonTOMg</f>
    </oc>
    <nc r="B65">
      <f>B64*0.001*Electricity!B48*tonTOMg</f>
    </nc>
  </rcc>
  <rcc rId="1863" sId="24">
    <oc r="B74">
      <f>B73*0.001*Electricity!N48*tonTOMg*365.25</f>
    </oc>
    <nc r="B74">
      <f>B73*0.001*Electricity!B48*tonTOMg*365.25</f>
    </nc>
  </rcc>
  <rcc rId="1864" sId="24">
    <oc r="J60">
      <f>J59*0.001*Electricity!N48*tonTOMg</f>
    </oc>
    <nc r="J60">
      <f>J59*0.001*Electricity!F48*tonTOMg</f>
    </nc>
  </rcc>
  <rcc rId="1865" sId="24">
    <oc r="J65">
      <f>J64*0.001*Electricity!N48*tonTOMg</f>
    </oc>
    <nc r="J65">
      <f>J64*0.001*Electricity!F48*tonTOMg</f>
    </nc>
  </rcc>
  <rcc rId="1866" sId="24">
    <oc r="J74">
      <f>J73*0.001*Electricity!N48*tonTOMg*365.25</f>
    </oc>
    <nc r="J74">
      <f>J73*0.001*Electricity!F48*tonTOMg*365.25</f>
    </nc>
  </rcc>
  <rcmt sheetId="24" cell="B27" guid="{00000000-0000-0000-0000-000000000000}" action="delete" alwaysShow="1" author="Andrea Martin"/>
  <rcc rId="1867" sId="24">
    <oc r="C47" t="inlineStr">
      <is>
        <r>
          <t>MTCO</t>
        </r>
        <r>
          <rPr>
            <vertAlign val="subscript"/>
            <sz val="9"/>
            <rFont val="Arial"/>
            <family val="2"/>
          </rPr>
          <t>2</t>
        </r>
        <r>
          <rPr>
            <sz val="9"/>
            <rFont val="Arial"/>
            <family val="2"/>
          </rPr>
          <t>e/day</t>
        </r>
      </is>
    </oc>
    <nc r="C47" t="inlineStr">
      <is>
        <r>
          <t>MgCO</t>
        </r>
        <r>
          <rPr>
            <vertAlign val="subscript"/>
            <sz val="9"/>
            <rFont val="Arial"/>
            <family val="2"/>
          </rPr>
          <t>2</t>
        </r>
        <r>
          <rPr>
            <sz val="9"/>
            <rFont val="Arial"/>
            <family val="2"/>
          </rPr>
          <t>e/day</t>
        </r>
      </is>
    </nc>
  </rcc>
  <rcc rId="1868" sId="24">
    <oc r="C52" t="inlineStr">
      <is>
        <r>
          <t>MTCO</t>
        </r>
        <r>
          <rPr>
            <vertAlign val="subscript"/>
            <sz val="9"/>
            <rFont val="Arial"/>
            <family val="2"/>
          </rPr>
          <t>2</t>
        </r>
        <r>
          <rPr>
            <sz val="9"/>
            <rFont val="Arial"/>
            <family val="2"/>
          </rPr>
          <t>e/day</t>
        </r>
      </is>
    </oc>
    <nc r="C52" t="inlineStr">
      <is>
        <r>
          <t>MgCO</t>
        </r>
        <r>
          <rPr>
            <vertAlign val="subscript"/>
            <sz val="9"/>
            <rFont val="Arial"/>
            <family val="2"/>
          </rPr>
          <t>2</t>
        </r>
        <r>
          <rPr>
            <sz val="9"/>
            <rFont val="Arial"/>
            <family val="2"/>
          </rPr>
          <t>e/day</t>
        </r>
      </is>
    </nc>
  </rcc>
  <rcc rId="1869" sId="24">
    <oc r="K47" t="inlineStr">
      <is>
        <r>
          <t>MTCO</t>
        </r>
        <r>
          <rPr>
            <vertAlign val="subscript"/>
            <sz val="9"/>
            <rFont val="Arial"/>
            <family val="2"/>
          </rPr>
          <t>2</t>
        </r>
        <r>
          <rPr>
            <sz val="9"/>
            <rFont val="Arial"/>
            <family val="2"/>
          </rPr>
          <t>e/day</t>
        </r>
      </is>
    </oc>
    <nc r="K47" t="inlineStr">
      <is>
        <r>
          <t>MgCO</t>
        </r>
        <r>
          <rPr>
            <vertAlign val="subscript"/>
            <sz val="9"/>
            <rFont val="Arial"/>
            <family val="2"/>
          </rPr>
          <t>2</t>
        </r>
        <r>
          <rPr>
            <sz val="9"/>
            <rFont val="Arial"/>
            <family val="2"/>
          </rPr>
          <t>e/day</t>
        </r>
      </is>
    </nc>
  </rcc>
  <rcc rId="1870" sId="24">
    <oc r="K52" t="inlineStr">
      <is>
        <r>
          <t>MTCO</t>
        </r>
        <r>
          <rPr>
            <vertAlign val="subscript"/>
            <sz val="9"/>
            <rFont val="Arial"/>
            <family val="2"/>
          </rPr>
          <t>2</t>
        </r>
        <r>
          <rPr>
            <sz val="9"/>
            <rFont val="Arial"/>
            <family val="2"/>
          </rPr>
          <t>e/day</t>
        </r>
      </is>
    </oc>
    <nc r="K52" t="inlineStr">
      <is>
        <r>
          <t>MgCO</t>
        </r>
        <r>
          <rPr>
            <vertAlign val="subscript"/>
            <sz val="9"/>
            <rFont val="Arial"/>
            <family val="2"/>
          </rPr>
          <t>2</t>
        </r>
        <r>
          <rPr>
            <sz val="9"/>
            <rFont val="Arial"/>
            <family val="2"/>
          </rPr>
          <t>e/day</t>
        </r>
      </is>
    </nc>
  </rcc>
  <rcc rId="1871" sId="24">
    <oc r="S47" t="inlineStr">
      <is>
        <r>
          <t>MTCO</t>
        </r>
        <r>
          <rPr>
            <vertAlign val="subscript"/>
            <sz val="9"/>
            <rFont val="Arial"/>
            <family val="2"/>
          </rPr>
          <t>2</t>
        </r>
        <r>
          <rPr>
            <sz val="9"/>
            <rFont val="Arial"/>
            <family val="2"/>
          </rPr>
          <t>e/day</t>
        </r>
      </is>
    </oc>
    <nc r="S47" t="inlineStr">
      <is>
        <r>
          <t>MgCO</t>
        </r>
        <r>
          <rPr>
            <vertAlign val="subscript"/>
            <sz val="9"/>
            <rFont val="Arial"/>
            <family val="2"/>
          </rPr>
          <t>2</t>
        </r>
        <r>
          <rPr>
            <sz val="9"/>
            <rFont val="Arial"/>
            <family val="2"/>
          </rPr>
          <t>e/day</t>
        </r>
      </is>
    </nc>
  </rcc>
  <rcc rId="1872" sId="24">
    <oc r="S52" t="inlineStr">
      <is>
        <r>
          <t>MTCO</t>
        </r>
        <r>
          <rPr>
            <vertAlign val="subscript"/>
            <sz val="9"/>
            <rFont val="Arial"/>
            <family val="2"/>
          </rPr>
          <t>2</t>
        </r>
        <r>
          <rPr>
            <sz val="9"/>
            <rFont val="Arial"/>
            <family val="2"/>
          </rPr>
          <t>e/day</t>
        </r>
      </is>
    </oc>
    <nc r="S52" t="inlineStr">
      <is>
        <r>
          <t>MgCO</t>
        </r>
        <r>
          <rPr>
            <vertAlign val="subscript"/>
            <sz val="9"/>
            <rFont val="Arial"/>
            <family val="2"/>
          </rPr>
          <t>2</t>
        </r>
        <r>
          <rPr>
            <sz val="9"/>
            <rFont val="Arial"/>
            <family val="2"/>
          </rPr>
          <t>e/day</t>
        </r>
      </is>
    </nc>
  </rcc>
  <rcc rId="1873" sId="24">
    <oc r="S60" t="inlineStr">
      <is>
        <r>
          <t>MTCO</t>
        </r>
        <r>
          <rPr>
            <vertAlign val="subscript"/>
            <sz val="9"/>
            <rFont val="Arial"/>
            <family val="2"/>
          </rPr>
          <t>2</t>
        </r>
        <r>
          <rPr>
            <sz val="9"/>
            <rFont val="Arial"/>
            <family val="2"/>
          </rPr>
          <t>e/day</t>
        </r>
      </is>
    </oc>
    <nc r="S60" t="inlineStr">
      <is>
        <r>
          <t>MgCO</t>
        </r>
        <r>
          <rPr>
            <vertAlign val="subscript"/>
            <sz val="9"/>
            <rFont val="Arial"/>
            <family val="2"/>
          </rPr>
          <t>2</t>
        </r>
        <r>
          <rPr>
            <sz val="9"/>
            <rFont val="Arial"/>
            <family val="2"/>
          </rPr>
          <t>e/day</t>
        </r>
      </is>
    </nc>
  </rcc>
  <rcc rId="1874" sId="24">
    <oc r="S65" t="inlineStr">
      <is>
        <r>
          <t>MTCO</t>
        </r>
        <r>
          <rPr>
            <vertAlign val="subscript"/>
            <sz val="9"/>
            <rFont val="Arial"/>
            <family val="2"/>
          </rPr>
          <t>2</t>
        </r>
        <r>
          <rPr>
            <sz val="9"/>
            <rFont val="Arial"/>
            <family val="2"/>
          </rPr>
          <t>e/day</t>
        </r>
      </is>
    </oc>
    <nc r="S65" t="inlineStr">
      <is>
        <r>
          <t>MgCO</t>
        </r>
        <r>
          <rPr>
            <vertAlign val="subscript"/>
            <sz val="9"/>
            <rFont val="Arial"/>
            <family val="2"/>
          </rPr>
          <t>2</t>
        </r>
        <r>
          <rPr>
            <sz val="9"/>
            <rFont val="Arial"/>
            <family val="2"/>
          </rPr>
          <t>e/day</t>
        </r>
      </is>
    </nc>
  </rcc>
  <rcc rId="1875" sId="24">
    <oc r="K65" t="inlineStr">
      <is>
        <r>
          <t>MTCO</t>
        </r>
        <r>
          <rPr>
            <vertAlign val="subscript"/>
            <sz val="9"/>
            <rFont val="Arial"/>
            <family val="2"/>
          </rPr>
          <t>2</t>
        </r>
        <r>
          <rPr>
            <sz val="9"/>
            <rFont val="Arial"/>
            <family val="2"/>
          </rPr>
          <t>e/day</t>
        </r>
      </is>
    </oc>
    <nc r="K65" t="inlineStr">
      <is>
        <r>
          <t>MgCO</t>
        </r>
        <r>
          <rPr>
            <vertAlign val="subscript"/>
            <sz val="9"/>
            <rFont val="Arial"/>
            <family val="2"/>
          </rPr>
          <t>2</t>
        </r>
        <r>
          <rPr>
            <sz val="9"/>
            <rFont val="Arial"/>
            <family val="2"/>
          </rPr>
          <t>e/day</t>
        </r>
      </is>
    </nc>
  </rcc>
  <rcc rId="1876" sId="24">
    <oc r="K60" t="inlineStr">
      <is>
        <r>
          <t>MTCO</t>
        </r>
        <r>
          <rPr>
            <vertAlign val="subscript"/>
            <sz val="9"/>
            <rFont val="Arial"/>
            <family val="2"/>
          </rPr>
          <t>2</t>
        </r>
        <r>
          <rPr>
            <sz val="9"/>
            <rFont val="Arial"/>
            <family val="2"/>
          </rPr>
          <t>e/day</t>
        </r>
      </is>
    </oc>
    <nc r="K60" t="inlineStr">
      <is>
        <r>
          <t>MgCO</t>
        </r>
        <r>
          <rPr>
            <vertAlign val="subscript"/>
            <sz val="9"/>
            <rFont val="Arial"/>
            <family val="2"/>
          </rPr>
          <t>2</t>
        </r>
        <r>
          <rPr>
            <sz val="9"/>
            <rFont val="Arial"/>
            <family val="2"/>
          </rPr>
          <t>e/day</t>
        </r>
      </is>
    </nc>
  </rcc>
  <rcc rId="1877" sId="24">
    <oc r="C60" t="inlineStr">
      <is>
        <r>
          <t>MTCO</t>
        </r>
        <r>
          <rPr>
            <vertAlign val="subscript"/>
            <sz val="9"/>
            <rFont val="Arial"/>
            <family val="2"/>
          </rPr>
          <t>2</t>
        </r>
        <r>
          <rPr>
            <sz val="9"/>
            <rFont val="Arial"/>
            <family val="2"/>
          </rPr>
          <t>e/day</t>
        </r>
      </is>
    </oc>
    <nc r="C60" t="inlineStr">
      <is>
        <r>
          <t>MgCO</t>
        </r>
        <r>
          <rPr>
            <vertAlign val="subscript"/>
            <sz val="9"/>
            <rFont val="Arial"/>
            <family val="2"/>
          </rPr>
          <t>2</t>
        </r>
        <r>
          <rPr>
            <sz val="9"/>
            <rFont val="Arial"/>
            <family val="2"/>
          </rPr>
          <t>e/day</t>
        </r>
      </is>
    </nc>
  </rcc>
  <rcc rId="1878" sId="24">
    <oc r="C65" t="inlineStr">
      <is>
        <r>
          <t>MTCO</t>
        </r>
        <r>
          <rPr>
            <vertAlign val="subscript"/>
            <sz val="9"/>
            <rFont val="Arial"/>
            <family val="2"/>
          </rPr>
          <t>2</t>
        </r>
        <r>
          <rPr>
            <sz val="9"/>
            <rFont val="Arial"/>
            <family val="2"/>
          </rPr>
          <t>e/day</t>
        </r>
      </is>
    </oc>
    <nc r="C65" t="inlineStr">
      <is>
        <r>
          <t>MgCO</t>
        </r>
        <r>
          <rPr>
            <vertAlign val="subscript"/>
            <sz val="9"/>
            <rFont val="Arial"/>
            <family val="2"/>
          </rPr>
          <t>2</t>
        </r>
        <r>
          <rPr>
            <sz val="9"/>
            <rFont val="Arial"/>
            <family val="2"/>
          </rPr>
          <t>e/day</t>
        </r>
      </is>
    </nc>
  </rcc>
  <rfmt sheetId="24" sqref="C74" start="0" length="0">
    <dxf>
      <font>
        <b val="0"/>
        <sz val="9"/>
        <color auto="1"/>
        <name val="Arial"/>
        <family val="2"/>
        <scheme val="none"/>
      </font>
    </dxf>
  </rfmt>
  <rfmt sheetId="24" sqref="K74" start="0" length="0">
    <dxf>
      <font>
        <b val="0"/>
        <sz val="9"/>
        <color auto="1"/>
        <name val="Arial"/>
        <family val="2"/>
        <scheme val="none"/>
      </font>
    </dxf>
  </rfmt>
  <rfmt sheetId="24" sqref="S74" start="0" length="0">
    <dxf>
      <font>
        <b val="0"/>
        <sz val="9"/>
        <color auto="1"/>
        <name val="Arial"/>
        <family val="2"/>
        <scheme val="none"/>
      </font>
    </dxf>
  </rfmt>
  <rfmt sheetId="24" sqref="S76" start="0" length="2147483647">
    <dxf>
      <font>
        <b val="0"/>
        <family val="2"/>
      </font>
    </dxf>
  </rfmt>
  <rfmt sheetId="24" xfDxf="1" sqref="S76" start="0" length="0">
    <dxf>
      <fill>
        <patternFill patternType="solid">
          <bgColor theme="9"/>
        </patternFill>
      </fill>
      <alignment vertical="bottom"/>
    </dxf>
  </rfmt>
  <rfmt sheetId="24" xfDxf="1" sqref="K76" start="0" length="0">
    <dxf>
      <font>
        <b/>
        <family val="2"/>
      </font>
      <fill>
        <patternFill patternType="solid">
          <bgColor theme="9"/>
        </patternFill>
      </fill>
      <alignment vertical="bottom"/>
    </dxf>
  </rfmt>
  <rfmt sheetId="24" xfDxf="1" sqref="C76" start="0" length="0">
    <dxf>
      <font>
        <b/>
        <family val="2"/>
      </font>
      <fill>
        <patternFill patternType="solid">
          <bgColor theme="9"/>
        </patternFill>
      </fill>
      <alignment vertical="bottom"/>
    </dxf>
  </rfmt>
  <rfmt sheetId="24" sqref="S76" start="0" length="2147483647">
    <dxf>
      <font>
        <b/>
        <family val="2"/>
      </font>
    </dxf>
  </rfmt>
  <rcc rId="1879" sId="24">
    <oc r="C76" t="inlineStr">
      <is>
        <r>
          <t>MTCO</t>
        </r>
        <r>
          <rPr>
            <b/>
            <vertAlign val="subscript"/>
            <sz val="9"/>
            <rFont val="Arial"/>
            <family val="2"/>
          </rPr>
          <t>2</t>
        </r>
        <r>
          <rPr>
            <b/>
            <sz val="9"/>
            <rFont val="Arial"/>
            <family val="2"/>
          </rPr>
          <t>e</t>
        </r>
      </is>
    </oc>
    <nc r="C76" t="inlineStr">
      <is>
        <t>MgCO2e</t>
      </is>
    </nc>
  </rcc>
  <rcc rId="1880" sId="24">
    <oc r="K76" t="inlineStr">
      <is>
        <r>
          <t>MTCO</t>
        </r>
        <r>
          <rPr>
            <b/>
            <vertAlign val="subscript"/>
            <sz val="9"/>
            <rFont val="Arial"/>
            <family val="2"/>
          </rPr>
          <t>2</t>
        </r>
        <r>
          <rPr>
            <b/>
            <sz val="9"/>
            <rFont val="Arial"/>
            <family val="2"/>
          </rPr>
          <t>e</t>
        </r>
      </is>
    </oc>
    <nc r="K76" t="inlineStr">
      <is>
        <t>MgCO2e</t>
      </is>
    </nc>
  </rcc>
  <rcc rId="1881" sId="24">
    <oc r="S76" t="inlineStr">
      <is>
        <r>
          <t>MTCO</t>
        </r>
        <r>
          <rPr>
            <vertAlign val="subscript"/>
            <sz val="9"/>
            <rFont val="Arial"/>
            <family val="2"/>
          </rPr>
          <t>2</t>
        </r>
        <r>
          <rPr>
            <sz val="9"/>
            <rFont val="Arial"/>
            <family val="2"/>
          </rPr>
          <t>e</t>
        </r>
      </is>
    </oc>
    <nc r="S76" t="inlineStr">
      <is>
        <t>MgCO2e</t>
      </is>
    </nc>
  </rcc>
  <rcc rId="1882" sId="24">
    <oc r="K74" t="inlineStr">
      <is>
        <r>
          <t>MTCO</t>
        </r>
        <r>
          <rPr>
            <b/>
            <vertAlign val="subscript"/>
            <sz val="9"/>
            <rFont val="Arial"/>
            <family val="2"/>
          </rPr>
          <t>2</t>
        </r>
        <r>
          <rPr>
            <b/>
            <sz val="9"/>
            <rFont val="Arial"/>
            <family val="2"/>
          </rPr>
          <t>e</t>
        </r>
      </is>
    </oc>
    <nc r="K74" t="inlineStr">
      <is>
        <r>
          <t>MgCO</t>
        </r>
        <r>
          <rPr>
            <vertAlign val="subscript"/>
            <sz val="9"/>
            <rFont val="Arial"/>
            <family val="2"/>
          </rPr>
          <t>2</t>
        </r>
        <r>
          <rPr>
            <sz val="9"/>
            <rFont val="Arial"/>
            <family val="2"/>
          </rPr>
          <t>e</t>
        </r>
      </is>
    </nc>
  </rcc>
  <rcc rId="1883" sId="24">
    <oc r="S74" t="inlineStr">
      <is>
        <r>
          <t>MTCO</t>
        </r>
        <r>
          <rPr>
            <b/>
            <vertAlign val="subscript"/>
            <sz val="9"/>
            <rFont val="Arial"/>
            <family val="2"/>
          </rPr>
          <t>2</t>
        </r>
        <r>
          <rPr>
            <b/>
            <sz val="9"/>
            <rFont val="Arial"/>
            <family val="2"/>
          </rPr>
          <t>e</t>
        </r>
      </is>
    </oc>
    <nc r="S74" t="inlineStr">
      <is>
        <r>
          <t>MgCO</t>
        </r>
        <r>
          <rPr>
            <vertAlign val="subscript"/>
            <sz val="9"/>
            <rFont val="Arial"/>
            <family val="2"/>
          </rPr>
          <t>2</t>
        </r>
        <r>
          <rPr>
            <sz val="9"/>
            <rFont val="Arial"/>
            <family val="2"/>
          </rPr>
          <t>e</t>
        </r>
      </is>
    </nc>
  </rcc>
  <rcc rId="1884" sId="24">
    <oc r="C74" t="inlineStr">
      <is>
        <r>
          <t>MTCO</t>
        </r>
        <r>
          <rPr>
            <b/>
            <vertAlign val="subscript"/>
            <sz val="9"/>
            <rFont val="Arial"/>
            <family val="2"/>
          </rPr>
          <t>2</t>
        </r>
        <r>
          <rPr>
            <b/>
            <sz val="9"/>
            <rFont val="Arial"/>
            <family val="2"/>
          </rPr>
          <t>e</t>
        </r>
      </is>
    </oc>
    <nc r="C74" t="inlineStr">
      <is>
        <r>
          <t>MgCO</t>
        </r>
        <r>
          <rPr>
            <vertAlign val="subscript"/>
            <sz val="9"/>
            <rFont val="Arial"/>
            <family val="2"/>
          </rPr>
          <t>2</t>
        </r>
        <r>
          <rPr>
            <sz val="9"/>
            <rFont val="Arial"/>
            <family val="2"/>
          </rPr>
          <t>e</t>
        </r>
      </is>
    </nc>
  </rcc>
  <rcc rId="1885" sId="24" odxf="1" dxf="1">
    <oc r="C67" t="inlineStr">
      <is>
        <r>
          <t>MTCO</t>
        </r>
        <r>
          <rPr>
            <b/>
            <vertAlign val="subscript"/>
            <sz val="9"/>
            <rFont val="Arial"/>
            <family val="2"/>
          </rPr>
          <t>2</t>
        </r>
        <r>
          <rPr>
            <b/>
            <sz val="9"/>
            <rFont val="Arial"/>
            <family val="2"/>
          </rPr>
          <t>e</t>
        </r>
      </is>
    </oc>
    <nc r="C67" t="inlineStr">
      <is>
        <r>
          <t>MgCO</t>
        </r>
        <r>
          <rPr>
            <vertAlign val="subscript"/>
            <sz val="9"/>
            <rFont val="Arial"/>
            <family val="2"/>
          </rPr>
          <t>2</t>
        </r>
        <r>
          <rPr>
            <sz val="9"/>
            <rFont val="Arial"/>
            <family val="2"/>
          </rPr>
          <t>e</t>
        </r>
      </is>
    </nc>
    <odxf>
      <font>
        <b/>
        <family val="2"/>
      </font>
    </odxf>
    <ndxf>
      <font>
        <b val="0"/>
        <sz val="9"/>
        <color auto="1"/>
        <name val="Arial"/>
        <family val="2"/>
        <scheme val="none"/>
      </font>
    </ndxf>
  </rcc>
  <rfmt sheetId="24" sqref="C67" start="0" length="2147483647">
    <dxf>
      <font>
        <b/>
        <family val="2"/>
      </font>
    </dxf>
  </rfmt>
  <rfmt sheetId="24" sqref="K67" start="0" length="2147483647">
    <dxf>
      <font>
        <b val="0"/>
        <family val="2"/>
      </font>
    </dxf>
  </rfmt>
  <rcc rId="1886" sId="24" odxf="1" dxf="1">
    <oc r="K67" t="inlineStr">
      <is>
        <r>
          <t>MTCO</t>
        </r>
        <r>
          <rPr>
            <vertAlign val="subscript"/>
            <sz val="9"/>
            <rFont val="Arial"/>
            <family val="2"/>
          </rPr>
          <t>2</t>
        </r>
        <r>
          <rPr>
            <sz val="9"/>
            <rFont val="Arial"/>
            <family val="2"/>
          </rPr>
          <t>e</t>
        </r>
      </is>
    </oc>
    <nc r="K67" t="inlineStr">
      <is>
        <r>
          <t>MgCO</t>
        </r>
        <r>
          <rPr>
            <b/>
            <vertAlign val="subscript"/>
            <sz val="9"/>
            <rFont val="Arial"/>
            <family val="2"/>
          </rPr>
          <t>2</t>
        </r>
        <r>
          <rPr>
            <b/>
            <sz val="9"/>
            <rFont val="Arial"/>
            <family val="2"/>
          </rPr>
          <t>e</t>
        </r>
      </is>
    </nc>
    <odxf>
      <font>
        <b val="0"/>
        <sz val="9"/>
        <color auto="1"/>
        <name val="Arial"/>
        <family val="2"/>
        <scheme val="none"/>
      </font>
    </odxf>
    <ndxf>
      <font>
        <b/>
        <sz val="9"/>
        <color auto="1"/>
        <name val="Arial"/>
        <family val="2"/>
        <scheme val="none"/>
      </font>
    </ndxf>
  </rcc>
  <rcc rId="1887" sId="24">
    <oc r="S67" t="inlineStr">
      <is>
        <r>
          <t>MTCO</t>
        </r>
        <r>
          <rPr>
            <b/>
            <vertAlign val="subscript"/>
            <sz val="9"/>
            <rFont val="Arial"/>
            <family val="2"/>
          </rPr>
          <t>2</t>
        </r>
        <r>
          <rPr>
            <b/>
            <sz val="9"/>
            <rFont val="Arial"/>
            <family val="2"/>
          </rPr>
          <t>e</t>
        </r>
      </is>
    </oc>
    <nc r="S67" t="inlineStr">
      <is>
        <r>
          <t>MgCO</t>
        </r>
        <r>
          <rPr>
            <b/>
            <vertAlign val="subscript"/>
            <sz val="9"/>
            <rFont val="Arial"/>
            <family val="2"/>
          </rPr>
          <t>2</t>
        </r>
        <r>
          <rPr>
            <b/>
            <sz val="9"/>
            <rFont val="Arial"/>
            <family val="2"/>
          </rPr>
          <t>e</t>
        </r>
      </is>
    </nc>
  </rcc>
  <rcc rId="1888" sId="24">
    <oc r="S54" t="inlineStr">
      <is>
        <r>
          <t>MTCO</t>
        </r>
        <r>
          <rPr>
            <b/>
            <vertAlign val="subscript"/>
            <sz val="9"/>
            <rFont val="Arial"/>
            <family val="2"/>
          </rPr>
          <t>2</t>
        </r>
        <r>
          <rPr>
            <b/>
            <sz val="9"/>
            <rFont val="Arial"/>
            <family val="2"/>
          </rPr>
          <t>e</t>
        </r>
      </is>
    </oc>
    <nc r="S54" t="inlineStr">
      <is>
        <r>
          <t>MgCO</t>
        </r>
        <r>
          <rPr>
            <b/>
            <vertAlign val="subscript"/>
            <sz val="9"/>
            <rFont val="Arial"/>
            <family val="2"/>
          </rPr>
          <t>2</t>
        </r>
        <r>
          <rPr>
            <b/>
            <sz val="9"/>
            <rFont val="Arial"/>
            <family val="2"/>
          </rPr>
          <t>e</t>
        </r>
      </is>
    </nc>
  </rcc>
  <rcc rId="1889" sId="24">
    <oc r="K54" t="inlineStr">
      <is>
        <r>
          <t>MTCO</t>
        </r>
        <r>
          <rPr>
            <b/>
            <vertAlign val="subscript"/>
            <sz val="9"/>
            <rFont val="Arial"/>
            <family val="2"/>
          </rPr>
          <t>2</t>
        </r>
        <r>
          <rPr>
            <b/>
            <sz val="9"/>
            <rFont val="Arial"/>
            <family val="2"/>
          </rPr>
          <t>e</t>
        </r>
      </is>
    </oc>
    <nc r="K54" t="inlineStr">
      <is>
        <r>
          <t>MgCO</t>
        </r>
        <r>
          <rPr>
            <b/>
            <vertAlign val="subscript"/>
            <sz val="9"/>
            <rFont val="Arial"/>
            <family val="2"/>
          </rPr>
          <t>2</t>
        </r>
        <r>
          <rPr>
            <b/>
            <sz val="9"/>
            <rFont val="Arial"/>
            <family val="2"/>
          </rPr>
          <t>e</t>
        </r>
      </is>
    </nc>
  </rcc>
  <rcc rId="1890" sId="24">
    <oc r="C54" t="inlineStr">
      <is>
        <r>
          <t>MTCO</t>
        </r>
        <r>
          <rPr>
            <b/>
            <vertAlign val="subscript"/>
            <sz val="9"/>
            <rFont val="Arial"/>
            <family val="2"/>
          </rPr>
          <t>2</t>
        </r>
        <r>
          <rPr>
            <b/>
            <sz val="9"/>
            <rFont val="Arial"/>
            <family val="2"/>
          </rPr>
          <t>e</t>
        </r>
      </is>
    </oc>
    <nc r="C54" t="inlineStr">
      <is>
        <r>
          <t>MgCO</t>
        </r>
        <r>
          <rPr>
            <b/>
            <vertAlign val="subscript"/>
            <sz val="9"/>
            <rFont val="Arial"/>
            <family val="2"/>
          </rPr>
          <t>2</t>
        </r>
        <r>
          <rPr>
            <b/>
            <sz val="9"/>
            <rFont val="Arial"/>
            <family val="2"/>
          </rPr>
          <t>e</t>
        </r>
      </is>
    </nc>
  </rcc>
  <rcc rId="1891" sId="24">
    <oc r="C41" t="inlineStr">
      <is>
        <r>
          <t>MTCO</t>
        </r>
        <r>
          <rPr>
            <b/>
            <vertAlign val="subscript"/>
            <sz val="9"/>
            <rFont val="Arial"/>
            <family val="2"/>
          </rPr>
          <t>2</t>
        </r>
        <r>
          <rPr>
            <b/>
            <sz val="9"/>
            <rFont val="Arial"/>
            <family val="2"/>
          </rPr>
          <t>e</t>
        </r>
      </is>
    </oc>
    <nc r="C41" t="inlineStr">
      <is>
        <r>
          <t>MgCO</t>
        </r>
        <r>
          <rPr>
            <b/>
            <vertAlign val="subscript"/>
            <sz val="9"/>
            <rFont val="Arial"/>
            <family val="2"/>
          </rPr>
          <t>2</t>
        </r>
        <r>
          <rPr>
            <b/>
            <sz val="9"/>
            <rFont val="Arial"/>
            <family val="2"/>
          </rPr>
          <t>e</t>
        </r>
      </is>
    </nc>
  </rcc>
  <rcc rId="1892" sId="24">
    <oc r="K41" t="inlineStr">
      <is>
        <r>
          <t>MTCO</t>
        </r>
        <r>
          <rPr>
            <b/>
            <vertAlign val="subscript"/>
            <sz val="9"/>
            <rFont val="Arial"/>
            <family val="2"/>
          </rPr>
          <t>2</t>
        </r>
        <r>
          <rPr>
            <b/>
            <sz val="9"/>
            <rFont val="Arial"/>
            <family val="2"/>
          </rPr>
          <t>e</t>
        </r>
      </is>
    </oc>
    <nc r="K41" t="inlineStr">
      <is>
        <r>
          <t>MgCO</t>
        </r>
        <r>
          <rPr>
            <b/>
            <vertAlign val="subscript"/>
            <sz val="9"/>
            <rFont val="Arial"/>
            <family val="2"/>
          </rPr>
          <t>2</t>
        </r>
        <r>
          <rPr>
            <b/>
            <sz val="9"/>
            <rFont val="Arial"/>
            <family val="2"/>
          </rPr>
          <t>e</t>
        </r>
      </is>
    </nc>
  </rcc>
  <rcc rId="1893" sId="24">
    <oc r="S41" t="inlineStr">
      <is>
        <r>
          <t>MTCO</t>
        </r>
        <r>
          <rPr>
            <b/>
            <vertAlign val="subscript"/>
            <sz val="9"/>
            <rFont val="Arial"/>
            <family val="2"/>
          </rPr>
          <t>2</t>
        </r>
        <r>
          <rPr>
            <b/>
            <sz val="9"/>
            <rFont val="Arial"/>
            <family val="2"/>
          </rPr>
          <t>e</t>
        </r>
      </is>
    </oc>
    <nc r="S41" t="inlineStr">
      <is>
        <r>
          <t>MgCO</t>
        </r>
        <r>
          <rPr>
            <b/>
            <vertAlign val="subscript"/>
            <sz val="9"/>
            <rFont val="Arial"/>
            <family val="2"/>
          </rPr>
          <t>2</t>
        </r>
        <r>
          <rPr>
            <b/>
            <sz val="9"/>
            <rFont val="Arial"/>
            <family val="2"/>
          </rPr>
          <t>e</t>
        </r>
      </is>
    </nc>
  </rcc>
  <rcc rId="1894" sId="24">
    <oc r="B71">
      <f>SUM(F9:F10)*1000000</f>
    </oc>
    <nc r="B71">
      <f>F11</f>
    </nc>
  </rcc>
  <rcc rId="1895" sId="24">
    <oc r="J71">
      <f>SUM(N9:N10)*1000000</f>
    </oc>
    <nc r="J71">
      <f>N11</f>
    </nc>
  </rcc>
  <rcc rId="1896" sId="24">
    <oc r="R71">
      <f>SUM(V9:V10)*1000000</f>
    </oc>
    <nc r="R71">
      <f>V11</f>
    </nc>
  </rcc>
  <rcc rId="1897" sId="24">
    <oc r="X25" t="inlineStr">
      <is>
        <t>KC15_45_01</t>
      </is>
    </oc>
    <nc r="X25"/>
  </rcc>
  <rcmt sheetId="24" cell="X25" guid="{00000000-0000-0000-0000-000000000000}" action="delete" alwaysShow="1" author="Andrea Martin"/>
  <rcc rId="1898" sId="24" numFmtId="34">
    <oc r="V12">
      <v>1400000</v>
    </oc>
    <nc r="V12">
      <v>1300000</v>
    </nc>
  </rcc>
  <rcc rId="1899" sId="24" numFmtId="34">
    <oc r="V11">
      <f>SUM(V9:V10)*1000000</f>
    </oc>
    <nc r="V11">
      <v>172000000</v>
    </nc>
  </rcc>
  <rfmt sheetId="24" sqref="V9" start="0" length="0">
    <dxf>
      <numFmt numFmtId="181" formatCode="_(* #,##0_);_(* \(#,##0\);_(* &quot;-&quot;??_);_(@_)"/>
    </dxf>
  </rfmt>
  <rfmt sheetId="24" sqref="V10" start="0" length="0">
    <dxf>
      <numFmt numFmtId="181" formatCode="_(* #,##0_);_(* \(#,##0\);_(* &quot;-&quot;??_);_(@_)"/>
    </dxf>
  </rfmt>
  <rcc rId="1900" sId="24">
    <oc r="V9">
      <v>180</v>
    </oc>
    <nc r="V9">
      <f>V11*V7*10^-6</f>
    </nc>
  </rcc>
  <rcc rId="1901" sId="24">
    <oc r="V10">
      <v>120</v>
    </oc>
    <nc r="V10">
      <f>V11*V8*10^-6</f>
    </nc>
  </rcc>
  <rfmt sheetId="24" sqref="V9:V10">
    <dxf>
      <numFmt numFmtId="182" formatCode="_(* #,##0.0_);_(* \(#,##0.0\);_(* &quot;-&quot;??_);_(@_)"/>
    </dxf>
  </rfmt>
  <rfmt sheetId="24" sqref="V9:V10">
    <dxf>
      <numFmt numFmtId="181" formatCode="_(* #,##0_);_(* \(#,##0\);_(* &quot;-&quot;??_);_(@_)"/>
    </dxf>
  </rfmt>
  <rcc rId="1902" sId="24" odxf="1" dxf="1">
    <oc r="N9">
      <f>180*J13</f>
    </oc>
    <nc r="N9">
      <f>N11*N7*10^-6</f>
    </nc>
    <ndxf>
      <numFmt numFmtId="181" formatCode="_(* #,##0_);_(* \(#,##0\);_(* &quot;-&quot;??_);_(@_)"/>
    </ndxf>
  </rcc>
  <rcc rId="1903" sId="24" odxf="1" dxf="1">
    <oc r="N10">
      <f>120*J13</f>
    </oc>
    <nc r="N10">
      <f>N11*N8*10^-6</f>
    </nc>
    <ndxf>
      <numFmt numFmtId="181" formatCode="_(* #,##0_);_(* \(#,##0\);_(* &quot;-&quot;??_);_(@_)"/>
    </ndxf>
  </rcc>
  <rcc rId="1904" sId="24" odxf="1" dxf="1">
    <oc r="F9">
      <f>180*B13</f>
    </oc>
    <nc r="F9">
      <f>F11*F7*10^-6</f>
    </nc>
    <ndxf>
      <numFmt numFmtId="35" formatCode="_(* #,##0.00_);_(* \(#,##0.00\);_(* &quot;-&quot;??_);_(@_)"/>
      <alignment horizontal="general"/>
    </ndxf>
  </rcc>
  <rcc rId="1905" sId="24" odxf="1" dxf="1">
    <oc r="F10">
      <f>120*B13</f>
    </oc>
    <nc r="F10">
      <f>F11*F8*10^-6</f>
    </nc>
    <ndxf>
      <numFmt numFmtId="35" formatCode="_(* #,##0.00_);_(* \(#,##0.00\);_(* &quot;-&quot;??_);_(@_)"/>
      <alignment horizontal="general"/>
    </ndxf>
  </rcc>
  <rfmt sheetId="24" sqref="F9:F10">
    <dxf>
      <numFmt numFmtId="182" formatCode="_(* #,##0.0_);_(* \(#,##0.0\);_(* &quot;-&quot;??_);_(@_)"/>
    </dxf>
  </rfmt>
  <rfmt sheetId="24" sqref="F9:F10">
    <dxf>
      <numFmt numFmtId="181" formatCode="_(* #,##0_);_(* \(#,##0\);_(* &quot;-&quot;??_);_(@_)"/>
    </dxf>
  </rfmt>
  <rcmt sheetId="24" cell="F10" guid="{00000000-0000-0000-0000-000000000000}" action="delete" alwaysShow="1" author="Andrea Martin"/>
  <rcmt sheetId="24" cell="F9" guid="{00000000-0000-0000-0000-000000000000}" action="delete" alwaysShow="1" author="Andrea Martin"/>
  <rcmt sheetId="24" cell="N10" guid="{00000000-0000-0000-0000-000000000000}" action="delete" alwaysShow="1" author="Andrea Martin"/>
  <rcmt sheetId="24" cell="N9" guid="{00000000-0000-0000-0000-000000000000}" action="delete" alwaysShow="1" author="Andrea Martin"/>
  <rcc rId="1906" sId="24">
    <oc r="X9" t="inlineStr">
      <is>
        <t>KC15_90_02</t>
      </is>
    </oc>
    <nc r="X9"/>
  </rcc>
  <rcc rId="1907" sId="24">
    <oc r="X10" t="inlineStr">
      <is>
        <t>KC15_90_01</t>
      </is>
    </oc>
    <nc r="X10"/>
  </rcc>
  <rcmt sheetId="24" cell="V9" guid="{00000000-0000-0000-0000-000000000000}" action="delete" alwaysShow="1" author="Andrea Martin"/>
  <rcc rId="1908" sId="24">
    <oc r="X12" t="inlineStr">
      <is>
        <t>KC15_45_01</t>
      </is>
    </oc>
    <nc r="X12" t="inlineStr">
      <is>
        <t>KC15_90_08</t>
      </is>
    </nc>
  </rcc>
  <rcc rId="1909" sId="24">
    <oc r="X11" t="inlineStr">
      <is>
        <t>KC15_45_01</t>
      </is>
    </oc>
    <nc r="X11" t="inlineStr">
      <is>
        <t>KC15_90_09</t>
      </is>
    </nc>
  </rcc>
  <rcmt sheetId="24" cell="X12" guid="{00000000-0000-0000-0000-000000000000}" action="delete" alwaysShow="1" author="Andrea Martin"/>
  <rcmt sheetId="24" cell="V10" guid="{00000000-0000-0000-0000-000000000000}" action="delete" alwaysShow="1" author="Andrea Martin"/>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4" sqref="B6">
    <dxf>
      <fill>
        <patternFill>
          <bgColor theme="8" tint="0.79998168889431442"/>
        </patternFill>
      </fill>
    </dxf>
  </rfmt>
  <rfmt sheetId="24" sqref="F7:F8">
    <dxf>
      <fill>
        <patternFill>
          <bgColor theme="8" tint="0.79998168889431442"/>
        </patternFill>
      </fill>
    </dxf>
  </rfmt>
  <rfmt sheetId="24" sqref="J6">
    <dxf>
      <fill>
        <patternFill>
          <bgColor theme="8" tint="0.79998168889431442"/>
        </patternFill>
      </fill>
    </dxf>
  </rfmt>
  <rfmt sheetId="24" sqref="N7:N8">
    <dxf>
      <fill>
        <patternFill>
          <bgColor theme="8" tint="0.79998168889431442"/>
        </patternFill>
      </fill>
    </dxf>
  </rfmt>
  <rfmt sheetId="24" sqref="R6">
    <dxf>
      <fill>
        <patternFill>
          <bgColor theme="8" tint="0.79998168889431442"/>
        </patternFill>
      </fill>
    </dxf>
  </rfmt>
  <rfmt sheetId="24" sqref="V7:V8">
    <dxf>
      <fill>
        <patternFill>
          <bgColor theme="8" tint="0.79998168889431442"/>
        </patternFill>
      </fill>
    </dxf>
  </rfmt>
  <rcc rId="1910" sId="24" numFmtId="34">
    <oc r="V11">
      <v>172000000</v>
    </oc>
    <nc r="V11">
      <v>131200000</v>
    </nc>
  </rcc>
  <rcc rId="1911" sId="24">
    <oc r="AA76" t="inlineStr">
      <is>
        <t>?</t>
      </is>
    </oc>
    <nc r="AA76"/>
  </rcc>
  <rcc rId="1912" sId="24">
    <oc r="AB76" t="inlineStr">
      <is>
        <t>Do these emission get subtracted from the built emissions?</t>
      </is>
    </oc>
    <nc r="AB76"/>
  </rcc>
  <rcc rId="1913" sId="24">
    <oc r="AA77" t="inlineStr">
      <is>
        <t>GHG emissions should not be summed with emissions from other direct sources (e.g., stationary energy consumption)</t>
      </is>
    </oc>
    <nc r="AA77"/>
  </rcc>
  <rfmt sheetId="24" sqref="AA76">
    <dxf>
      <fill>
        <patternFill patternType="none">
          <bgColor auto="1"/>
        </patternFill>
      </fill>
    </dxf>
  </rfmt>
  <rcc rId="1914" sId="24">
    <nc r="Y11" t="inlineStr">
      <is>
        <t>page 11, 2015 forecast</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K54:K56">
    <dxf>
      <numFmt numFmtId="3" formatCode="#,##0"/>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6" sqref="M61:N61">
    <dxf>
      <fill>
        <patternFill patternType="solid">
          <bgColor rgb="FFFFFF00"/>
        </patternFill>
      </fill>
    </dxf>
  </rfmt>
  <rfmt sheetId="26" sqref="M63">
    <dxf>
      <fill>
        <patternFill patternType="solid">
          <bgColor rgb="FFFFFF00"/>
        </patternFill>
      </fill>
    </dxf>
  </rfmt>
  <rfmt sheetId="26" sqref="M73">
    <dxf>
      <fill>
        <patternFill patternType="solid">
          <bgColor rgb="FFFFFF00"/>
        </patternFill>
      </fill>
    </dxf>
  </rfmt>
  <rfmt sheetId="26" sqref="M81:N81">
    <dxf>
      <fill>
        <patternFill patternType="solid">
          <bgColor rgb="FFFFFF00"/>
        </patternFill>
      </fill>
    </dxf>
  </rfmt>
  <rcmt sheetId="26" cell="J112" guid="{00000000-0000-0000-0000-000000000000}" action="delete" alwaysShow="1" author="Andrea Martin"/>
  <rcc rId="1915" sId="26">
    <oc r="J112" t="inlineStr">
      <is>
        <t>Consistent with PSCAA's uses the wet manure system EF.</t>
      </is>
    </oc>
    <nc r="J112" t="inlineStr">
      <is>
        <t>Consistent with PSCAA's uses the wet manure system EF (from 2008 inventory).</t>
      </is>
    </nc>
  </rcc>
  <rcmt sheetId="26" cell="N13" guid="{D954C3B4-565B-4711-8831-B6BF0AEEB99F}" alwaysShow="1" author="Andrea Martin" newLength="80"/>
  <rcmt sheetId="26" cell="M61" guid="{E1F20DAB-CF0B-4662-99F8-077A586C6C30}" alwaysShow="1" author="Andrea Martin" newLength="28"/>
  <rcmt sheetId="26" cell="M63" guid="{7B7291D5-D3C7-4FF9-8BCA-8711F45BC6E4}" alwaysShow="1" author="Andrea Martin" newLength="39"/>
  <rcmt sheetId="26" cell="M73" guid="{B92AD06E-C9E8-4E23-8BB5-03039C04EC7C}" alwaysShow="1" author="Andrea Martin" newLength="17"/>
  <rcmt sheetId="26" cell="M81" guid="{7DC94F83-F4E7-428D-A18D-AB011732B9A7}" alwaysShow="1" author="Andrea Martin" newLength="23"/>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7" sqref="I16:I18" start="0" length="2147483647">
    <dxf>
      <font>
        <sz val="8"/>
        <family val="2"/>
      </font>
    </dxf>
  </rfmt>
  <rfmt sheetId="27" sqref="I16:I18" start="0" length="2147483647">
    <dxf>
      <font>
        <sz val="9"/>
        <family val="2"/>
      </font>
    </dxf>
  </rfmt>
  <rfmt sheetId="27" sqref="E16:E18" start="0" length="2147483647">
    <dxf>
      <font>
        <sz val="8"/>
        <family val="2"/>
      </font>
    </dxf>
  </rfmt>
  <rfmt sheetId="27" sqref="E16:E18" start="0" length="2147483647">
    <dxf>
      <font>
        <sz val="9"/>
        <family val="2"/>
      </font>
    </dxf>
  </rfmt>
  <rfmt sheetId="27" sqref="M16:M19" start="0" length="2147483647">
    <dxf>
      <font>
        <sz val="8"/>
        <family val="2"/>
      </font>
    </dxf>
  </rfmt>
  <rfmt sheetId="27" sqref="M16:M19" start="0" length="2147483647">
    <dxf>
      <font>
        <sz val="9"/>
        <family val="2"/>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6" sId="8">
    <nc r="D14" t="inlineStr">
      <is>
        <t>all</t>
      </is>
    </nc>
  </rcc>
  <rcc rId="1917" sId="8">
    <nc r="E14" t="inlineStr">
      <is>
        <t>QC complete, found better H2O estimates</t>
      </is>
    </nc>
  </rcc>
  <rcc rId="1918" sId="8">
    <nc r="E16" t="inlineStr">
      <is>
        <t>Animal emission factors through time</t>
      </is>
    </nc>
  </rcc>
  <rcc rId="1919" sId="26">
    <oc r="N51" t="inlineStr">
      <is>
        <t>Abstract from conference</t>
      </is>
    </oc>
    <nc r="N51"/>
  </rcc>
  <rcmt sheetId="26" cell="N51" guid="{00000000-0000-0000-0000-000000000000}" action="delete" alwaysShow="1" author="Andrea Martin"/>
  <rcc rId="1920" sId="26" numFmtId="4">
    <oc r="F57">
      <v>10</v>
    </oc>
    <nc r="F57">
      <v>6.1</v>
    </nc>
  </rcc>
  <rfmt sheetId="26" sqref="F57">
    <dxf>
      <fill>
        <patternFill patternType="solid">
          <bgColor rgb="FFFFFF00"/>
        </patternFill>
      </fill>
    </dxf>
  </rfmt>
  <rcc rId="1921" sId="26" numFmtId="4">
    <oc r="F58">
      <v>9.1999999999999993</v>
    </oc>
    <nc r="F58">
      <v>8.3000000000000007</v>
    </nc>
  </rcc>
  <rfmt sheetId="26" sqref="F58">
    <dxf>
      <fill>
        <patternFill patternType="solid">
          <bgColor rgb="FFFFFF00"/>
        </patternFill>
      </fill>
    </dxf>
  </rfmt>
  <rfmt sheetId="26" sqref="F59">
    <dxf>
      <fill>
        <patternFill patternType="solid">
          <bgColor rgb="FFFFFF00"/>
        </patternFill>
      </fill>
    </dxf>
  </rfmt>
  <rfmt sheetId="26" sqref="F60">
    <dxf>
      <fill>
        <patternFill patternType="solid">
          <bgColor rgb="FFFFFF00"/>
        </patternFill>
      </fill>
    </dxf>
  </rfmt>
  <rfmt sheetId="26" sqref="B59:B60">
    <dxf>
      <fill>
        <patternFill patternType="solid">
          <bgColor rgb="FFFFFF00"/>
        </patternFill>
      </fill>
    </dxf>
  </rfmt>
  <rcc rId="1922" sId="26" numFmtId="4">
    <oc r="B58">
      <v>9.1999999999999993</v>
    </oc>
    <nc r="B58">
      <v>8.8000000000000007</v>
    </nc>
  </rcc>
  <rfmt sheetId="26" sqref="B58">
    <dxf>
      <fill>
        <patternFill patternType="solid">
          <bgColor rgb="FFFFFF00"/>
        </patternFill>
      </fill>
    </dxf>
  </rfmt>
  <rcc rId="1923" sId="26" numFmtId="4">
    <oc r="B57">
      <v>10</v>
    </oc>
    <nc r="B57">
      <v>8.1</v>
    </nc>
  </rcc>
  <rfmt sheetId="26" sqref="B57">
    <dxf>
      <fill>
        <patternFill patternType="solid">
          <bgColor rgb="FFFFFF00"/>
        </patternFill>
      </fill>
    </dxf>
  </rfmt>
  <rcc rId="1924" sId="26">
    <nc r="N61" t="inlineStr">
      <is>
        <t>no citation, previously assumed to match that of a goat</t>
      </is>
    </nc>
  </rcc>
  <rcc rId="1925" sId="26" numFmtId="4">
    <oc r="F62">
      <v>15</v>
    </oc>
    <nc r="F62">
      <v>17</v>
    </nc>
  </rcc>
  <rcc rId="1926" sId="26" numFmtId="4">
    <oc r="B62">
      <v>15</v>
    </oc>
    <nc r="B62">
      <v>16.2</v>
    </nc>
  </rcc>
  <rfmt sheetId="26" sqref="F62">
    <dxf>
      <fill>
        <patternFill patternType="solid">
          <bgColor rgb="FFFFFF00"/>
        </patternFill>
      </fill>
    </dxf>
  </rfmt>
  <rfmt sheetId="26" sqref="B62">
    <dxf>
      <fill>
        <patternFill patternType="solid">
          <bgColor rgb="FFFFFF00"/>
        </patternFill>
      </fill>
    </dxf>
  </rfmt>
  <rcmt sheetId="26" cell="F74" guid="{00000000-0000-0000-0000-000000000000}" action="delete" alwaysShow="1" author="Andrea Martin"/>
  <rfmt sheetId="26" sqref="H57" start="0" length="2147483647">
    <dxf>
      <font>
        <b/>
        <family val="2"/>
      </font>
    </dxf>
  </rfmt>
  <rcc rId="1927" sId="26" odxf="1" dxf="1">
    <nc r="H57" t="inlineStr">
      <is>
        <t>KC15_00_02</t>
      </is>
    </nc>
    <odxf>
      <font>
        <b/>
        <name val="Calibri"/>
        <family val="2"/>
        <scheme val="minor"/>
      </font>
    </odxf>
    <ndxf>
      <font>
        <b val="0"/>
        <name val="Calibri"/>
        <family val="2"/>
        <scheme val="minor"/>
      </font>
    </ndxf>
  </rcc>
  <rcc rId="1928" sId="26">
    <nc r="H58" t="inlineStr">
      <is>
        <t>KC15_00_02</t>
      </is>
    </nc>
  </rcc>
  <rcc rId="1929" sId="26">
    <nc r="H59" t="inlineStr">
      <is>
        <t>KC15_00_02</t>
      </is>
    </nc>
  </rcc>
  <rcc rId="1930" sId="26">
    <nc r="H60" t="inlineStr">
      <is>
        <t>KC15_00_02</t>
      </is>
    </nc>
  </rcc>
  <rcc rId="1931" sId="26">
    <nc r="H62" t="inlineStr">
      <is>
        <t>KC15_00_02</t>
      </is>
    </nc>
  </rcc>
  <rfmt sheetId="26" sqref="E54" start="0" length="0">
    <dxf>
      <numFmt numFmtId="30" formatCode="@"/>
    </dxf>
  </rfmt>
  <rfmt sheetId="26" sqref="E55" start="0" length="0">
    <dxf>
      <numFmt numFmtId="30" formatCode="@"/>
    </dxf>
  </rfmt>
  <rfmt sheetId="26" sqref="E56" start="0" length="0">
    <dxf>
      <numFmt numFmtId="30" formatCode="@"/>
    </dxf>
  </rfmt>
  <rcc rId="1932" sId="26" odxf="1" dxf="1">
    <nc r="E57" t="inlineStr">
      <is>
        <t>KC15_00_02</t>
      </is>
    </nc>
    <odxf>
      <numFmt numFmtId="0" formatCode="General"/>
      <border outline="0">
        <right style="thin">
          <color indexed="64"/>
        </right>
      </border>
    </odxf>
    <ndxf>
      <numFmt numFmtId="30" formatCode="@"/>
      <border outline="0">
        <right/>
      </border>
    </ndxf>
  </rcc>
  <rcc rId="1933" sId="26" odxf="1" dxf="1">
    <nc r="E58" t="inlineStr">
      <is>
        <t>KC15_00_02</t>
      </is>
    </nc>
    <odxf>
      <numFmt numFmtId="0" formatCode="General"/>
      <border outline="0">
        <right style="thin">
          <color indexed="64"/>
        </right>
      </border>
    </odxf>
    <ndxf>
      <numFmt numFmtId="30" formatCode="@"/>
      <border outline="0">
        <right/>
      </border>
    </ndxf>
  </rcc>
  <rcc rId="1934" sId="26" odxf="1" dxf="1">
    <nc r="E59" t="inlineStr">
      <is>
        <t>KC15_00_02</t>
      </is>
    </nc>
    <odxf>
      <numFmt numFmtId="0" formatCode="General"/>
      <border outline="0">
        <right style="thin">
          <color indexed="64"/>
        </right>
      </border>
    </odxf>
    <ndxf>
      <numFmt numFmtId="30" formatCode="@"/>
      <border outline="0">
        <right/>
      </border>
    </ndxf>
  </rcc>
  <rcc rId="1935" sId="26" odxf="1" dxf="1">
    <nc r="E60" t="inlineStr">
      <is>
        <t>KC15_00_02</t>
      </is>
    </nc>
    <odxf>
      <numFmt numFmtId="0" formatCode="General"/>
      <border outline="0">
        <right style="thin">
          <color indexed="64"/>
        </right>
      </border>
    </odxf>
    <ndxf>
      <numFmt numFmtId="30" formatCode="@"/>
      <border outline="0">
        <right/>
      </border>
    </ndxf>
  </rcc>
  <rfmt sheetId="26" sqref="E61" start="0" length="0">
    <dxf>
      <numFmt numFmtId="30" formatCode="@"/>
      <border outline="0">
        <right/>
      </border>
    </dxf>
  </rfmt>
  <rcc rId="1936" sId="26" odxf="1" dxf="1">
    <nc r="E62" t="inlineStr">
      <is>
        <t>KC15_00_02</t>
      </is>
    </nc>
    <odxf>
      <numFmt numFmtId="0" formatCode="General"/>
      <border outline="0">
        <right style="thin">
          <color indexed="64"/>
        </right>
      </border>
    </odxf>
    <ndxf>
      <numFmt numFmtId="30" formatCode="@"/>
      <border outline="0">
        <right/>
      </border>
    </ndxf>
  </rcc>
  <rcc rId="1937" sId="26">
    <nc r="E54" t="inlineStr">
      <is>
        <t>cows were 2015 only, so left at same</t>
      </is>
    </nc>
  </rcc>
  <rcc rId="1938" sId="26">
    <nc r="E55" t="inlineStr">
      <is>
        <t>cows were 2015 only, so left at same</t>
      </is>
    </nc>
  </rcc>
  <rcc rId="1939" sId="26">
    <nc r="E56" t="inlineStr">
      <is>
        <t>cows were 2015 only, so left at same</t>
      </is>
    </nc>
  </rcc>
  <rcc rId="1940" sId="26">
    <nc r="I54" t="inlineStr">
      <is>
        <t>cows were 2015 only, so left at same</t>
      </is>
    </nc>
  </rcc>
  <rcc rId="1941" sId="26">
    <nc r="I55" t="inlineStr">
      <is>
        <t>cows were 2015 only, so left at same</t>
      </is>
    </nc>
  </rcc>
  <rcc rId="1942" sId="26">
    <nc r="I56" t="inlineStr">
      <is>
        <t>cows were 2015 only, so left at same</t>
      </is>
    </nc>
  </rcc>
  <rrc rId="1943" sId="26" ref="A89:XFD89" action="insertRow"/>
  <rrc rId="1944" sId="26" ref="A90:XFD90" action="insertRow"/>
  <rcc rId="1945" sId="27" numFmtId="34">
    <oc r="F7">
      <v>2689</v>
    </oc>
    <nc r="F7">
      <f>SUM(F8:F10)</f>
    </nc>
  </rcc>
  <rcc rId="1946" sId="27" numFmtId="34">
    <oc r="F8">
      <v>2173</v>
    </oc>
    <nc r="F8">
      <v>4770</v>
    </nc>
  </rcc>
  <rcc rId="1947" sId="27" numFmtId="34">
    <oc r="F9">
      <v>272</v>
    </oc>
    <nc r="F9">
      <v>457</v>
    </nc>
  </rcc>
  <rcc rId="1948" sId="27" numFmtId="34">
    <oc r="F10">
      <v>244</v>
    </oc>
    <nc r="F10">
      <v>337</v>
    </nc>
  </rcc>
  <rcc rId="1949" sId="27" numFmtId="34">
    <oc r="F12">
      <v>262.67591827364555</v>
    </oc>
    <nc r="F12">
      <v>432</v>
    </nc>
  </rcc>
  <rcc rId="1950" sId="27" numFmtId="34">
    <oc r="F13">
      <v>119.69061065197366</v>
    </oc>
    <nc r="F13">
      <v>203</v>
    </nc>
  </rcc>
  <rcc rId="1951" sId="27" numFmtId="34">
    <oc r="F14">
      <v>1425.1586088154193</v>
    </oc>
    <nc r="F14">
      <v>1628</v>
    </nc>
  </rcc>
  <rcc rId="1952" sId="27" numFmtId="34">
    <oc r="F16">
      <v>262.67591827364555</v>
    </oc>
    <nc r="F16">
      <v>432</v>
    </nc>
  </rcc>
  <rcc rId="1953" sId="27" numFmtId="34">
    <oc r="F17">
      <v>59.845305325987283</v>
    </oc>
    <nc r="F17">
      <v>101</v>
    </nc>
  </rcc>
  <rcc rId="1954" sId="27" numFmtId="34">
    <oc r="F18">
      <v>207.50951652892371</v>
    </oc>
    <nc r="F18">
      <v>98</v>
    </nc>
  </rcc>
  <rcc rId="1955" sId="27" numFmtId="34">
    <oc r="B8">
      <v>5655</v>
    </oc>
    <nc r="B8">
      <v>6392</v>
    </nc>
  </rcc>
  <rcc rId="1956" sId="27" numFmtId="34">
    <oc r="B9">
      <v>658</v>
    </oc>
    <nc r="B9">
      <v>712</v>
    </nc>
  </rcc>
  <rcc rId="1957" sId="27" numFmtId="34">
    <oc r="B10">
      <v>400</v>
    </oc>
    <nc r="B10">
      <v>365</v>
    </nc>
  </rcc>
  <rcc rId="1958" sId="27" numFmtId="34">
    <oc r="B12">
      <v>755.84283746556116</v>
    </oc>
    <nc r="B12">
      <v>804</v>
    </nc>
  </rcc>
  <rcc rId="1959" sId="27" numFmtId="34">
    <oc r="B13">
      <v>291.20130853994601</v>
    </oc>
    <nc r="B13">
      <v>319</v>
    </nc>
  </rcc>
  <rcc rId="1960" sId="27" numFmtId="34">
    <oc r="B14">
      <v>2000.6790174472092</v>
    </oc>
    <nc r="B14">
      <v>2261</v>
    </nc>
  </rcc>
  <rcc rId="1961" sId="27" numFmtId="34">
    <oc r="B16">
      <v>755.84283746556116</v>
    </oc>
    <nc r="B16">
      <v>804</v>
    </nc>
  </rcc>
  <rcc rId="1962" sId="27" numFmtId="34">
    <oc r="B17">
      <v>145.60065426997312</v>
    </oc>
    <nc r="B17">
      <v>159</v>
    </nc>
  </rcc>
  <rcc rId="1963" sId="27" numFmtId="34">
    <oc r="B18">
      <v>320.04074104682968</v>
    </oc>
    <nc r="B18">
      <v>136</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64" sId="27">
    <oc r="L15" t="inlineStr">
      <is>
        <t>KC15-80-01</t>
      </is>
    </oc>
    <nc r="L15"/>
  </rcc>
  <rcc rId="1965" sId="27">
    <oc r="L7" t="inlineStr">
      <is>
        <t>KC15-80-01</t>
      </is>
    </oc>
    <nc r="L7"/>
  </rcc>
  <rcc rId="1966" sId="27">
    <oc r="L11" t="inlineStr">
      <is>
        <t>KC15-80-01</t>
      </is>
    </oc>
    <nc r="L11"/>
  </rcc>
  <rcc rId="1967" sId="27" odxf="1" dxf="1">
    <oc r="H8" t="inlineStr">
      <is>
        <t>KC08-80-5</t>
      </is>
    </oc>
    <nc r="H8" t="inlineStr">
      <is>
        <t>KC15-80-01</t>
      </is>
    </nc>
    <odxf>
      <numFmt numFmtId="0" formatCode="General"/>
      <alignment horizontal="center"/>
    </odxf>
    <ndxf>
      <numFmt numFmtId="30" formatCode="@"/>
      <alignment horizontal="general"/>
    </ndxf>
  </rcc>
  <rcc rId="1968" sId="27" odxf="1" dxf="1">
    <oc r="H9" t="inlineStr">
      <is>
        <t>KC08-80-5</t>
      </is>
    </oc>
    <nc r="H9" t="inlineStr">
      <is>
        <t>KC15-80-01</t>
      </is>
    </nc>
    <odxf>
      <numFmt numFmtId="0" formatCode="General"/>
      <alignment horizontal="center"/>
    </odxf>
    <ndxf>
      <numFmt numFmtId="30" formatCode="@"/>
      <alignment horizontal="general"/>
    </ndxf>
  </rcc>
  <rcc rId="1969" sId="27" odxf="1" dxf="1">
    <oc r="H10" t="inlineStr">
      <is>
        <t>KC08-80-5</t>
      </is>
    </oc>
    <nc r="H10" t="inlineStr">
      <is>
        <t>KC15-80-01</t>
      </is>
    </nc>
    <odxf>
      <numFmt numFmtId="0" formatCode="General"/>
      <alignment horizontal="center"/>
    </odxf>
    <ndxf>
      <numFmt numFmtId="30" formatCode="@"/>
      <alignment horizontal="general"/>
    </ndxf>
  </rcc>
  <rcc rId="1970" sId="27" odxf="1" dxf="1">
    <oc r="H11" t="inlineStr">
      <is>
        <t>KC08-80-5</t>
      </is>
    </oc>
    <nc r="H11"/>
    <odxf>
      <numFmt numFmtId="0" formatCode="General"/>
      <alignment horizontal="center"/>
    </odxf>
    <ndxf>
      <numFmt numFmtId="30" formatCode="@"/>
      <alignment horizontal="general"/>
    </ndxf>
  </rcc>
  <rcc rId="1971" sId="27" odxf="1" dxf="1">
    <oc r="H12" t="inlineStr">
      <is>
        <t>KC08-80-5</t>
      </is>
    </oc>
    <nc r="H12" t="inlineStr">
      <is>
        <t>KC15-80-01</t>
      </is>
    </nc>
    <odxf>
      <numFmt numFmtId="0" formatCode="General"/>
      <alignment horizontal="center"/>
    </odxf>
    <ndxf>
      <numFmt numFmtId="30" formatCode="@"/>
      <alignment horizontal="general"/>
    </ndxf>
  </rcc>
  <rcc rId="1972" sId="27" odxf="1" dxf="1">
    <oc r="H13" t="inlineStr">
      <is>
        <t>KC08-80-5</t>
      </is>
    </oc>
    <nc r="H13" t="inlineStr">
      <is>
        <t>KC15-80-01</t>
      </is>
    </nc>
    <odxf>
      <numFmt numFmtId="0" formatCode="General"/>
      <alignment horizontal="center"/>
    </odxf>
    <ndxf>
      <numFmt numFmtId="30" formatCode="@"/>
      <alignment horizontal="general"/>
    </ndxf>
  </rcc>
  <rcc rId="1973" sId="27" odxf="1" dxf="1">
    <oc r="H14" t="inlineStr">
      <is>
        <t>KC08-80-5</t>
      </is>
    </oc>
    <nc r="H14" t="inlineStr">
      <is>
        <t>KC15-80-01</t>
      </is>
    </nc>
    <odxf>
      <numFmt numFmtId="0" formatCode="General"/>
      <alignment horizontal="center"/>
    </odxf>
    <ndxf>
      <numFmt numFmtId="30" formatCode="@"/>
      <alignment horizontal="general"/>
    </ndxf>
  </rcc>
  <rcc rId="1974" sId="27">
    <nc r="H16" t="inlineStr">
      <is>
        <t>KC15-80-01</t>
      </is>
    </nc>
  </rcc>
  <rcc rId="1975" sId="27">
    <nc r="H17" t="inlineStr">
      <is>
        <t>KC15-80-01</t>
      </is>
    </nc>
  </rcc>
  <rcc rId="1976" sId="27">
    <nc r="H18" t="inlineStr">
      <is>
        <t>KC15-80-01</t>
      </is>
    </nc>
  </rcc>
  <rcc rId="1977" sId="27">
    <oc r="H7" t="inlineStr">
      <is>
        <t>KC08-80-5</t>
      </is>
    </oc>
    <nc r="H7"/>
  </rcc>
  <rcc rId="1978" sId="27">
    <oc r="D7" t="inlineStr">
      <is>
        <t>KC08-80-5</t>
      </is>
    </oc>
    <nc r="D7"/>
  </rcc>
  <rcc rId="1979" sId="27" odxf="1" dxf="1">
    <oc r="D8" t="inlineStr">
      <is>
        <t>KC08-80-5</t>
      </is>
    </oc>
    <nc r="D8" t="inlineStr">
      <is>
        <t>KC15-80-01</t>
      </is>
    </nc>
    <odxf>
      <numFmt numFmtId="0" formatCode="General"/>
      <alignment horizontal="center"/>
    </odxf>
    <ndxf>
      <numFmt numFmtId="30" formatCode="@"/>
      <alignment horizontal="general"/>
    </ndxf>
  </rcc>
  <rcc rId="1980" sId="27" odxf="1" dxf="1">
    <oc r="D9" t="inlineStr">
      <is>
        <t>KC08-80-5</t>
      </is>
    </oc>
    <nc r="D9" t="inlineStr">
      <is>
        <t>KC15-80-01</t>
      </is>
    </nc>
    <odxf>
      <numFmt numFmtId="0" formatCode="General"/>
      <alignment horizontal="center"/>
    </odxf>
    <ndxf>
      <numFmt numFmtId="30" formatCode="@"/>
      <alignment horizontal="general"/>
    </ndxf>
  </rcc>
  <rcc rId="1981" sId="27" odxf="1" dxf="1">
    <oc r="D10" t="inlineStr">
      <is>
        <t>KC08-80-5</t>
      </is>
    </oc>
    <nc r="D10" t="inlineStr">
      <is>
        <t>KC15-80-01</t>
      </is>
    </nc>
    <odxf>
      <numFmt numFmtId="0" formatCode="General"/>
      <alignment horizontal="center"/>
    </odxf>
    <ndxf>
      <numFmt numFmtId="30" formatCode="@"/>
      <alignment horizontal="general"/>
    </ndxf>
  </rcc>
  <rcc rId="1982" sId="27" odxf="1" dxf="1">
    <oc r="D11" t="inlineStr">
      <is>
        <t>KC08-80-5</t>
      </is>
    </oc>
    <nc r="D11"/>
    <odxf>
      <numFmt numFmtId="0" formatCode="General"/>
      <alignment horizontal="center"/>
    </odxf>
    <ndxf>
      <numFmt numFmtId="30" formatCode="@"/>
      <alignment horizontal="general"/>
    </ndxf>
  </rcc>
  <rcc rId="1983" sId="27" odxf="1" dxf="1">
    <oc r="D12" t="inlineStr">
      <is>
        <t>KC08-80-5</t>
      </is>
    </oc>
    <nc r="D12" t="inlineStr">
      <is>
        <t>KC15-80-01</t>
      </is>
    </nc>
    <odxf>
      <numFmt numFmtId="0" formatCode="General"/>
      <alignment horizontal="center"/>
    </odxf>
    <ndxf>
      <numFmt numFmtId="30" formatCode="@"/>
      <alignment horizontal="general"/>
    </ndxf>
  </rcc>
  <rcc rId="1984" sId="27" odxf="1" dxf="1">
    <oc r="D13" t="inlineStr">
      <is>
        <t>KC08-80-5</t>
      </is>
    </oc>
    <nc r="D13" t="inlineStr">
      <is>
        <t>KC15-80-01</t>
      </is>
    </nc>
    <odxf>
      <numFmt numFmtId="0" formatCode="General"/>
      <alignment horizontal="center"/>
    </odxf>
    <ndxf>
      <numFmt numFmtId="30" formatCode="@"/>
      <alignment horizontal="general"/>
    </ndxf>
  </rcc>
  <rcc rId="1985" sId="27" odxf="1" dxf="1">
    <oc r="D14" t="inlineStr">
      <is>
        <t>KC08-80-5</t>
      </is>
    </oc>
    <nc r="D14" t="inlineStr">
      <is>
        <t>KC15-80-01</t>
      </is>
    </nc>
    <odxf>
      <numFmt numFmtId="0" formatCode="General"/>
      <alignment horizontal="center"/>
    </odxf>
    <ndxf>
      <numFmt numFmtId="30" formatCode="@"/>
      <alignment horizontal="general"/>
    </ndxf>
  </rcc>
  <rfmt sheetId="27" sqref="D15" start="0" length="0">
    <dxf>
      <font>
        <sz val="9"/>
        <color auto="1"/>
        <name val="Arial"/>
        <family val="2"/>
        <scheme val="none"/>
      </font>
      <alignment horizontal="general"/>
    </dxf>
  </rfmt>
  <rcc rId="1986" sId="27" odxf="1" dxf="1">
    <nc r="D16" t="inlineStr">
      <is>
        <t>KC15-80-01</t>
      </is>
    </nc>
    <odxf>
      <font>
        <family val="2"/>
      </font>
      <alignment horizontal="center"/>
    </odxf>
    <ndxf>
      <font>
        <sz val="9"/>
        <color auto="1"/>
        <name val="Arial"/>
        <family val="2"/>
        <scheme val="none"/>
      </font>
      <alignment horizontal="general"/>
    </ndxf>
  </rcc>
  <rcc rId="1987" sId="27" odxf="1" dxf="1">
    <nc r="D17" t="inlineStr">
      <is>
        <t>KC15-80-01</t>
      </is>
    </nc>
    <odxf>
      <font>
        <family val="2"/>
      </font>
      <alignment horizontal="center"/>
    </odxf>
    <ndxf>
      <font>
        <sz val="9"/>
        <color auto="1"/>
        <name val="Arial"/>
        <family val="2"/>
        <scheme val="none"/>
      </font>
      <alignment horizontal="general"/>
    </ndxf>
  </rcc>
  <rcc rId="1988" sId="27" odxf="1" dxf="1">
    <nc r="D18" t="inlineStr">
      <is>
        <t>KC15-80-01</t>
      </is>
    </nc>
    <odxf>
      <numFmt numFmtId="2" formatCode="0.00"/>
      <alignment horizontal="center"/>
    </odxf>
    <ndxf>
      <numFmt numFmtId="30" formatCode="@"/>
      <alignment horizontal="general"/>
    </ndxf>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18">
    <nc r="O38">
      <f>12365+42335</f>
    </nc>
  </rcc>
  <rcc rId="1990" sId="18" numFmtId="4">
    <nc r="O39">
      <v>1775</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F8D467A4-EB2B-43C7-BE12-837709BD61C5}" name="Andrea Martin" id="-124794325" dateTime="2017-05-16T08:09:18"/>
  <userInfo guid="{98704B7D-3C38-4F4E-9689-385D9ECD8C13}" name="Brian Harmon" id="-1030072889" dateTime="2017-05-23T14:02:05"/>
  <userInfo guid="{8F1D5DD7-AC41-4B9D-BDCF-792BE14BEE2B}" name="Andrea Martin" id="-124823274" dateTime="2017-05-24T10:54:32"/>
  <userInfo guid="{B16DE288-81CD-4B4A-AA29-0F396B02E2A4}" name="Brian Harmon" id="-1030082554" dateTime="2017-05-24T15:47:15"/>
</users>
</file>

<file path=xl/theme/theme1.xml><?xml version="1.0" encoding="utf-8"?>
<a:theme xmlns:a="http://schemas.openxmlformats.org/drawingml/2006/main" name="Office Theme">
  <a:themeElements>
    <a:clrScheme name="Cascadia_2016b">
      <a:dk1>
        <a:sysClr val="windowText" lastClr="000000"/>
      </a:dk1>
      <a:lt1>
        <a:sysClr val="window" lastClr="FFFFFF"/>
      </a:lt1>
      <a:dk2>
        <a:srgbClr val="5E695E"/>
      </a:dk2>
      <a:lt2>
        <a:srgbClr val="CED665"/>
      </a:lt2>
      <a:accent1>
        <a:srgbClr val="9D9272"/>
      </a:accent1>
      <a:accent2>
        <a:srgbClr val="9FAFA5"/>
      </a:accent2>
      <a:accent3>
        <a:srgbClr val="94B7BC"/>
      </a:accent3>
      <a:accent4>
        <a:srgbClr val="6E5E52"/>
      </a:accent4>
      <a:accent5>
        <a:srgbClr val="CD7E3E"/>
      </a:accent5>
      <a:accent6>
        <a:srgbClr val="F1B828"/>
      </a:accent6>
      <a:hlink>
        <a:srgbClr val="5E695E"/>
      </a:hlink>
      <a:folHlink>
        <a:srgbClr val="5E695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4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6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6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6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3.bin"/><Relationship Id="rId4" Type="http://schemas.openxmlformats.org/officeDocument/2006/relationships/comments" Target="../comments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drawing" Target="../drawings/drawing6.xml"/><Relationship Id="rId4" Type="http://schemas.openxmlformats.org/officeDocument/2006/relationships/printerSettings" Target="../printerSettings/printerSettings78.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8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 Id="rId4" Type="http://schemas.openxmlformats.org/officeDocument/2006/relationships/printerSettings" Target="../printerSettings/printerSettings86.bin"/></Relationships>
</file>

<file path=xl/worksheets/_rels/sheet28.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4.xml"/><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pageSetUpPr autoPageBreaks="0"/>
  </sheetPr>
  <dimension ref="B1:AG124"/>
  <sheetViews>
    <sheetView workbookViewId="0">
      <selection activeCell="H12" sqref="H12"/>
    </sheetView>
  </sheetViews>
  <sheetFormatPr defaultColWidth="6.42578125" defaultRowHeight="12" x14ac:dyDescent="0.2"/>
  <cols>
    <col min="1" max="1" width="2.7109375" customWidth="1"/>
    <col min="2" max="2" width="2.42578125" customWidth="1"/>
    <col min="3" max="3" width="2.85546875" customWidth="1"/>
    <col min="4" max="4" width="30.28515625" bestFit="1" customWidth="1"/>
    <col min="5" max="5" width="11.5703125" customWidth="1"/>
    <col min="6" max="7" width="13.7109375" style="344" customWidth="1"/>
    <col min="8" max="8" width="7.85546875" style="1120" bestFit="1" customWidth="1"/>
    <col min="9" max="10" width="6" style="1120" customWidth="1"/>
    <col min="11" max="11" width="2.42578125" customWidth="1"/>
    <col min="12" max="12" width="2.85546875" customWidth="1"/>
    <col min="13" max="13" width="30.28515625" bestFit="1" customWidth="1"/>
    <col min="14" max="14" width="11.5703125" customWidth="1"/>
    <col min="15" max="16" width="13.7109375" style="344" customWidth="1"/>
    <col min="17" max="19" width="6" style="1120" customWidth="1"/>
    <col min="20" max="20" width="2.42578125" customWidth="1"/>
    <col min="21" max="21" width="2.85546875" customWidth="1"/>
    <col min="22" max="22" width="30.28515625" bestFit="1" customWidth="1"/>
    <col min="23" max="23" width="11.5703125" customWidth="1"/>
    <col min="24" max="25" width="13.7109375" style="344" customWidth="1"/>
    <col min="26" max="26" width="6" style="1120" customWidth="1"/>
    <col min="27" max="27" width="6.28515625" customWidth="1"/>
    <col min="28" max="28" width="2.42578125" customWidth="1"/>
    <col min="29" max="29" width="5.28515625" customWidth="1"/>
    <col min="30" max="30" width="1.42578125" customWidth="1"/>
    <col min="31" max="31" width="13.5703125" bestFit="1" customWidth="1"/>
    <col min="32" max="32" width="8.85546875" bestFit="1" customWidth="1"/>
    <col min="37" max="38" width="11.5703125" bestFit="1" customWidth="1"/>
  </cols>
  <sheetData>
    <row r="1" spans="2:33" ht="12" customHeight="1" thickBot="1" x14ac:dyDescent="0.25">
      <c r="B1" t="s">
        <v>1315</v>
      </c>
      <c r="K1" t="s">
        <v>1315</v>
      </c>
      <c r="T1" t="s">
        <v>1316</v>
      </c>
      <c r="AE1" s="5"/>
      <c r="AF1" s="5"/>
    </row>
    <row r="2" spans="2:33" s="410" customFormat="1" ht="35.25" customHeight="1" thickBot="1" x14ac:dyDescent="0.35">
      <c r="B2" s="2529" t="s">
        <v>36</v>
      </c>
      <c r="C2" s="2530"/>
      <c r="D2" s="2530"/>
      <c r="E2" s="2530"/>
      <c r="F2" s="471">
        <v>2003</v>
      </c>
      <c r="G2" s="1019">
        <v>2008</v>
      </c>
      <c r="H2" s="1120"/>
      <c r="I2" s="1120"/>
      <c r="J2" s="1120"/>
      <c r="K2" s="2529" t="s">
        <v>36</v>
      </c>
      <c r="L2" s="2530"/>
      <c r="M2" s="2530"/>
      <c r="N2" s="2530"/>
      <c r="O2" s="471">
        <v>2003</v>
      </c>
      <c r="P2" s="1019">
        <v>2008</v>
      </c>
      <c r="Q2" s="1120"/>
      <c r="R2" s="1120"/>
      <c r="S2" s="1120"/>
      <c r="T2" s="2529" t="s">
        <v>36</v>
      </c>
      <c r="U2" s="2530"/>
      <c r="V2" s="2530"/>
      <c r="W2" s="2530"/>
      <c r="X2" s="471">
        <v>2003</v>
      </c>
      <c r="Y2" s="1019">
        <v>2008</v>
      </c>
      <c r="Z2" s="1120"/>
      <c r="AA2" s="416" t="s">
        <v>1209</v>
      </c>
      <c r="AE2" s="425"/>
      <c r="AG2" s="424"/>
    </row>
    <row r="3" spans="2:33" ht="6.75" customHeight="1" thickBot="1" x14ac:dyDescent="0.25">
      <c r="B3" s="1020"/>
      <c r="C3" s="435"/>
      <c r="D3" s="436"/>
      <c r="E3" s="436"/>
      <c r="F3" s="437"/>
      <c r="G3" s="1021"/>
      <c r="K3" s="1020"/>
      <c r="L3" s="435"/>
      <c r="M3" s="436"/>
      <c r="N3" s="436"/>
      <c r="O3" s="437"/>
      <c r="P3" s="1021"/>
      <c r="T3" s="1020"/>
      <c r="U3" s="435"/>
      <c r="V3" s="436"/>
      <c r="W3" s="436"/>
      <c r="X3" s="437"/>
      <c r="Y3" s="1021"/>
      <c r="AE3" s="5"/>
      <c r="AF3" s="5"/>
    </row>
    <row r="4" spans="2:33" s="410" customFormat="1" ht="16.5" customHeight="1" thickTop="1" thickBot="1" x14ac:dyDescent="0.25">
      <c r="B4" s="472" t="s">
        <v>825</v>
      </c>
      <c r="C4" s="473"/>
      <c r="D4" s="473"/>
      <c r="E4" s="473"/>
      <c r="F4" s="1096">
        <v>11329727.54526259</v>
      </c>
      <c r="G4" s="1097">
        <v>11353735.827275094</v>
      </c>
      <c r="H4" s="1120">
        <v>0.46383935031355561</v>
      </c>
      <c r="I4" s="1120"/>
      <c r="J4" s="1120"/>
      <c r="K4" s="472" t="s">
        <v>825</v>
      </c>
      <c r="L4" s="473"/>
      <c r="M4" s="473"/>
      <c r="N4" s="473"/>
      <c r="O4" s="1096">
        <v>11330000</v>
      </c>
      <c r="P4" s="1097">
        <v>11354000</v>
      </c>
      <c r="Q4" s="1120"/>
      <c r="R4" s="1120"/>
      <c r="S4" s="1120"/>
      <c r="T4" s="472" t="s">
        <v>825</v>
      </c>
      <c r="U4" s="473"/>
      <c r="V4" s="473"/>
      <c r="W4" s="473"/>
      <c r="X4" s="1169">
        <v>11.33</v>
      </c>
      <c r="Y4" s="1170">
        <v>11.353999999999999</v>
      </c>
      <c r="Z4" s="1120"/>
      <c r="AA4" s="1120">
        <v>0.78104902839989676</v>
      </c>
      <c r="AE4" s="420"/>
      <c r="AF4" s="419"/>
    </row>
    <row r="5" spans="2:33" s="365" customFormat="1" ht="15" customHeight="1" thickTop="1" x14ac:dyDescent="0.25">
      <c r="B5" s="1023"/>
      <c r="C5" s="442" t="s">
        <v>839</v>
      </c>
      <c r="D5" s="443"/>
      <c r="E5" s="444"/>
      <c r="F5" s="1098">
        <v>9168576.8379433844</v>
      </c>
      <c r="G5" s="1099">
        <v>8867824.3366023097</v>
      </c>
      <c r="H5" s="1120">
        <v>0.36228127389604192</v>
      </c>
      <c r="I5" s="1120">
        <v>0.78104902839989676</v>
      </c>
      <c r="J5" s="1120"/>
      <c r="K5" s="1023"/>
      <c r="L5" s="442" t="s">
        <v>839</v>
      </c>
      <c r="M5" s="443"/>
      <c r="N5" s="444"/>
      <c r="O5" s="1098">
        <v>9169000</v>
      </c>
      <c r="P5" s="1099">
        <v>8868000</v>
      </c>
      <c r="Q5" s="1120"/>
      <c r="R5" s="1120"/>
      <c r="S5" s="1120"/>
      <c r="T5" s="1023"/>
      <c r="U5" s="442" t="s">
        <v>839</v>
      </c>
      <c r="V5" s="443"/>
      <c r="W5" s="444"/>
      <c r="X5" s="1171">
        <v>9.1690000000000005</v>
      </c>
      <c r="Y5" s="1172">
        <v>8.8680000000000003</v>
      </c>
      <c r="Z5" s="1120"/>
    </row>
    <row r="6" spans="2:33" s="407" customFormat="1" ht="12.75" x14ac:dyDescent="0.2">
      <c r="B6" s="1024"/>
      <c r="C6" s="438"/>
      <c r="D6" s="438" t="s">
        <v>9</v>
      </c>
      <c r="E6" s="439"/>
      <c r="F6" s="1100">
        <v>5963832.73751067</v>
      </c>
      <c r="G6" s="1101">
        <v>5633434.8276841715</v>
      </c>
      <c r="H6" s="1119"/>
      <c r="I6" s="1119"/>
      <c r="J6" s="1119"/>
      <c r="K6" s="1024"/>
      <c r="L6" s="438"/>
      <c r="M6" s="438" t="s">
        <v>9</v>
      </c>
      <c r="N6" s="439"/>
      <c r="O6" s="1100">
        <v>5964000</v>
      </c>
      <c r="P6" s="1101">
        <v>5633000</v>
      </c>
      <c r="Q6" s="1243"/>
      <c r="R6" s="1243"/>
      <c r="S6" s="1119"/>
      <c r="T6" s="1024"/>
      <c r="U6" s="438"/>
      <c r="V6" s="438" t="s">
        <v>9</v>
      </c>
      <c r="W6" s="439"/>
      <c r="X6" s="1167">
        <v>5.9640000000000004</v>
      </c>
      <c r="Y6" s="1168">
        <v>5.633</v>
      </c>
      <c r="Z6" s="1119"/>
      <c r="AE6" s="413"/>
      <c r="AF6" s="421"/>
    </row>
    <row r="7" spans="2:33" s="407" customFormat="1" ht="12.75" x14ac:dyDescent="0.2">
      <c r="B7" s="1024"/>
      <c r="C7" s="438"/>
      <c r="D7" s="438" t="s">
        <v>10</v>
      </c>
      <c r="E7" s="439"/>
      <c r="F7" s="1100">
        <v>3076682.7195889056</v>
      </c>
      <c r="G7" s="1101">
        <v>3115451.630561586</v>
      </c>
      <c r="H7" s="1119"/>
      <c r="I7" s="1119"/>
      <c r="J7" s="1119"/>
      <c r="K7" s="1024"/>
      <c r="L7" s="438"/>
      <c r="M7" s="438" t="s">
        <v>10</v>
      </c>
      <c r="N7" s="439"/>
      <c r="O7" s="1100">
        <v>3077000</v>
      </c>
      <c r="P7" s="1101">
        <v>3115000</v>
      </c>
      <c r="Q7" s="1119"/>
      <c r="R7" s="1119"/>
      <c r="S7" s="1119"/>
      <c r="T7" s="1024"/>
      <c r="U7" s="438"/>
      <c r="V7" s="438" t="s">
        <v>10</v>
      </c>
      <c r="W7" s="439"/>
      <c r="X7" s="1167">
        <v>3.077</v>
      </c>
      <c r="Y7" s="1168">
        <v>3.1150000000000002</v>
      </c>
      <c r="Z7" s="1119"/>
      <c r="AE7" s="413"/>
      <c r="AF7" s="421"/>
    </row>
    <row r="8" spans="2:33" s="407" customFormat="1" ht="12.75" x14ac:dyDescent="0.2">
      <c r="B8" s="1024"/>
      <c r="C8" s="438"/>
      <c r="D8" s="438" t="s">
        <v>11</v>
      </c>
      <c r="E8" s="439"/>
      <c r="F8" s="1100">
        <v>128061.38084380902</v>
      </c>
      <c r="G8" s="1101">
        <v>118937.87835655267</v>
      </c>
      <c r="H8" s="1119"/>
      <c r="I8" s="1119"/>
      <c r="J8" s="1119"/>
      <c r="K8" s="1024"/>
      <c r="L8" s="438"/>
      <c r="M8" s="438" t="s">
        <v>11</v>
      </c>
      <c r="N8" s="439"/>
      <c r="O8" s="1100">
        <v>128000</v>
      </c>
      <c r="P8" s="1101">
        <v>119000</v>
      </c>
      <c r="Q8" s="1119"/>
      <c r="R8" s="1119"/>
      <c r="S8" s="1119"/>
      <c r="T8" s="1024"/>
      <c r="U8" s="438"/>
      <c r="V8" s="438" t="s">
        <v>11</v>
      </c>
      <c r="W8" s="439"/>
      <c r="X8" s="1167">
        <v>0.128</v>
      </c>
      <c r="Y8" s="1168">
        <v>0.11899999999999999</v>
      </c>
      <c r="Z8" s="1119"/>
      <c r="AE8" s="413"/>
      <c r="AF8" s="421"/>
    </row>
    <row r="9" spans="2:33" s="365" customFormat="1" ht="15" customHeight="1" x14ac:dyDescent="0.25">
      <c r="B9" s="1023"/>
      <c r="C9" s="445" t="s">
        <v>14</v>
      </c>
      <c r="D9" s="446"/>
      <c r="E9" s="446"/>
      <c r="F9" s="1102">
        <v>266120.67308702657</v>
      </c>
      <c r="G9" s="1103">
        <v>308876.38855566649</v>
      </c>
      <c r="H9" s="1120">
        <v>1.2618668037940636E-2</v>
      </c>
      <c r="I9" s="1120"/>
      <c r="J9" s="1120"/>
      <c r="K9" s="1023"/>
      <c r="L9" s="445" t="s">
        <v>14</v>
      </c>
      <c r="M9" s="446"/>
      <c r="N9" s="446"/>
      <c r="O9" s="1102">
        <v>266000</v>
      </c>
      <c r="P9" s="1103">
        <v>309000</v>
      </c>
      <c r="Q9" s="1120"/>
      <c r="R9" s="1120"/>
      <c r="S9" s="1120"/>
      <c r="T9" s="1023"/>
      <c r="U9" s="445" t="s">
        <v>14</v>
      </c>
      <c r="V9" s="446"/>
      <c r="W9" s="446"/>
      <c r="X9" s="1173">
        <v>0.26600000000000001</v>
      </c>
      <c r="Y9" s="1174">
        <v>0.309</v>
      </c>
      <c r="Z9" s="1120"/>
      <c r="AB9" s="409"/>
      <c r="AC9" s="409"/>
      <c r="AD9" s="409"/>
      <c r="AE9" s="413"/>
      <c r="AF9" s="408"/>
    </row>
    <row r="10" spans="2:33" ht="12.75" x14ac:dyDescent="0.2">
      <c r="B10" s="1025"/>
      <c r="C10" s="447"/>
      <c r="D10" s="440" t="s">
        <v>12</v>
      </c>
      <c r="E10" s="436"/>
      <c r="F10" s="1100">
        <v>166762.4305792783</v>
      </c>
      <c r="G10" s="1101">
        <v>199562.66777927591</v>
      </c>
      <c r="K10" s="1025"/>
      <c r="L10" s="447"/>
      <c r="M10" s="440" t="s">
        <v>12</v>
      </c>
      <c r="N10" s="436"/>
      <c r="O10" s="1100">
        <v>167000</v>
      </c>
      <c r="P10" s="1101">
        <v>200000</v>
      </c>
      <c r="T10" s="1025"/>
      <c r="U10" s="447"/>
      <c r="V10" s="440" t="s">
        <v>12</v>
      </c>
      <c r="W10" s="436"/>
      <c r="X10" s="1167">
        <v>0.16700000000000001</v>
      </c>
      <c r="Y10" s="1168">
        <v>0.2</v>
      </c>
      <c r="AA10" s="402"/>
      <c r="AB10" s="403"/>
      <c r="AC10" s="403"/>
      <c r="AD10" s="403"/>
      <c r="AE10" s="413"/>
      <c r="AF10" s="5"/>
    </row>
    <row r="11" spans="2:33" ht="12.75" customHeight="1" x14ac:dyDescent="0.2">
      <c r="B11" s="1025"/>
      <c r="C11" s="447"/>
      <c r="D11" s="440" t="s">
        <v>13</v>
      </c>
      <c r="E11" s="436"/>
      <c r="F11" s="1100">
        <v>50518.578380974206</v>
      </c>
      <c r="G11" s="1101">
        <v>39489.073049157698</v>
      </c>
      <c r="K11" s="1025"/>
      <c r="L11" s="447"/>
      <c r="M11" s="440" t="s">
        <v>13</v>
      </c>
      <c r="N11" s="436"/>
      <c r="O11" s="1100">
        <v>51000</v>
      </c>
      <c r="P11" s="1101">
        <v>39000</v>
      </c>
      <c r="T11" s="1025"/>
      <c r="U11" s="447"/>
      <c r="V11" s="440" t="s">
        <v>13</v>
      </c>
      <c r="W11" s="436"/>
      <c r="X11" s="1167">
        <v>5.0999999999999997E-2</v>
      </c>
      <c r="Y11" s="1168" t="s">
        <v>1685</v>
      </c>
      <c r="AA11" s="402"/>
      <c r="AB11" s="402"/>
      <c r="AC11" s="402"/>
      <c r="AD11" s="402"/>
      <c r="AE11" s="413"/>
      <c r="AF11" s="5"/>
    </row>
    <row r="12" spans="2:33" ht="12.75" x14ac:dyDescent="0.2">
      <c r="B12" s="1025"/>
      <c r="C12" s="447"/>
      <c r="D12" s="440" t="s">
        <v>162</v>
      </c>
      <c r="E12" s="436"/>
      <c r="F12" s="1100">
        <v>48839.664126774034</v>
      </c>
      <c r="G12" s="1101">
        <v>69824.647727232878</v>
      </c>
      <c r="K12" s="1025"/>
      <c r="L12" s="447"/>
      <c r="M12" s="440" t="s">
        <v>162</v>
      </c>
      <c r="N12" s="436"/>
      <c r="O12" s="1100">
        <v>49000</v>
      </c>
      <c r="P12" s="1101">
        <v>70000</v>
      </c>
      <c r="T12" s="1025"/>
      <c r="U12" s="447"/>
      <c r="V12" s="440" t="s">
        <v>162</v>
      </c>
      <c r="W12" s="436"/>
      <c r="X12" s="1167" t="s">
        <v>1685</v>
      </c>
      <c r="Y12" s="1168">
        <v>7.0000000000000007E-2</v>
      </c>
      <c r="AA12" s="402"/>
      <c r="AB12" s="402"/>
      <c r="AC12" s="402"/>
      <c r="AD12" s="402"/>
      <c r="AE12" s="413"/>
      <c r="AF12" s="5"/>
    </row>
    <row r="13" spans="2:33" s="365" customFormat="1" ht="15.75" x14ac:dyDescent="0.25">
      <c r="B13" s="1023"/>
      <c r="C13" s="445" t="s">
        <v>8</v>
      </c>
      <c r="D13" s="455"/>
      <c r="E13" s="455"/>
      <c r="F13" s="1102">
        <v>1895030.034232178</v>
      </c>
      <c r="G13" s="1103">
        <v>2177035.102117118</v>
      </c>
      <c r="H13" s="1120">
        <v>8.8939408379573051E-2</v>
      </c>
      <c r="I13" s="1120"/>
      <c r="J13" s="1120"/>
      <c r="K13" s="1023"/>
      <c r="L13" s="445" t="s">
        <v>8</v>
      </c>
      <c r="M13" s="455"/>
      <c r="N13" s="455"/>
      <c r="O13" s="1102">
        <v>1895000</v>
      </c>
      <c r="P13" s="1103">
        <v>2177000</v>
      </c>
      <c r="Q13" s="1120"/>
      <c r="R13" s="1120"/>
      <c r="S13" s="1120"/>
      <c r="T13" s="1023"/>
      <c r="U13" s="445" t="s">
        <v>8</v>
      </c>
      <c r="V13" s="455"/>
      <c r="W13" s="455"/>
      <c r="X13" s="1173">
        <v>1.895</v>
      </c>
      <c r="Y13" s="1174">
        <v>2.177</v>
      </c>
      <c r="Z13" s="1120"/>
      <c r="AE13" s="413"/>
      <c r="AF13" s="408"/>
    </row>
    <row r="14" spans="2:33" s="411" customFormat="1" ht="12.75" x14ac:dyDescent="0.2">
      <c r="B14" s="1024"/>
      <c r="C14" s="441"/>
      <c r="D14" s="440" t="s">
        <v>16</v>
      </c>
      <c r="E14" s="440"/>
      <c r="F14" s="1100">
        <v>1756698.2214198047</v>
      </c>
      <c r="G14" s="1101">
        <v>2043450.2112939602</v>
      </c>
      <c r="H14" s="1119"/>
      <c r="I14" s="1119"/>
      <c r="J14" s="1119"/>
      <c r="K14" s="1024"/>
      <c r="L14" s="441"/>
      <c r="M14" s="440" t="s">
        <v>16</v>
      </c>
      <c r="N14" s="440"/>
      <c r="O14" s="1100">
        <v>1757000</v>
      </c>
      <c r="P14" s="1101">
        <v>2043000</v>
      </c>
      <c r="Q14" s="1119"/>
      <c r="R14" s="1119"/>
      <c r="S14" s="1119"/>
      <c r="T14" s="1024"/>
      <c r="U14" s="441"/>
      <c r="V14" s="440" t="s">
        <v>16</v>
      </c>
      <c r="W14" s="440"/>
      <c r="X14" s="1167">
        <v>1.7569999999999999</v>
      </c>
      <c r="Y14" s="1168">
        <v>2.0430000000000001</v>
      </c>
      <c r="Z14" s="1119"/>
      <c r="AE14" s="413"/>
      <c r="AF14" s="404"/>
    </row>
    <row r="15" spans="2:33" s="411" customFormat="1" ht="12.75" x14ac:dyDescent="0.2">
      <c r="B15" s="1024"/>
      <c r="C15" s="441"/>
      <c r="D15" s="440" t="s">
        <v>15</v>
      </c>
      <c r="E15" s="440"/>
      <c r="F15" s="1104">
        <v>138331.8128123733</v>
      </c>
      <c r="G15" s="1105">
        <v>133584.89082315794</v>
      </c>
      <c r="H15" s="1119"/>
      <c r="I15" s="1119"/>
      <c r="J15" s="1119"/>
      <c r="K15" s="1024"/>
      <c r="L15" s="441"/>
      <c r="M15" s="440" t="s">
        <v>15</v>
      </c>
      <c r="N15" s="440"/>
      <c r="O15" s="1104">
        <v>138000</v>
      </c>
      <c r="P15" s="1105">
        <v>134000</v>
      </c>
      <c r="Q15" s="1119"/>
      <c r="R15" s="1119"/>
      <c r="S15" s="1119"/>
      <c r="T15" s="1024"/>
      <c r="U15" s="441"/>
      <c r="V15" s="440" t="s">
        <v>15</v>
      </c>
      <c r="W15" s="440"/>
      <c r="X15" s="1175">
        <v>0.13800000000000001</v>
      </c>
      <c r="Y15" s="1176">
        <v>0.13400000000000001</v>
      </c>
      <c r="Z15" s="1119"/>
      <c r="AE15" s="413"/>
      <c r="AF15" s="404"/>
    </row>
    <row r="16" spans="2:33" s="411" customFormat="1" ht="6" customHeight="1" thickBot="1" x14ac:dyDescent="0.25">
      <c r="B16" s="1024"/>
      <c r="C16" s="441"/>
      <c r="D16" s="440"/>
      <c r="E16" s="440"/>
      <c r="F16" s="1104"/>
      <c r="G16" s="1105"/>
      <c r="H16" s="1119"/>
      <c r="I16" s="1119"/>
      <c r="J16" s="1119"/>
      <c r="K16" s="1024"/>
      <c r="L16" s="441"/>
      <c r="M16" s="440"/>
      <c r="N16" s="440"/>
      <c r="O16" s="1104"/>
      <c r="P16" s="1105"/>
      <c r="Q16" s="1119"/>
      <c r="R16" s="1119"/>
      <c r="S16" s="1119"/>
      <c r="T16" s="1024"/>
      <c r="U16" s="441"/>
      <c r="V16" s="440"/>
      <c r="W16" s="440"/>
      <c r="X16" s="1175" t="s">
        <v>1685</v>
      </c>
      <c r="Y16" s="1176"/>
      <c r="Z16" s="1119"/>
      <c r="AE16" s="404"/>
      <c r="AF16" s="404"/>
    </row>
    <row r="17" spans="2:32" s="410" customFormat="1" ht="17.25" customHeight="1" thickTop="1" thickBot="1" x14ac:dyDescent="0.25">
      <c r="B17" s="461" t="s">
        <v>799</v>
      </c>
      <c r="C17" s="459"/>
      <c r="D17" s="459"/>
      <c r="E17" s="459"/>
      <c r="F17" s="1106">
        <v>7342374.0058241235</v>
      </c>
      <c r="G17" s="1107">
        <v>8180475.4057288356</v>
      </c>
      <c r="H17" s="1120">
        <v>0.33420069439469674</v>
      </c>
      <c r="I17" s="1120"/>
      <c r="J17" s="1120"/>
      <c r="K17" s="461" t="s">
        <v>799</v>
      </c>
      <c r="L17" s="459"/>
      <c r="M17" s="459"/>
      <c r="N17" s="459"/>
      <c r="O17" s="1106">
        <v>7342000</v>
      </c>
      <c r="P17" s="1107">
        <v>8180000</v>
      </c>
      <c r="Q17" s="1120"/>
      <c r="R17" s="1120"/>
      <c r="S17" s="1120"/>
      <c r="T17" s="461" t="s">
        <v>799</v>
      </c>
      <c r="U17" s="459"/>
      <c r="V17" s="459"/>
      <c r="W17" s="459"/>
      <c r="X17" s="1177">
        <v>7.3419999999999996</v>
      </c>
      <c r="Y17" s="1178">
        <v>8.18</v>
      </c>
      <c r="Z17" s="1120"/>
      <c r="AE17" s="413"/>
      <c r="AF17" s="419"/>
    </row>
    <row r="18" spans="2:32" s="406" customFormat="1" ht="16.5" thickTop="1" x14ac:dyDescent="0.25">
      <c r="B18" s="1027"/>
      <c r="C18" s="442" t="s">
        <v>46</v>
      </c>
      <c r="D18" s="443"/>
      <c r="E18" s="443"/>
      <c r="F18" s="1098">
        <v>3762582.2038882524</v>
      </c>
      <c r="G18" s="1099">
        <v>4136066.4948832104</v>
      </c>
      <c r="H18" s="1120">
        <v>0.16897261174877343</v>
      </c>
      <c r="I18" s="1120"/>
      <c r="J18" s="1120"/>
      <c r="K18" s="1027"/>
      <c r="L18" s="442" t="s">
        <v>46</v>
      </c>
      <c r="M18" s="443"/>
      <c r="N18" s="443"/>
      <c r="O18" s="1098">
        <v>3763000</v>
      </c>
      <c r="P18" s="1099">
        <v>4136000</v>
      </c>
      <c r="Q18" s="1120"/>
      <c r="R18" s="1120"/>
      <c r="S18" s="1120"/>
      <c r="T18" s="1027"/>
      <c r="U18" s="442" t="s">
        <v>46</v>
      </c>
      <c r="V18" s="443"/>
      <c r="W18" s="443"/>
      <c r="X18" s="1171">
        <v>3.7629999999999999</v>
      </c>
      <c r="Y18" s="1172">
        <v>4.1360000000000001</v>
      </c>
      <c r="Z18" s="1120"/>
      <c r="AE18" s="413"/>
      <c r="AF18" s="405"/>
    </row>
    <row r="19" spans="2:32" s="407" customFormat="1" ht="12.75" x14ac:dyDescent="0.2">
      <c r="B19" s="1028"/>
      <c r="C19" s="438"/>
      <c r="D19" s="438" t="s">
        <v>797</v>
      </c>
      <c r="E19" s="438"/>
      <c r="F19" s="1100">
        <v>1866534.1063584599</v>
      </c>
      <c r="G19" s="1101">
        <v>2056709.8333594454</v>
      </c>
      <c r="H19" s="1119"/>
      <c r="I19" s="1119"/>
      <c r="J19" s="1119"/>
      <c r="K19" s="1028"/>
      <c r="L19" s="438"/>
      <c r="M19" s="438" t="s">
        <v>797</v>
      </c>
      <c r="N19" s="438"/>
      <c r="O19" s="1100">
        <v>1867000</v>
      </c>
      <c r="P19" s="1101">
        <v>2057000</v>
      </c>
      <c r="Q19" s="1119"/>
      <c r="R19" s="1119"/>
      <c r="S19" s="1119"/>
      <c r="T19" s="1028"/>
      <c r="U19" s="438"/>
      <c r="V19" s="438" t="s">
        <v>797</v>
      </c>
      <c r="W19" s="438"/>
      <c r="X19" s="1167">
        <v>1.867</v>
      </c>
      <c r="Y19" s="1168">
        <v>2.0569999999999999</v>
      </c>
      <c r="Z19" s="1119"/>
      <c r="AA19"/>
      <c r="AE19" s="413"/>
      <c r="AF19" s="421"/>
    </row>
    <row r="20" spans="2:32" s="407" customFormat="1" ht="12.75" x14ac:dyDescent="0.2">
      <c r="B20" s="1028"/>
      <c r="C20" s="438"/>
      <c r="D20" s="438" t="s">
        <v>214</v>
      </c>
      <c r="E20" s="438"/>
      <c r="F20" s="1100">
        <v>1565449.9609237434</v>
      </c>
      <c r="G20" s="1101">
        <v>1815163.1470527851</v>
      </c>
      <c r="H20" s="1119"/>
      <c r="I20" s="1119"/>
      <c r="J20" s="1119"/>
      <c r="K20" s="1028"/>
      <c r="L20" s="438"/>
      <c r="M20" s="438" t="s">
        <v>214</v>
      </c>
      <c r="N20" s="438"/>
      <c r="O20" s="1100">
        <v>1565000</v>
      </c>
      <c r="P20" s="1101">
        <v>1815000</v>
      </c>
      <c r="Q20" s="1243"/>
      <c r="R20" s="1119"/>
      <c r="S20" s="1119"/>
      <c r="T20" s="1028"/>
      <c r="U20" s="438"/>
      <c r="V20" s="438" t="s">
        <v>214</v>
      </c>
      <c r="W20" s="438"/>
      <c r="X20" s="1167">
        <v>1.5649999999999999</v>
      </c>
      <c r="Y20" s="1168">
        <v>1.8149999999999999</v>
      </c>
      <c r="Z20" s="1119"/>
      <c r="AA20"/>
      <c r="AE20" s="413"/>
      <c r="AF20" s="421"/>
    </row>
    <row r="21" spans="2:32" s="407" customFormat="1" ht="12.75" x14ac:dyDescent="0.2">
      <c r="B21" s="1028"/>
      <c r="C21" s="438"/>
      <c r="D21" s="438" t="s">
        <v>1183</v>
      </c>
      <c r="E21" s="438"/>
      <c r="F21" s="1100">
        <v>284427.46213974222</v>
      </c>
      <c r="G21" s="1101">
        <v>215035.96310774286</v>
      </c>
      <c r="H21" s="1119"/>
      <c r="I21" s="1119"/>
      <c r="J21" s="1119"/>
      <c r="K21" s="1028"/>
      <c r="L21" s="438"/>
      <c r="M21" s="438" t="s">
        <v>1183</v>
      </c>
      <c r="N21" s="438"/>
      <c r="O21" s="1100">
        <v>284000</v>
      </c>
      <c r="P21" s="1101">
        <v>215000</v>
      </c>
      <c r="Q21" s="1119"/>
      <c r="R21" s="1119"/>
      <c r="S21" s="1119"/>
      <c r="T21" s="1028"/>
      <c r="U21" s="438"/>
      <c r="V21" s="438" t="s">
        <v>1183</v>
      </c>
      <c r="W21" s="438"/>
      <c r="X21" s="1167">
        <v>0.28399999999999997</v>
      </c>
      <c r="Y21" s="1168">
        <v>0.215</v>
      </c>
      <c r="Z21" s="1119"/>
      <c r="AA21"/>
      <c r="AE21" s="413"/>
      <c r="AF21" s="421"/>
    </row>
    <row r="22" spans="2:32" s="407" customFormat="1" ht="15.75" x14ac:dyDescent="0.2">
      <c r="B22" s="1028"/>
      <c r="C22" s="438"/>
      <c r="D22" s="438" t="s">
        <v>1211</v>
      </c>
      <c r="E22" s="438"/>
      <c r="F22" s="1100">
        <v>46170.674466306366</v>
      </c>
      <c r="G22" s="1101">
        <v>49157.551363236584</v>
      </c>
      <c r="H22" s="1119"/>
      <c r="I22" s="1119"/>
      <c r="J22" s="1119"/>
      <c r="K22" s="1028"/>
      <c r="L22" s="438"/>
      <c r="M22" s="438" t="s">
        <v>1211</v>
      </c>
      <c r="N22" s="438"/>
      <c r="O22" s="1100">
        <v>46000</v>
      </c>
      <c r="P22" s="1101">
        <v>49000</v>
      </c>
      <c r="Q22" s="1119"/>
      <c r="R22" s="1247"/>
      <c r="S22" s="1119"/>
      <c r="T22" s="1028"/>
      <c r="U22" s="438"/>
      <c r="V22" s="438" t="s">
        <v>1211</v>
      </c>
      <c r="W22" s="438"/>
      <c r="X22" s="1167" t="s">
        <v>1685</v>
      </c>
      <c r="Y22" s="1168" t="s">
        <v>1685</v>
      </c>
      <c r="Z22" s="1119"/>
      <c r="AA22"/>
      <c r="AE22" s="422"/>
      <c r="AF22" s="421"/>
    </row>
    <row r="23" spans="2:32" s="406" customFormat="1" ht="15.75" x14ac:dyDescent="0.25">
      <c r="B23" s="1029"/>
      <c r="C23" s="445" t="s">
        <v>47</v>
      </c>
      <c r="D23" s="448"/>
      <c r="E23" s="448"/>
      <c r="F23" s="1102">
        <v>3579791.8019358711</v>
      </c>
      <c r="G23" s="1103">
        <v>4044408.9108456257</v>
      </c>
      <c r="H23" s="1120">
        <v>0.16522808264592334</v>
      </c>
      <c r="I23" s="1120"/>
      <c r="J23" s="1120"/>
      <c r="K23" s="1029"/>
      <c r="L23" s="445" t="s">
        <v>47</v>
      </c>
      <c r="M23" s="448"/>
      <c r="N23" s="448"/>
      <c r="O23" s="1102">
        <v>3580000</v>
      </c>
      <c r="P23" s="1103">
        <v>4044000</v>
      </c>
      <c r="Q23" s="1120"/>
      <c r="R23" s="1120"/>
      <c r="S23" s="1120"/>
      <c r="T23" s="1029"/>
      <c r="U23" s="445" t="s">
        <v>47</v>
      </c>
      <c r="V23" s="448"/>
      <c r="W23" s="448"/>
      <c r="X23" s="1173">
        <v>3.58</v>
      </c>
      <c r="Y23" s="1174">
        <v>4.0439999999999996</v>
      </c>
      <c r="Z23" s="1120"/>
      <c r="AA23" s="412"/>
      <c r="AE23" s="413"/>
      <c r="AF23" s="405"/>
    </row>
    <row r="24" spans="2:32" s="407" customFormat="1" ht="12.75" x14ac:dyDescent="0.2">
      <c r="B24" s="1030"/>
      <c r="C24" s="438"/>
      <c r="D24" s="438" t="s">
        <v>797</v>
      </c>
      <c r="E24" s="438"/>
      <c r="F24" s="1100">
        <v>2001481.2703278386</v>
      </c>
      <c r="G24" s="1101">
        <v>2278281.9927048925</v>
      </c>
      <c r="H24" s="1119"/>
      <c r="I24" s="1119"/>
      <c r="J24" s="1119"/>
      <c r="K24" s="1030"/>
      <c r="L24" s="438"/>
      <c r="M24" s="438" t="s">
        <v>797</v>
      </c>
      <c r="N24" s="438"/>
      <c r="O24" s="1100">
        <v>2001000</v>
      </c>
      <c r="P24" s="1101">
        <v>2278000</v>
      </c>
      <c r="Q24" s="1119"/>
      <c r="R24" s="1247"/>
      <c r="S24" s="1119"/>
      <c r="T24" s="1030"/>
      <c r="U24" s="438"/>
      <c r="V24" s="438" t="s">
        <v>797</v>
      </c>
      <c r="W24" s="438"/>
      <c r="X24" s="1167">
        <v>2.0009999999999999</v>
      </c>
      <c r="Y24" s="1168">
        <v>2.278</v>
      </c>
      <c r="Z24" s="1119"/>
      <c r="AA24"/>
      <c r="AE24" s="414"/>
      <c r="AF24" s="421"/>
    </row>
    <row r="25" spans="2:32" s="407" customFormat="1" ht="12" customHeight="1" x14ac:dyDescent="0.2">
      <c r="B25" s="1030"/>
      <c r="C25" s="438"/>
      <c r="D25" s="438" t="s">
        <v>1212</v>
      </c>
      <c r="E25" s="438"/>
      <c r="F25" s="1100">
        <v>36325.163697133365</v>
      </c>
      <c r="G25" s="1101">
        <v>39431.632971401414</v>
      </c>
      <c r="H25" s="1119"/>
      <c r="I25" s="1119"/>
      <c r="J25" s="1119"/>
      <c r="K25" s="1030"/>
      <c r="L25" s="438"/>
      <c r="M25" s="438" t="s">
        <v>1212</v>
      </c>
      <c r="N25" s="438"/>
      <c r="O25" s="1100">
        <v>36000</v>
      </c>
      <c r="P25" s="1101">
        <v>39000</v>
      </c>
      <c r="Q25" s="1119"/>
      <c r="R25" s="1119"/>
      <c r="S25" s="1119"/>
      <c r="T25" s="1030"/>
      <c r="U25" s="438"/>
      <c r="V25" s="438" t="s">
        <v>1212</v>
      </c>
      <c r="W25" s="438"/>
      <c r="X25" s="1167" t="s">
        <v>1685</v>
      </c>
      <c r="Y25" s="1168" t="s">
        <v>1685</v>
      </c>
      <c r="Z25" s="1119"/>
      <c r="AA25"/>
      <c r="AE25" s="414"/>
      <c r="AF25" s="421"/>
    </row>
    <row r="26" spans="2:32" s="407" customFormat="1" ht="12" customHeight="1" x14ac:dyDescent="0.2">
      <c r="B26" s="1030"/>
      <c r="C26" s="438"/>
      <c r="D26" s="438" t="s">
        <v>1213</v>
      </c>
      <c r="E26" s="438"/>
      <c r="F26" s="1100">
        <v>831954.80783429567</v>
      </c>
      <c r="G26" s="1101">
        <v>952343.16711714945</v>
      </c>
      <c r="H26" s="1119"/>
      <c r="I26" s="1119"/>
      <c r="J26" s="1119"/>
      <c r="K26" s="1030"/>
      <c r="L26" s="438"/>
      <c r="M26" s="438" t="s">
        <v>1213</v>
      </c>
      <c r="N26" s="438"/>
      <c r="O26" s="1100">
        <v>832000</v>
      </c>
      <c r="P26" s="1101">
        <v>952000</v>
      </c>
      <c r="Q26" s="1119"/>
      <c r="R26" s="1119"/>
      <c r="S26" s="1119"/>
      <c r="T26" s="1030"/>
      <c r="U26" s="438"/>
      <c r="V26" s="438" t="s">
        <v>1213</v>
      </c>
      <c r="W26" s="438"/>
      <c r="X26" s="1167">
        <v>0.83199999999999996</v>
      </c>
      <c r="Y26" s="1168">
        <v>0.95199999999999996</v>
      </c>
      <c r="Z26" s="1119"/>
      <c r="AA26"/>
      <c r="AE26" s="414"/>
      <c r="AF26" s="421"/>
    </row>
    <row r="27" spans="2:32" s="407" customFormat="1" ht="12.75" customHeight="1" x14ac:dyDescent="0.2">
      <c r="B27" s="1030"/>
      <c r="C27" s="438"/>
      <c r="D27" s="438" t="s">
        <v>1214</v>
      </c>
      <c r="E27" s="438"/>
      <c r="F27" s="1100">
        <v>341168.41129029868</v>
      </c>
      <c r="G27" s="1101">
        <v>370344.58227360505</v>
      </c>
      <c r="H27" s="1119"/>
      <c r="I27" s="1119"/>
      <c r="J27" s="1119"/>
      <c r="K27" s="1030"/>
      <c r="L27" s="438"/>
      <c r="M27" s="438" t="s">
        <v>1214</v>
      </c>
      <c r="N27" s="438"/>
      <c r="O27" s="1100">
        <v>341000</v>
      </c>
      <c r="P27" s="1101">
        <v>370000</v>
      </c>
      <c r="Q27" s="1119"/>
      <c r="R27" s="1119"/>
      <c r="S27" s="1119"/>
      <c r="T27" s="1030"/>
      <c r="U27" s="438"/>
      <c r="V27" s="438" t="s">
        <v>1214</v>
      </c>
      <c r="W27" s="438"/>
      <c r="X27" s="1167">
        <v>0.34100000000000003</v>
      </c>
      <c r="Y27" s="1168">
        <v>0.37</v>
      </c>
      <c r="Z27" s="1119"/>
      <c r="AA27"/>
      <c r="AE27" s="414"/>
      <c r="AF27" s="421"/>
    </row>
    <row r="28" spans="2:32" s="407" customFormat="1" ht="12.75" customHeight="1" x14ac:dyDescent="0.2">
      <c r="B28" s="1030"/>
      <c r="C28" s="438"/>
      <c r="D28" s="438" t="s">
        <v>1184</v>
      </c>
      <c r="E28" s="438"/>
      <c r="F28" s="1100">
        <v>208780.99475738493</v>
      </c>
      <c r="G28" s="1101">
        <v>227202.69931051467</v>
      </c>
      <c r="H28" s="1119"/>
      <c r="I28" s="1119"/>
      <c r="J28" s="1119"/>
      <c r="K28" s="1030"/>
      <c r="L28" s="438"/>
      <c r="M28" s="438" t="s">
        <v>1184</v>
      </c>
      <c r="N28" s="438"/>
      <c r="O28" s="1100">
        <v>209000</v>
      </c>
      <c r="P28" s="1101">
        <v>227000</v>
      </c>
      <c r="Q28" s="1119"/>
      <c r="R28" s="1119"/>
      <c r="S28" s="1119"/>
      <c r="T28" s="1030"/>
      <c r="U28" s="438"/>
      <c r="V28" s="438" t="s">
        <v>1184</v>
      </c>
      <c r="W28" s="438"/>
      <c r="X28" s="1167">
        <v>0.20899999999999999</v>
      </c>
      <c r="Y28" s="1168">
        <v>0.22700000000000001</v>
      </c>
      <c r="Z28" s="1119"/>
      <c r="AA28"/>
      <c r="AE28" s="414"/>
      <c r="AF28" s="421"/>
    </row>
    <row r="29" spans="2:32" s="407" customFormat="1" ht="12.75" x14ac:dyDescent="0.2">
      <c r="B29" s="1030"/>
      <c r="C29" s="438"/>
      <c r="D29" s="438" t="s">
        <v>17</v>
      </c>
      <c r="E29" s="438"/>
      <c r="F29" s="1100">
        <v>160081.15402892014</v>
      </c>
      <c r="G29" s="1101">
        <v>176804.83646806242</v>
      </c>
      <c r="H29" s="1119"/>
      <c r="I29" s="1119"/>
      <c r="J29" s="1119"/>
      <c r="K29" s="1030"/>
      <c r="L29" s="438"/>
      <c r="M29" s="438" t="s">
        <v>17</v>
      </c>
      <c r="N29" s="438"/>
      <c r="O29" s="1100">
        <v>160000</v>
      </c>
      <c r="P29" s="1101">
        <v>177000</v>
      </c>
      <c r="Q29" s="1119"/>
      <c r="R29" s="1119"/>
      <c r="S29" s="1119"/>
      <c r="T29" s="1030"/>
      <c r="U29" s="438"/>
      <c r="V29" s="438" t="s">
        <v>17</v>
      </c>
      <c r="W29" s="438"/>
      <c r="X29" s="1167">
        <v>0.16</v>
      </c>
      <c r="Y29" s="1168">
        <v>0.17699999999999999</v>
      </c>
      <c r="Z29" s="1119"/>
      <c r="AA29"/>
      <c r="AE29" s="414"/>
      <c r="AF29" s="421"/>
    </row>
    <row r="30" spans="2:32" s="407" customFormat="1" ht="6" customHeight="1" thickBot="1" x14ac:dyDescent="0.25">
      <c r="B30" s="1030"/>
      <c r="C30" s="438"/>
      <c r="D30" s="438"/>
      <c r="E30" s="438"/>
      <c r="F30" s="1100"/>
      <c r="G30" s="1101"/>
      <c r="H30" s="1119"/>
      <c r="I30" s="1119"/>
      <c r="J30" s="1119"/>
      <c r="K30" s="1030"/>
      <c r="L30" s="438"/>
      <c r="M30" s="438"/>
      <c r="N30" s="438"/>
      <c r="O30" s="1100"/>
      <c r="P30" s="1101"/>
      <c r="Q30" s="1119"/>
      <c r="R30" s="1119"/>
      <c r="S30" s="1119"/>
      <c r="T30" s="1030"/>
      <c r="U30" s="438"/>
      <c r="V30" s="438"/>
      <c r="W30" s="438"/>
      <c r="X30" s="1167" t="s">
        <v>1685</v>
      </c>
      <c r="Y30" s="1168"/>
      <c r="Z30" s="1119"/>
      <c r="AE30" s="414"/>
      <c r="AF30" s="421"/>
    </row>
    <row r="31" spans="2:32" s="410" customFormat="1" ht="16.5" customHeight="1" thickTop="1" thickBot="1" x14ac:dyDescent="0.25">
      <c r="B31" s="1032" t="s">
        <v>1138</v>
      </c>
      <c r="C31" s="1033"/>
      <c r="D31" s="1033"/>
      <c r="E31" s="1033"/>
      <c r="F31" s="1108">
        <v>3214704.3894087281</v>
      </c>
      <c r="G31" s="1109">
        <v>4516016.5217166375</v>
      </c>
      <c r="H31" s="1120">
        <v>0.18449488356125154</v>
      </c>
      <c r="I31" s="1120"/>
      <c r="J31" s="1120"/>
      <c r="K31" s="1032" t="s">
        <v>1138</v>
      </c>
      <c r="L31" s="1033"/>
      <c r="M31" s="1033"/>
      <c r="N31" s="1033"/>
      <c r="O31" s="1108">
        <v>3215000</v>
      </c>
      <c r="P31" s="1109">
        <v>4516000</v>
      </c>
      <c r="Q31" s="1120"/>
      <c r="R31" s="1120"/>
      <c r="S31" s="1120"/>
      <c r="T31" s="1032" t="s">
        <v>1138</v>
      </c>
      <c r="U31" s="1033"/>
      <c r="V31" s="1033"/>
      <c r="W31" s="1033"/>
      <c r="X31" s="1179">
        <v>3.2149999999999999</v>
      </c>
      <c r="Y31" s="1180">
        <v>4.516</v>
      </c>
      <c r="Z31" s="1120"/>
      <c r="AE31" s="422"/>
      <c r="AF31" s="419"/>
    </row>
    <row r="32" spans="2:32" s="365" customFormat="1" ht="17.25" customHeight="1" thickTop="1" x14ac:dyDescent="0.2">
      <c r="B32" s="1023"/>
      <c r="C32" s="443" t="s">
        <v>1143</v>
      </c>
      <c r="D32" s="443"/>
      <c r="E32" s="449"/>
      <c r="F32" s="1098">
        <v>2170588.037865777</v>
      </c>
      <c r="G32" s="1099">
        <v>3349250.4500484993</v>
      </c>
      <c r="H32" s="1120">
        <v>0.13682845685522035</v>
      </c>
      <c r="I32" s="1120"/>
      <c r="J32" s="1120"/>
      <c r="K32" s="1023"/>
      <c r="L32" s="443" t="s">
        <v>1143</v>
      </c>
      <c r="M32" s="443"/>
      <c r="N32" s="449"/>
      <c r="O32" s="1098">
        <v>2171000</v>
      </c>
      <c r="P32" s="1099">
        <v>3349000</v>
      </c>
      <c r="Q32" s="1120"/>
      <c r="R32" s="1197">
        <v>5.7779999999999996</v>
      </c>
      <c r="S32" s="1120"/>
      <c r="T32" s="1023"/>
      <c r="U32" s="443" t="s">
        <v>1143</v>
      </c>
      <c r="V32" s="443"/>
      <c r="W32" s="449"/>
      <c r="X32" s="1171">
        <v>2.1709999999999998</v>
      </c>
      <c r="Y32" s="1172">
        <v>3.3490000000000002</v>
      </c>
      <c r="Z32" s="1120"/>
      <c r="AA32"/>
      <c r="AB32" s="412"/>
      <c r="AE32" s="413"/>
      <c r="AF32" s="408"/>
    </row>
    <row r="33" spans="2:32" s="407" customFormat="1" ht="12" customHeight="1" x14ac:dyDescent="0.2">
      <c r="B33" s="1030"/>
      <c r="C33" s="438"/>
      <c r="D33" s="438" t="s">
        <v>797</v>
      </c>
      <c r="E33" s="438"/>
      <c r="F33" s="1100">
        <v>534708.13401730801</v>
      </c>
      <c r="G33" s="1101">
        <v>503629.9844031235</v>
      </c>
      <c r="H33" s="1119"/>
      <c r="I33" s="1119"/>
      <c r="J33" s="1119"/>
      <c r="K33" s="1030"/>
      <c r="L33" s="438"/>
      <c r="M33" s="438" t="s">
        <v>797</v>
      </c>
      <c r="N33" s="438"/>
      <c r="O33" s="1100">
        <v>535000</v>
      </c>
      <c r="P33" s="1101">
        <v>504000</v>
      </c>
      <c r="Q33" s="1119"/>
      <c r="R33" s="1243"/>
      <c r="S33" s="1119"/>
      <c r="T33" s="1030"/>
      <c r="U33" s="438"/>
      <c r="V33" s="438" t="s">
        <v>797</v>
      </c>
      <c r="W33" s="438"/>
      <c r="X33" s="1167">
        <v>0.53500000000000003</v>
      </c>
      <c r="Y33" s="1168">
        <v>0.504</v>
      </c>
      <c r="Z33" s="1119"/>
      <c r="AA33" s="412"/>
      <c r="AB33"/>
      <c r="AE33" s="414"/>
      <c r="AF33" s="421"/>
    </row>
    <row r="34" spans="2:32" s="407" customFormat="1" ht="12.75" x14ac:dyDescent="0.2">
      <c r="B34" s="1030"/>
      <c r="C34" s="438"/>
      <c r="D34" s="438" t="s">
        <v>1217</v>
      </c>
      <c r="E34" s="475"/>
      <c r="F34" s="1110">
        <v>47729.205888466466</v>
      </c>
      <c r="G34" s="1101">
        <v>51810.930414581555</v>
      </c>
      <c r="H34" s="1119"/>
      <c r="I34" s="1119"/>
      <c r="J34" s="1119"/>
      <c r="K34" s="1030"/>
      <c r="L34" s="438"/>
      <c r="M34" s="438" t="s">
        <v>1217</v>
      </c>
      <c r="N34" s="475"/>
      <c r="O34" s="1110">
        <v>48000</v>
      </c>
      <c r="P34" s="1101">
        <v>52000</v>
      </c>
      <c r="Q34" s="1119"/>
      <c r="R34" s="1119"/>
      <c r="S34" s="1119"/>
      <c r="T34" s="1030"/>
      <c r="U34" s="438"/>
      <c r="V34" s="438" t="s">
        <v>1217</v>
      </c>
      <c r="W34" s="475"/>
      <c r="X34" s="1181" t="s">
        <v>1685</v>
      </c>
      <c r="Y34" s="1168">
        <v>5.1999999999999998E-2</v>
      </c>
      <c r="Z34" s="1119"/>
      <c r="AA34" s="412"/>
      <c r="AB34"/>
      <c r="AE34" s="414"/>
      <c r="AF34" s="421"/>
    </row>
    <row r="35" spans="2:32" s="407" customFormat="1" ht="12.75" x14ac:dyDescent="0.2">
      <c r="B35" s="1030"/>
      <c r="C35" s="438"/>
      <c r="D35" s="438" t="s">
        <v>1213</v>
      </c>
      <c r="E35" s="475"/>
      <c r="F35" s="1110">
        <v>524162.0912656599</v>
      </c>
      <c r="G35" s="1101">
        <v>510643.34432334267</v>
      </c>
      <c r="H35" s="1119"/>
      <c r="I35" s="1119"/>
      <c r="J35" s="1119"/>
      <c r="K35" s="1030"/>
      <c r="L35" s="438"/>
      <c r="M35" s="438" t="s">
        <v>1213</v>
      </c>
      <c r="N35" s="475"/>
      <c r="O35" s="1110">
        <v>524000</v>
      </c>
      <c r="P35" s="1101">
        <v>511000</v>
      </c>
      <c r="Q35" s="1119"/>
      <c r="R35" s="1119"/>
      <c r="S35" s="1119"/>
      <c r="T35" s="1030"/>
      <c r="U35" s="438"/>
      <c r="V35" s="438" t="s">
        <v>1213</v>
      </c>
      <c r="W35" s="475"/>
      <c r="X35" s="1181">
        <v>0.52400000000000002</v>
      </c>
      <c r="Y35" s="1168">
        <v>0.51100000000000001</v>
      </c>
      <c r="Z35" s="1119"/>
      <c r="AA35" s="412"/>
      <c r="AB35"/>
      <c r="AE35" s="414"/>
      <c r="AF35" s="421"/>
    </row>
    <row r="36" spans="2:32" s="407" customFormat="1" ht="12.75" customHeight="1" x14ac:dyDescent="0.2">
      <c r="B36" s="1030"/>
      <c r="C36" s="438"/>
      <c r="D36" s="438" t="s">
        <v>1218</v>
      </c>
      <c r="E36" s="475"/>
      <c r="F36" s="1110">
        <v>671729.28250810574</v>
      </c>
      <c r="G36" s="1101">
        <v>729174.4847964088</v>
      </c>
      <c r="H36" s="1119"/>
      <c r="I36" s="1119"/>
      <c r="J36" s="1119"/>
      <c r="K36" s="1030"/>
      <c r="L36" s="438"/>
      <c r="M36" s="438" t="s">
        <v>1218</v>
      </c>
      <c r="N36" s="475"/>
      <c r="O36" s="1110">
        <v>672000</v>
      </c>
      <c r="P36" s="1101">
        <v>729000</v>
      </c>
      <c r="Q36" s="1119"/>
      <c r="R36" s="1119"/>
      <c r="S36" s="1119"/>
      <c r="T36" s="1030"/>
      <c r="U36" s="438"/>
      <c r="V36" s="438" t="s">
        <v>1218</v>
      </c>
      <c r="W36" s="475"/>
      <c r="X36" s="1181">
        <v>0.67200000000000004</v>
      </c>
      <c r="Y36" s="1168">
        <v>0.72899999999999998</v>
      </c>
      <c r="Z36" s="1119"/>
      <c r="AA36" s="412"/>
      <c r="AB36"/>
      <c r="AE36" s="414"/>
      <c r="AF36" s="421"/>
    </row>
    <row r="37" spans="2:32" s="407" customFormat="1" ht="12.75" customHeight="1" x14ac:dyDescent="0.2">
      <c r="B37" s="1030"/>
      <c r="C37" s="438"/>
      <c r="D37" s="438" t="s">
        <v>1184</v>
      </c>
      <c r="E37" s="475"/>
      <c r="F37" s="1110">
        <v>89059.205223995261</v>
      </c>
      <c r="G37" s="1101">
        <v>1198922.2301042632</v>
      </c>
      <c r="H37" s="1119"/>
      <c r="I37" s="1119"/>
      <c r="J37" s="1119"/>
      <c r="K37" s="1030"/>
      <c r="L37" s="438"/>
      <c r="M37" s="438" t="s">
        <v>1184</v>
      </c>
      <c r="N37" s="475"/>
      <c r="O37" s="1110">
        <v>89000</v>
      </c>
      <c r="P37" s="1101">
        <v>1199000</v>
      </c>
      <c r="Q37" s="1119"/>
      <c r="R37" s="1119"/>
      <c r="S37" s="1119"/>
      <c r="T37" s="1030"/>
      <c r="U37" s="438"/>
      <c r="V37" s="438" t="s">
        <v>1184</v>
      </c>
      <c r="W37" s="475"/>
      <c r="X37" s="1181">
        <v>8.8999999999999996E-2</v>
      </c>
      <c r="Y37" s="1168">
        <v>1.1990000000000001</v>
      </c>
      <c r="Z37" s="1119"/>
      <c r="AA37" s="412"/>
      <c r="AB37"/>
      <c r="AE37" s="414"/>
      <c r="AF37" s="421"/>
    </row>
    <row r="38" spans="2:32" s="407" customFormat="1" ht="12.75" customHeight="1" x14ac:dyDescent="0.2">
      <c r="B38" s="1030"/>
      <c r="C38" s="438"/>
      <c r="D38" s="438" t="s">
        <v>71</v>
      </c>
      <c r="E38" s="475"/>
      <c r="F38" s="1110">
        <v>286186.18622956501</v>
      </c>
      <c r="G38" s="1101">
        <v>337941.17712677934</v>
      </c>
      <c r="H38" s="1119"/>
      <c r="I38" s="1119"/>
      <c r="J38" s="1119"/>
      <c r="K38" s="1030"/>
      <c r="L38" s="438"/>
      <c r="M38" s="438" t="s">
        <v>71</v>
      </c>
      <c r="N38" s="475"/>
      <c r="O38" s="1110">
        <v>286000</v>
      </c>
      <c r="P38" s="1101">
        <v>338000</v>
      </c>
      <c r="Q38" s="1119"/>
      <c r="R38" s="1119"/>
      <c r="S38" s="1119"/>
      <c r="T38" s="1030"/>
      <c r="U38" s="438"/>
      <c r="V38" s="438" t="s">
        <v>71</v>
      </c>
      <c r="W38" s="475"/>
      <c r="X38" s="1181">
        <v>0.28599999999999998</v>
      </c>
      <c r="Y38" s="1168">
        <v>0.33800000000000002</v>
      </c>
      <c r="Z38" s="1119"/>
      <c r="AA38" s="412"/>
      <c r="AB38"/>
      <c r="AE38" s="414"/>
      <c r="AF38" s="421"/>
    </row>
    <row r="39" spans="2:32" s="407" customFormat="1" ht="12.75" customHeight="1" x14ac:dyDescent="0.2">
      <c r="B39" s="1030"/>
      <c r="C39" s="438"/>
      <c r="D39" s="438" t="s">
        <v>1185</v>
      </c>
      <c r="E39" s="475"/>
      <c r="F39" s="1110">
        <v>17013.932732676825</v>
      </c>
      <c r="G39" s="1101">
        <v>17128.298879999998</v>
      </c>
      <c r="H39" s="1119"/>
      <c r="I39" s="1119"/>
      <c r="J39" s="1119"/>
      <c r="K39" s="1030"/>
      <c r="L39" s="438"/>
      <c r="M39" s="438" t="s">
        <v>1185</v>
      </c>
      <c r="N39" s="475"/>
      <c r="O39" s="1110">
        <v>17000</v>
      </c>
      <c r="P39" s="1101">
        <v>17000</v>
      </c>
      <c r="Q39" s="1119"/>
      <c r="R39" s="1119"/>
      <c r="S39" s="1119"/>
      <c r="T39" s="1030"/>
      <c r="U39" s="438"/>
      <c r="V39" s="438" t="s">
        <v>1185</v>
      </c>
      <c r="W39" s="475"/>
      <c r="X39" s="1181" t="s">
        <v>1685</v>
      </c>
      <c r="Y39" s="1168" t="s">
        <v>1685</v>
      </c>
      <c r="Z39" s="1119"/>
      <c r="AA39" s="412"/>
      <c r="AB39"/>
      <c r="AE39" s="414"/>
      <c r="AF39" s="421"/>
    </row>
    <row r="40" spans="2:32" s="365" customFormat="1" ht="15.75" x14ac:dyDescent="0.2">
      <c r="B40" s="1023"/>
      <c r="C40" s="448" t="s">
        <v>1144</v>
      </c>
      <c r="D40" s="448"/>
      <c r="E40" s="446"/>
      <c r="F40" s="1102">
        <v>451499.23418948852</v>
      </c>
      <c r="G40" s="1103">
        <v>435007.8194521399</v>
      </c>
      <c r="H40" s="1120">
        <v>1.7771572936484549E-2</v>
      </c>
      <c r="I40" s="1120"/>
      <c r="J40" s="1120"/>
      <c r="K40" s="1023"/>
      <c r="L40" s="448" t="s">
        <v>1144</v>
      </c>
      <c r="M40" s="448"/>
      <c r="N40" s="446"/>
      <c r="O40" s="1102">
        <v>451000</v>
      </c>
      <c r="P40" s="1103">
        <v>435000</v>
      </c>
      <c r="Q40" s="1120"/>
      <c r="R40" s="1120"/>
      <c r="S40" s="1120"/>
      <c r="T40" s="1023"/>
      <c r="U40" s="448" t="s">
        <v>1144</v>
      </c>
      <c r="V40" s="448"/>
      <c r="W40" s="446"/>
      <c r="X40" s="1173">
        <v>0.45100000000000001</v>
      </c>
      <c r="Y40" s="1174">
        <v>0.435</v>
      </c>
      <c r="Z40" s="1120"/>
      <c r="AA40" s="412"/>
      <c r="AB40"/>
      <c r="AE40" s="414"/>
      <c r="AF40" s="408"/>
    </row>
    <row r="41" spans="2:32" s="407" customFormat="1" ht="12.75" x14ac:dyDescent="0.2">
      <c r="B41" s="1024"/>
      <c r="C41" s="441"/>
      <c r="D41" s="438" t="s">
        <v>1186</v>
      </c>
      <c r="E41" s="440"/>
      <c r="F41" s="1100">
        <v>411380.49062961666</v>
      </c>
      <c r="G41" s="1101">
        <v>394643.51949045953</v>
      </c>
      <c r="H41" s="1119"/>
      <c r="I41" s="1119"/>
      <c r="J41" s="1119"/>
      <c r="K41" s="1024"/>
      <c r="L41" s="441"/>
      <c r="M41" s="438" t="s">
        <v>1186</v>
      </c>
      <c r="N41" s="440"/>
      <c r="O41" s="1100">
        <v>411000</v>
      </c>
      <c r="P41" s="1101">
        <v>395000</v>
      </c>
      <c r="Q41" s="1119"/>
      <c r="R41" s="1119"/>
      <c r="S41" s="1119"/>
      <c r="T41" s="1024"/>
      <c r="U41" s="441"/>
      <c r="V41" s="438" t="s">
        <v>1186</v>
      </c>
      <c r="W41" s="440"/>
      <c r="X41" s="1167">
        <v>0.41099999999999998</v>
      </c>
      <c r="Y41" s="1168">
        <v>0.39500000000000002</v>
      </c>
      <c r="Z41" s="1119"/>
      <c r="AA41"/>
      <c r="AB41"/>
      <c r="AE41" s="414"/>
      <c r="AF41" s="421"/>
    </row>
    <row r="42" spans="2:32" s="407" customFormat="1" ht="12.75" x14ac:dyDescent="0.2">
      <c r="B42" s="1024"/>
      <c r="C42" s="441"/>
      <c r="D42" s="438" t="s">
        <v>18</v>
      </c>
      <c r="E42" s="440"/>
      <c r="F42" s="1100">
        <v>3078.5219532432993</v>
      </c>
      <c r="G42" s="1100">
        <v>3175.320706613707</v>
      </c>
      <c r="H42" s="1119"/>
      <c r="I42" s="1119"/>
      <c r="J42" s="1119"/>
      <c r="K42" s="1024"/>
      <c r="L42" s="441"/>
      <c r="M42" s="438" t="s">
        <v>18</v>
      </c>
      <c r="N42" s="440"/>
      <c r="O42" s="1100">
        <v>3000</v>
      </c>
      <c r="P42" s="1101">
        <v>3000</v>
      </c>
      <c r="Q42" s="1119"/>
      <c r="R42" s="1119"/>
      <c r="S42" s="1119"/>
      <c r="T42" s="1024"/>
      <c r="U42" s="441"/>
      <c r="V42" s="438" t="s">
        <v>18</v>
      </c>
      <c r="W42" s="440"/>
      <c r="X42" s="1167" t="s">
        <v>1685</v>
      </c>
      <c r="Y42" s="1168" t="s">
        <v>1685</v>
      </c>
      <c r="Z42" s="1119"/>
      <c r="AA42" s="412"/>
      <c r="AB42"/>
      <c r="AE42" s="414"/>
      <c r="AF42" s="421"/>
    </row>
    <row r="43" spans="2:32" s="407" customFormat="1" ht="12.75" x14ac:dyDescent="0.2">
      <c r="B43" s="1024"/>
      <c r="C43" s="441"/>
      <c r="D43" s="438" t="s">
        <v>1145</v>
      </c>
      <c r="E43" s="440"/>
      <c r="F43" s="1100">
        <v>37040.221606628576</v>
      </c>
      <c r="G43" s="1101">
        <v>37188.979255066668</v>
      </c>
      <c r="H43" s="1119"/>
      <c r="I43" s="1119"/>
      <c r="J43" s="1119"/>
      <c r="K43" s="1024"/>
      <c r="L43" s="441"/>
      <c r="M43" s="438" t="s">
        <v>1145</v>
      </c>
      <c r="N43" s="440"/>
      <c r="O43" s="1100">
        <v>37000</v>
      </c>
      <c r="P43" s="1101">
        <v>37000</v>
      </c>
      <c r="Q43" s="1119"/>
      <c r="R43" s="1119"/>
      <c r="S43" s="1119"/>
      <c r="T43" s="1024"/>
      <c r="U43" s="441"/>
      <c r="V43" s="438" t="s">
        <v>1145</v>
      </c>
      <c r="W43" s="440"/>
      <c r="X43" s="1167" t="s">
        <v>1685</v>
      </c>
      <c r="Y43" s="1168" t="s">
        <v>1685</v>
      </c>
      <c r="Z43" s="1119"/>
      <c r="AA43" s="412"/>
      <c r="AB43"/>
      <c r="AE43" s="414"/>
      <c r="AF43" s="421"/>
    </row>
    <row r="44" spans="2:32" s="401" customFormat="1" ht="15.75" x14ac:dyDescent="0.2">
      <c r="B44" s="1025"/>
      <c r="C44" s="448" t="s">
        <v>833</v>
      </c>
      <c r="D44" s="448"/>
      <c r="E44" s="446"/>
      <c r="F44" s="1102">
        <v>592617.11735346261</v>
      </c>
      <c r="G44" s="1103">
        <v>731758.25221599825</v>
      </c>
      <c r="H44" s="1122">
        <v>2.9894853769546641E-2</v>
      </c>
      <c r="I44" s="1122"/>
      <c r="J44" s="1122"/>
      <c r="K44" s="1025"/>
      <c r="L44" s="448" t="s">
        <v>833</v>
      </c>
      <c r="M44" s="448"/>
      <c r="N44" s="446"/>
      <c r="O44" s="1102">
        <v>593000</v>
      </c>
      <c r="P44" s="1103">
        <v>732000</v>
      </c>
      <c r="Q44" s="1122"/>
      <c r="R44" s="1122"/>
      <c r="S44" s="1122"/>
      <c r="T44" s="1025"/>
      <c r="U44" s="448" t="s">
        <v>833</v>
      </c>
      <c r="V44" s="448"/>
      <c r="W44" s="446"/>
      <c r="X44" s="1173">
        <v>0.59299999999999997</v>
      </c>
      <c r="Y44" s="1174">
        <v>0.73199999999999998</v>
      </c>
      <c r="Z44" s="1122"/>
      <c r="AA44" s="412"/>
      <c r="AB44"/>
      <c r="AE44" s="414"/>
    </row>
    <row r="45" spans="2:32" s="401" customFormat="1" ht="12.75" x14ac:dyDescent="0.2">
      <c r="B45" s="1024"/>
      <c r="C45" s="441"/>
      <c r="D45" s="438" t="s">
        <v>1215</v>
      </c>
      <c r="E45" s="440"/>
      <c r="F45" s="1100">
        <v>541770.95647584868</v>
      </c>
      <c r="G45" s="1101">
        <v>675579.35552460991</v>
      </c>
      <c r="H45" s="1122"/>
      <c r="I45" s="1122"/>
      <c r="J45" s="1122"/>
      <c r="K45" s="1024"/>
      <c r="L45" s="441"/>
      <c r="M45" s="438" t="s">
        <v>1215</v>
      </c>
      <c r="N45" s="440"/>
      <c r="O45" s="1100">
        <v>542000</v>
      </c>
      <c r="P45" s="1101">
        <v>676000</v>
      </c>
      <c r="Q45" s="1122"/>
      <c r="R45" s="1122"/>
      <c r="S45" s="1122"/>
      <c r="T45" s="1024"/>
      <c r="U45" s="441"/>
      <c r="V45" s="438" t="s">
        <v>1215</v>
      </c>
      <c r="W45" s="440"/>
      <c r="X45" s="1167">
        <v>0.54200000000000004</v>
      </c>
      <c r="Y45" s="1168">
        <v>0.67600000000000005</v>
      </c>
      <c r="Z45" s="1122"/>
      <c r="AA45" s="412"/>
      <c r="AB45"/>
      <c r="AE45" s="414"/>
    </row>
    <row r="46" spans="2:32" s="401" customFormat="1" ht="12.75" x14ac:dyDescent="0.2">
      <c r="B46" s="1024"/>
      <c r="C46" s="441"/>
      <c r="D46" s="438" t="s">
        <v>1216</v>
      </c>
      <c r="E46" s="440"/>
      <c r="F46" s="1100">
        <v>50846.160877613882</v>
      </c>
      <c r="G46" s="1101">
        <v>56178.896691388327</v>
      </c>
      <c r="H46" s="1122"/>
      <c r="I46" s="1122"/>
      <c r="J46" s="1122"/>
      <c r="K46" s="1024"/>
      <c r="L46" s="441"/>
      <c r="M46" s="438" t="s">
        <v>1216</v>
      </c>
      <c r="N46" s="440"/>
      <c r="O46" s="1100">
        <v>51000</v>
      </c>
      <c r="P46" s="1101">
        <v>56000</v>
      </c>
      <c r="Q46" s="1122"/>
      <c r="R46" s="1122"/>
      <c r="S46" s="1122"/>
      <c r="T46" s="1024"/>
      <c r="U46" s="441"/>
      <c r="V46" s="438" t="s">
        <v>1216</v>
      </c>
      <c r="W46" s="440"/>
      <c r="X46" s="1167">
        <v>5.0999999999999997E-2</v>
      </c>
      <c r="Y46" s="1168">
        <v>5.6000000000000001E-2</v>
      </c>
      <c r="Z46" s="1122"/>
      <c r="AA46" s="412"/>
      <c r="AB46"/>
      <c r="AE46" s="414"/>
    </row>
    <row r="47" spans="2:32" s="407" customFormat="1" ht="6" customHeight="1" thickBot="1" x14ac:dyDescent="0.25">
      <c r="B47" s="1030"/>
      <c r="C47" s="438"/>
      <c r="D47" s="438"/>
      <c r="E47" s="438"/>
      <c r="F47" s="1100"/>
      <c r="G47" s="1101"/>
      <c r="H47" s="1119"/>
      <c r="I47" s="1119"/>
      <c r="J47" s="1119"/>
      <c r="K47" s="1030"/>
      <c r="L47" s="438"/>
      <c r="M47" s="438"/>
      <c r="N47" s="438"/>
      <c r="O47" s="1100"/>
      <c r="P47" s="1101"/>
      <c r="Q47" s="1119"/>
      <c r="R47" s="1119"/>
      <c r="S47" s="1119"/>
      <c r="T47" s="1030"/>
      <c r="U47" s="438"/>
      <c r="V47" s="438"/>
      <c r="W47" s="438"/>
      <c r="X47" s="1167"/>
      <c r="Y47" s="1168"/>
      <c r="Z47" s="1119"/>
      <c r="AE47" s="414"/>
      <c r="AF47" s="421"/>
    </row>
    <row r="48" spans="2:32" s="365" customFormat="1" ht="18.75" thickTop="1" thickBot="1" x14ac:dyDescent="0.25">
      <c r="B48" s="1034" t="s">
        <v>836</v>
      </c>
      <c r="C48" s="1035"/>
      <c r="D48" s="1035"/>
      <c r="E48" s="1035"/>
      <c r="F48" s="1111">
        <v>217928.54525733899</v>
      </c>
      <c r="G48" s="1112">
        <v>216716.8016784559</v>
      </c>
      <c r="H48" s="1120">
        <v>8.8536303840259407E-3</v>
      </c>
      <c r="I48" s="1120"/>
      <c r="J48" s="1120"/>
      <c r="K48" s="1034" t="s">
        <v>836</v>
      </c>
      <c r="L48" s="1035"/>
      <c r="M48" s="1035"/>
      <c r="N48" s="1035"/>
      <c r="O48" s="1111">
        <v>218000</v>
      </c>
      <c r="P48" s="1112">
        <v>217000</v>
      </c>
      <c r="Q48" s="1120"/>
      <c r="R48" s="1120"/>
      <c r="S48" s="1120"/>
      <c r="T48" s="1034" t="s">
        <v>836</v>
      </c>
      <c r="U48" s="1035"/>
      <c r="V48" s="1035"/>
      <c r="W48" s="1035"/>
      <c r="X48" s="1182">
        <v>0.218</v>
      </c>
      <c r="Y48" s="1183">
        <v>0.217</v>
      </c>
      <c r="Z48" s="1120"/>
      <c r="AA48" s="412"/>
      <c r="AB48"/>
      <c r="AC48" s="1094"/>
      <c r="AE48" s="415"/>
      <c r="AF48" s="408"/>
    </row>
    <row r="49" spans="2:32" s="407" customFormat="1" ht="12.75" customHeight="1" thickTop="1" x14ac:dyDescent="0.2">
      <c r="B49" s="1024"/>
      <c r="C49" s="438"/>
      <c r="D49" s="438" t="s">
        <v>1137</v>
      </c>
      <c r="E49" s="440"/>
      <c r="F49" s="1100">
        <v>214235.46650713612</v>
      </c>
      <c r="G49" s="1101">
        <v>212784.80998784158</v>
      </c>
      <c r="H49" s="1119"/>
      <c r="I49" s="1119"/>
      <c r="J49" s="1119"/>
      <c r="K49" s="1024"/>
      <c r="L49" s="438"/>
      <c r="M49" s="438" t="s">
        <v>1137</v>
      </c>
      <c r="N49" s="440"/>
      <c r="O49" s="1100">
        <v>214000</v>
      </c>
      <c r="P49" s="1101">
        <v>213000</v>
      </c>
      <c r="Q49" s="1119"/>
      <c r="R49" s="1119"/>
      <c r="S49" s="1119"/>
      <c r="T49" s="1024"/>
      <c r="U49" s="438"/>
      <c r="V49" s="438" t="s">
        <v>1137</v>
      </c>
      <c r="W49" s="440"/>
      <c r="X49" s="1167">
        <v>0.214</v>
      </c>
      <c r="Y49" s="1168">
        <v>0.21299999999999999</v>
      </c>
      <c r="Z49" s="1119"/>
      <c r="AA49"/>
      <c r="AB49" s="412"/>
      <c r="AE49" s="415"/>
      <c r="AF49" s="421"/>
    </row>
    <row r="50" spans="2:32" s="407" customFormat="1" ht="15.75" x14ac:dyDescent="0.2">
      <c r="B50" s="1024"/>
      <c r="C50" s="438"/>
      <c r="D50" s="438" t="s">
        <v>19</v>
      </c>
      <c r="E50" s="440"/>
      <c r="F50" s="1100">
        <v>3693.0787502028761</v>
      </c>
      <c r="G50" s="1101">
        <v>3931.9916906143217</v>
      </c>
      <c r="H50" s="1119"/>
      <c r="I50" s="1119"/>
      <c r="J50" s="1119"/>
      <c r="K50" s="1024"/>
      <c r="L50" s="438"/>
      <c r="M50" s="438" t="s">
        <v>19</v>
      </c>
      <c r="N50" s="440"/>
      <c r="O50" s="1100">
        <v>4000</v>
      </c>
      <c r="P50" s="1101">
        <v>4000</v>
      </c>
      <c r="Q50" s="1119"/>
      <c r="R50" s="1119"/>
      <c r="S50" s="1119"/>
      <c r="T50" s="1024"/>
      <c r="U50" s="438"/>
      <c r="V50" s="438" t="s">
        <v>19</v>
      </c>
      <c r="W50" s="440"/>
      <c r="X50" s="1167" t="s">
        <v>1685</v>
      </c>
      <c r="Y50" s="1168" t="s">
        <v>1685</v>
      </c>
      <c r="Z50" s="1119"/>
      <c r="AE50" s="422"/>
      <c r="AF50" s="421"/>
    </row>
    <row r="51" spans="2:32" s="407" customFormat="1" ht="6" customHeight="1" thickBot="1" x14ac:dyDescent="0.25">
      <c r="B51" s="1030"/>
      <c r="C51" s="438"/>
      <c r="D51" s="438"/>
      <c r="E51" s="438"/>
      <c r="F51" s="1100"/>
      <c r="G51" s="1101"/>
      <c r="H51" s="1119"/>
      <c r="I51" s="1119"/>
      <c r="J51" s="1119"/>
      <c r="K51" s="1030"/>
      <c r="L51" s="438"/>
      <c r="M51" s="438"/>
      <c r="N51" s="438"/>
      <c r="O51" s="1100"/>
      <c r="P51" s="1101"/>
      <c r="Q51" s="1119"/>
      <c r="R51" s="1119"/>
      <c r="S51" s="1119"/>
      <c r="T51" s="1030"/>
      <c r="U51" s="438"/>
      <c r="V51" s="438"/>
      <c r="W51" s="438"/>
      <c r="X51" s="1167"/>
      <c r="Y51" s="1168"/>
      <c r="Z51" s="1119"/>
      <c r="AE51" s="414"/>
      <c r="AF51" s="421"/>
    </row>
    <row r="52" spans="2:32" s="407" customFormat="1" ht="18.75" thickTop="1" thickBot="1" x14ac:dyDescent="0.25">
      <c r="B52" s="1038" t="s">
        <v>888</v>
      </c>
      <c r="C52" s="1039"/>
      <c r="D52" s="1039"/>
      <c r="E52" s="1039"/>
      <c r="F52" s="1113">
        <v>144507.11507820163</v>
      </c>
      <c r="G52" s="1114">
        <v>157511.06932401942</v>
      </c>
      <c r="H52" s="1119">
        <v>6.4348715853450511E-3</v>
      </c>
      <c r="I52" s="1119"/>
      <c r="J52" s="1119"/>
      <c r="K52" s="1038" t="s">
        <v>888</v>
      </c>
      <c r="L52" s="1039"/>
      <c r="M52" s="1039"/>
      <c r="N52" s="1039"/>
      <c r="O52" s="1113">
        <v>145000</v>
      </c>
      <c r="P52" s="1114">
        <v>158000</v>
      </c>
      <c r="Q52" s="1119"/>
      <c r="R52" s="1119"/>
      <c r="S52" s="1119"/>
      <c r="T52" s="1038" t="s">
        <v>888</v>
      </c>
      <c r="U52" s="1039"/>
      <c r="V52" s="1039"/>
      <c r="W52" s="1039"/>
      <c r="X52" s="1184">
        <v>0.14499999999999999</v>
      </c>
      <c r="Y52" s="1185">
        <v>0.158</v>
      </c>
      <c r="Z52" s="1119"/>
      <c r="AE52" s="422"/>
      <c r="AF52" s="421"/>
    </row>
    <row r="53" spans="2:32" s="407" customFormat="1" ht="13.5" customHeight="1" thickTop="1" x14ac:dyDescent="0.2">
      <c r="B53" s="1024"/>
      <c r="C53" s="438"/>
      <c r="D53" s="438" t="s">
        <v>859</v>
      </c>
      <c r="E53" s="440"/>
      <c r="F53" s="1100">
        <v>52395.657299999999</v>
      </c>
      <c r="G53" s="1101">
        <v>56590.1578128275</v>
      </c>
      <c r="H53" s="1119"/>
      <c r="I53" s="1119"/>
      <c r="J53" s="1119"/>
      <c r="K53" s="1024"/>
      <c r="L53" s="438"/>
      <c r="M53" s="438" t="s">
        <v>859</v>
      </c>
      <c r="N53" s="440"/>
      <c r="O53" s="1100">
        <v>52000</v>
      </c>
      <c r="P53" s="1101">
        <v>57000</v>
      </c>
      <c r="Q53" s="1119"/>
      <c r="R53" s="1119"/>
      <c r="S53" s="1119"/>
      <c r="T53" s="1024"/>
      <c r="U53" s="438"/>
      <c r="V53" s="438" t="s">
        <v>859</v>
      </c>
      <c r="W53" s="440"/>
      <c r="X53" s="1167">
        <v>5.1999999999999998E-2</v>
      </c>
      <c r="Y53" s="1168">
        <v>5.7000000000000002E-2</v>
      </c>
      <c r="Z53" s="1119"/>
      <c r="AE53" s="422"/>
      <c r="AF53" s="421"/>
    </row>
    <row r="54" spans="2:32" s="407" customFormat="1" ht="12.75" customHeight="1" x14ac:dyDescent="0.2">
      <c r="B54" s="1024"/>
      <c r="C54" s="438"/>
      <c r="D54" s="438" t="s">
        <v>858</v>
      </c>
      <c r="E54" s="440"/>
      <c r="F54" s="1100">
        <v>84659.819800961515</v>
      </c>
      <c r="G54" s="1101">
        <v>94432.705838738912</v>
      </c>
      <c r="H54" s="1119"/>
      <c r="I54" s="1119"/>
      <c r="J54" s="1119"/>
      <c r="K54" s="1024"/>
      <c r="L54" s="438"/>
      <c r="M54" s="438" t="s">
        <v>858</v>
      </c>
      <c r="N54" s="440"/>
      <c r="O54" s="1100">
        <v>85000</v>
      </c>
      <c r="P54" s="1101">
        <v>94000</v>
      </c>
      <c r="Q54" s="1119"/>
      <c r="R54" s="1119"/>
      <c r="S54" s="1119"/>
      <c r="T54" s="1024"/>
      <c r="U54" s="438"/>
      <c r="V54" s="438" t="s">
        <v>858</v>
      </c>
      <c r="W54" s="440"/>
      <c r="X54" s="1167">
        <v>8.5000000000000006E-2</v>
      </c>
      <c r="Y54" s="1168">
        <v>9.4E-2</v>
      </c>
      <c r="Z54" s="1119"/>
      <c r="AE54" s="422"/>
      <c r="AF54" s="421"/>
    </row>
    <row r="55" spans="2:32" s="407" customFormat="1" ht="12.75" customHeight="1" x14ac:dyDescent="0.2">
      <c r="B55" s="1024"/>
      <c r="C55" s="438"/>
      <c r="D55" s="438" t="s">
        <v>1083</v>
      </c>
      <c r="E55" s="440"/>
      <c r="F55" s="1100">
        <v>7451.6379772401069</v>
      </c>
      <c r="G55" s="1101">
        <v>6488.2056724530139</v>
      </c>
      <c r="H55" s="1698">
        <v>2.6506562682052564E-4</v>
      </c>
      <c r="I55" s="1119"/>
      <c r="J55" s="1119"/>
      <c r="K55" s="1024"/>
      <c r="L55" s="438"/>
      <c r="M55" s="438" t="s">
        <v>1083</v>
      </c>
      <c r="N55" s="440"/>
      <c r="O55" s="1100">
        <v>7000</v>
      </c>
      <c r="P55" s="1101">
        <v>6000</v>
      </c>
      <c r="Q55" s="1119"/>
      <c r="R55" s="1119"/>
      <c r="S55" s="1119"/>
      <c r="T55" s="1024"/>
      <c r="U55" s="438"/>
      <c r="V55" s="438" t="s">
        <v>1083</v>
      </c>
      <c r="W55" s="440"/>
      <c r="X55" s="1167" t="s">
        <v>1685</v>
      </c>
      <c r="Y55" s="1168" t="s">
        <v>1685</v>
      </c>
      <c r="Z55" s="1119"/>
      <c r="AE55" s="422"/>
      <c r="AF55" s="421"/>
    </row>
    <row r="56" spans="2:32" s="407" customFormat="1" ht="6" customHeight="1" thickBot="1" x14ac:dyDescent="0.25">
      <c r="B56" s="1030"/>
      <c r="C56" s="438"/>
      <c r="D56" s="438"/>
      <c r="E56" s="438"/>
      <c r="F56" s="1100"/>
      <c r="G56" s="1101"/>
      <c r="H56" s="1119"/>
      <c r="I56" s="1119"/>
      <c r="J56" s="1119"/>
      <c r="K56" s="1030"/>
      <c r="L56" s="438"/>
      <c r="M56" s="438"/>
      <c r="N56" s="438"/>
      <c r="O56" s="1100"/>
      <c r="P56" s="1101"/>
      <c r="Q56" s="1119"/>
      <c r="R56" s="1119"/>
      <c r="S56" s="1119"/>
      <c r="T56" s="1030"/>
      <c r="U56" s="438"/>
      <c r="V56" s="438"/>
      <c r="W56" s="438"/>
      <c r="X56" s="1167"/>
      <c r="Y56" s="1168"/>
      <c r="Z56" s="1119"/>
      <c r="AE56" s="414"/>
      <c r="AF56" s="421"/>
    </row>
    <row r="57" spans="2:32" s="407" customFormat="1" ht="18.75" thickTop="1" thickBot="1" x14ac:dyDescent="0.25">
      <c r="B57" s="1036" t="s">
        <v>1267</v>
      </c>
      <c r="C57" s="1037"/>
      <c r="D57" s="1037"/>
      <c r="E57" s="1037"/>
      <c r="F57" s="1115">
        <v>122780.83821320487</v>
      </c>
      <c r="G57" s="1116">
        <v>53277.493728684618</v>
      </c>
      <c r="H57" s="1119">
        <v>2.1765697611249206E-3</v>
      </c>
      <c r="I57" s="1119"/>
      <c r="J57" s="1119"/>
      <c r="K57" s="1036" t="s">
        <v>1267</v>
      </c>
      <c r="L57" s="1037"/>
      <c r="M57" s="1037"/>
      <c r="N57" s="1037"/>
      <c r="O57" s="1115">
        <v>123000</v>
      </c>
      <c r="P57" s="1116">
        <v>53000</v>
      </c>
      <c r="Q57" s="1119"/>
      <c r="R57" s="1119"/>
      <c r="S57" s="1119"/>
      <c r="T57" s="1036" t="s">
        <v>1267</v>
      </c>
      <c r="U57" s="1037"/>
      <c r="V57" s="1037"/>
      <c r="W57" s="1037"/>
      <c r="X57" s="1186">
        <v>0.123</v>
      </c>
      <c r="Y57" s="1187">
        <v>5.2999999999999999E-2</v>
      </c>
      <c r="Z57" s="1119"/>
      <c r="AC57" s="1095"/>
      <c r="AE57" s="422"/>
      <c r="AF57" s="421"/>
    </row>
    <row r="58" spans="2:32" s="407" customFormat="1" ht="17.25" thickTop="1" thickBot="1" x14ac:dyDescent="0.25">
      <c r="B58" s="1024"/>
      <c r="C58" s="438"/>
      <c r="D58" s="438" t="s">
        <v>1266</v>
      </c>
      <c r="E58" s="440"/>
      <c r="F58" s="1100">
        <v>122780.83821320487</v>
      </c>
      <c r="G58" s="1101">
        <v>53277.493728684618</v>
      </c>
      <c r="H58" s="1698">
        <v>2.1765697611249206E-3</v>
      </c>
      <c r="I58" s="1119"/>
      <c r="J58" s="1119"/>
      <c r="K58" s="1024"/>
      <c r="L58" s="438"/>
      <c r="M58" s="438" t="s">
        <v>1266</v>
      </c>
      <c r="N58" s="440"/>
      <c r="O58" s="1100">
        <v>123000</v>
      </c>
      <c r="P58" s="1101">
        <v>53000</v>
      </c>
      <c r="Q58" s="1119"/>
      <c r="R58" s="1119"/>
      <c r="S58" s="1119"/>
      <c r="T58" s="1024"/>
      <c r="U58" s="438"/>
      <c r="V58" s="438" t="s">
        <v>1266</v>
      </c>
      <c r="W58" s="440"/>
      <c r="X58" s="1167">
        <v>0.123</v>
      </c>
      <c r="Y58" s="1168">
        <v>5.2999999999999999E-2</v>
      </c>
      <c r="Z58" s="1119"/>
      <c r="AE58" s="422"/>
      <c r="AF58" s="421"/>
    </row>
    <row r="59" spans="2:32" s="407" customFormat="1" ht="18.75" thickTop="1" thickBot="1" x14ac:dyDescent="0.25">
      <c r="B59" s="1040" t="s">
        <v>21</v>
      </c>
      <c r="C59" s="1041"/>
      <c r="D59" s="1041"/>
      <c r="E59" s="1041"/>
      <c r="F59" s="1117">
        <v>22372022.439044185</v>
      </c>
      <c r="G59" s="1118">
        <v>24477733.119451731</v>
      </c>
      <c r="H59" s="1119"/>
      <c r="I59" s="1119"/>
      <c r="J59" s="1119"/>
      <c r="K59" s="1040" t="s">
        <v>21</v>
      </c>
      <c r="L59" s="1041"/>
      <c r="M59" s="1041"/>
      <c r="N59" s="1041"/>
      <c r="O59" s="1117">
        <v>22372000</v>
      </c>
      <c r="P59" s="1118">
        <v>24478000</v>
      </c>
      <c r="Q59" s="1119"/>
      <c r="R59" s="1119"/>
      <c r="S59" s="1119"/>
      <c r="T59" s="1040" t="s">
        <v>21</v>
      </c>
      <c r="U59" s="1041"/>
      <c r="V59" s="1041"/>
      <c r="W59" s="1041"/>
      <c r="X59" s="1188">
        <v>22.372</v>
      </c>
      <c r="Y59" s="1189">
        <v>24.478000000000002</v>
      </c>
      <c r="Z59" s="1119"/>
      <c r="AE59" s="414"/>
      <c r="AF59" s="421"/>
    </row>
    <row r="60" spans="2:32" ht="6.75" customHeight="1" thickTop="1" x14ac:dyDescent="0.2">
      <c r="B60" s="1143"/>
      <c r="C60" s="1141"/>
      <c r="D60" s="1141"/>
      <c r="E60" s="1141"/>
      <c r="F60" s="1142"/>
      <c r="G60" s="1143"/>
      <c r="K60" s="1143"/>
      <c r="L60" s="1141"/>
      <c r="M60" s="1141"/>
      <c r="N60" s="1141"/>
      <c r="O60" s="1142"/>
      <c r="P60" s="1143"/>
      <c r="T60" s="1143"/>
      <c r="U60" s="1141"/>
      <c r="V60" s="1141"/>
      <c r="W60" s="1141"/>
      <c r="X60" s="1142"/>
      <c r="Y60" s="1143"/>
      <c r="AE60" s="414"/>
      <c r="AF60" s="5"/>
    </row>
    <row r="61" spans="2:32" s="410" customFormat="1" ht="16.5" customHeight="1" x14ac:dyDescent="0.2">
      <c r="B61" s="1143"/>
      <c r="C61" s="1143"/>
      <c r="D61" s="1143"/>
      <c r="E61" s="1143"/>
      <c r="F61" s="1144"/>
      <c r="G61" s="1144"/>
      <c r="H61" s="1120"/>
      <c r="I61" s="1120"/>
      <c r="J61" s="1120"/>
      <c r="K61" s="1143"/>
      <c r="L61" s="1143"/>
      <c r="M61" s="1143"/>
      <c r="N61" s="1143"/>
      <c r="O61" s="1144"/>
      <c r="P61" s="1144"/>
      <c r="Q61" s="1120"/>
      <c r="R61" s="1120"/>
      <c r="S61" s="1120"/>
      <c r="T61" s="1143"/>
      <c r="U61" s="1143"/>
      <c r="V61" s="1143"/>
      <c r="W61" s="1143"/>
      <c r="X61" s="1144"/>
      <c r="Y61" s="1156"/>
      <c r="Z61" s="1120"/>
      <c r="AE61" s="414"/>
      <c r="AF61" s="419"/>
    </row>
    <row r="62" spans="2:32" s="365" customFormat="1" ht="15" customHeight="1" x14ac:dyDescent="0.2">
      <c r="B62" s="1139"/>
      <c r="C62" s="1139"/>
      <c r="D62" s="475"/>
      <c r="E62" s="1139"/>
      <c r="F62" s="1110"/>
      <c r="G62" s="1110"/>
      <c r="H62" s="1123"/>
      <c r="I62" s="1123"/>
      <c r="J62" s="1123"/>
      <c r="K62" s="1139"/>
      <c r="L62" s="1139"/>
      <c r="M62" s="475"/>
      <c r="N62" s="1139"/>
      <c r="O62" s="1110"/>
      <c r="P62" s="1110">
        <v>2106000</v>
      </c>
      <c r="Q62" s="1123"/>
      <c r="R62" s="1123"/>
      <c r="S62" s="1123"/>
      <c r="T62" s="1139"/>
      <c r="U62" s="1139"/>
      <c r="V62" s="475"/>
      <c r="W62" s="1139"/>
      <c r="X62" s="1110"/>
      <c r="Y62" s="1208"/>
      <c r="Z62" s="1123"/>
      <c r="AC62" s="214"/>
      <c r="AE62" s="414"/>
      <c r="AF62" s="408"/>
    </row>
    <row r="63" spans="2:32" s="365" customFormat="1" ht="13.5" customHeight="1" x14ac:dyDescent="0.2">
      <c r="B63" s="1139"/>
      <c r="C63" s="1139"/>
      <c r="D63" s="475"/>
      <c r="E63" s="1139"/>
      <c r="F63" s="1110"/>
      <c r="G63" s="1244">
        <v>1.0941224999279731</v>
      </c>
      <c r="H63" s="1123"/>
      <c r="I63" s="1123"/>
      <c r="J63" s="1123"/>
      <c r="K63" s="1139"/>
      <c r="L63" s="1139"/>
      <c r="M63" s="475"/>
      <c r="N63" s="1139"/>
      <c r="O63" s="1110"/>
      <c r="P63" s="1244">
        <v>1.094135526551046</v>
      </c>
      <c r="Q63" s="1123"/>
      <c r="R63" s="1123"/>
      <c r="S63" s="1123"/>
      <c r="T63" s="1139"/>
      <c r="U63" s="1139"/>
      <c r="V63" s="475"/>
      <c r="W63" s="1139"/>
      <c r="X63" s="1110"/>
      <c r="Y63" s="1208"/>
      <c r="Z63" s="1123"/>
      <c r="AC63" s="309"/>
      <c r="AE63" s="414"/>
      <c r="AF63" s="408"/>
    </row>
    <row r="64" spans="2:32" s="365" customFormat="1" ht="12.75" customHeight="1" x14ac:dyDescent="0.2">
      <c r="B64" s="1139"/>
      <c r="C64" s="1139"/>
      <c r="D64" s="475"/>
      <c r="E64" s="1139"/>
      <c r="F64" s="1110"/>
      <c r="G64" s="1110"/>
      <c r="H64" s="1123"/>
      <c r="I64" s="1123"/>
      <c r="J64" s="1123"/>
      <c r="K64" s="1139"/>
      <c r="L64" s="1139"/>
      <c r="M64" s="475"/>
      <c r="N64" s="1139"/>
      <c r="O64" s="1110"/>
      <c r="P64" s="1328">
        <v>1.094135526551046</v>
      </c>
      <c r="Q64" s="1123"/>
      <c r="R64" s="1123"/>
      <c r="S64" s="1123"/>
      <c r="T64" s="1139"/>
      <c r="U64" s="1139"/>
      <c r="V64" s="475"/>
      <c r="W64" s="1139"/>
      <c r="X64" s="1110"/>
      <c r="Y64" s="1208"/>
      <c r="Z64" s="1123"/>
      <c r="AC64" s="309"/>
      <c r="AE64" s="414"/>
      <c r="AF64" s="408"/>
    </row>
    <row r="65" spans="2:32" s="365" customFormat="1" ht="15" customHeight="1" x14ac:dyDescent="0.2">
      <c r="B65" s="1139"/>
      <c r="C65" s="1139"/>
      <c r="D65" s="475"/>
      <c r="E65" s="1139"/>
      <c r="F65" s="1110"/>
      <c r="G65" s="1110"/>
      <c r="H65" s="1123"/>
      <c r="I65" s="1123"/>
      <c r="J65" s="1123"/>
      <c r="K65" s="1139"/>
      <c r="L65" s="1139"/>
      <c r="M65" s="475"/>
      <c r="N65" s="1139"/>
      <c r="O65" s="1110"/>
      <c r="P65" s="1110"/>
      <c r="Q65" s="1123"/>
      <c r="R65" s="1123"/>
      <c r="S65" s="1123"/>
      <c r="T65" s="1139"/>
      <c r="U65" s="1139"/>
      <c r="V65" s="475"/>
      <c r="W65" s="1139"/>
      <c r="X65" s="1110"/>
      <c r="Y65" s="1208"/>
      <c r="Z65" s="1123"/>
      <c r="AC65" s="309"/>
      <c r="AE65" s="414"/>
      <c r="AF65" s="408"/>
    </row>
    <row r="66" spans="2:32" s="365" customFormat="1" ht="6.75" customHeight="1" x14ac:dyDescent="0.2">
      <c r="B66" s="1139"/>
      <c r="C66" s="1139"/>
      <c r="D66" s="1139"/>
      <c r="E66" s="1139"/>
      <c r="F66" s="1140"/>
      <c r="G66" s="1140"/>
      <c r="H66" s="1123"/>
      <c r="I66" s="1123"/>
      <c r="J66" s="1123"/>
      <c r="K66" s="1139"/>
      <c r="L66" s="1139"/>
      <c r="M66" s="1139"/>
      <c r="N66" s="1139"/>
      <c r="O66" s="1140"/>
      <c r="P66" s="1140"/>
      <c r="Q66" s="1123"/>
      <c r="R66" s="1123"/>
      <c r="S66" s="1123"/>
      <c r="T66" s="1139"/>
      <c r="U66" s="1139"/>
      <c r="V66" s="1139"/>
      <c r="W66" s="1139"/>
      <c r="X66" s="1140"/>
      <c r="Y66" s="1209"/>
      <c r="Z66" s="1123"/>
      <c r="AE66" s="414"/>
      <c r="AF66" s="408"/>
    </row>
    <row r="67" spans="2:32" s="410" customFormat="1" ht="16.5" customHeight="1" x14ac:dyDescent="0.2">
      <c r="B67" s="1145"/>
      <c r="C67" s="1146"/>
      <c r="D67" s="1146"/>
      <c r="E67" s="1146"/>
      <c r="F67" s="1147"/>
      <c r="G67" s="1147"/>
      <c r="H67" s="1120"/>
      <c r="I67" s="1120"/>
      <c r="J67" s="1120"/>
      <c r="K67" s="1145"/>
      <c r="L67" s="1146"/>
      <c r="M67" s="1146"/>
      <c r="N67" s="1146"/>
      <c r="O67" s="1147"/>
      <c r="P67" s="1147"/>
      <c r="Q67" s="1120"/>
      <c r="R67" s="1120"/>
      <c r="S67" s="1120"/>
      <c r="T67" s="1145"/>
      <c r="U67" s="1146"/>
      <c r="V67" s="1146"/>
      <c r="W67" s="1146"/>
      <c r="X67" s="1147"/>
      <c r="Y67" s="1157"/>
      <c r="Z67" s="1120"/>
      <c r="AE67" s="414"/>
      <c r="AF67" s="419"/>
    </row>
    <row r="68" spans="2:32" ht="13.5" thickBot="1" x14ac:dyDescent="0.25">
      <c r="G68" s="1134"/>
      <c r="P68" s="1134"/>
      <c r="Y68" s="1210"/>
      <c r="AE68" s="413"/>
      <c r="AF68" s="5"/>
    </row>
    <row r="69" spans="2:32" ht="34.5" customHeight="1" thickBot="1" x14ac:dyDescent="0.35">
      <c r="B69" s="2529" t="s">
        <v>36</v>
      </c>
      <c r="C69" s="2530"/>
      <c r="D69" s="2530"/>
      <c r="E69" s="2530"/>
      <c r="F69" s="471">
        <v>2003</v>
      </c>
      <c r="G69" s="1019">
        <v>2008</v>
      </c>
      <c r="K69" s="2529" t="s">
        <v>36</v>
      </c>
      <c r="L69" s="2530"/>
      <c r="M69" s="2530"/>
      <c r="N69" s="2530"/>
      <c r="O69" s="471">
        <v>2003</v>
      </c>
      <c r="P69" s="1019">
        <v>2008</v>
      </c>
      <c r="T69" s="2529" t="s">
        <v>36</v>
      </c>
      <c r="U69" s="2530"/>
      <c r="V69" s="2530"/>
      <c r="W69" s="2530"/>
      <c r="X69" s="471">
        <v>2003</v>
      </c>
      <c r="Y69" s="1211">
        <v>2008</v>
      </c>
      <c r="AE69" s="413"/>
      <c r="AF69" s="5"/>
    </row>
    <row r="70" spans="2:32" ht="6" customHeight="1" thickBot="1" x14ac:dyDescent="0.25">
      <c r="B70" s="463"/>
      <c r="C70" s="464"/>
      <c r="D70" s="465"/>
      <c r="E70" s="465"/>
      <c r="F70" s="466"/>
      <c r="G70" s="1031"/>
      <c r="K70" s="463"/>
      <c r="L70" s="464"/>
      <c r="M70" s="465"/>
      <c r="N70" s="465"/>
      <c r="O70" s="466"/>
      <c r="P70" s="1031"/>
      <c r="T70" s="463"/>
      <c r="U70" s="464"/>
      <c r="V70" s="465"/>
      <c r="W70" s="465"/>
      <c r="X70" s="466"/>
      <c r="Y70" s="1212"/>
      <c r="AE70" s="417"/>
      <c r="AF70" s="5"/>
    </row>
    <row r="71" spans="2:32" ht="18.75" thickTop="1" thickBot="1" x14ac:dyDescent="0.25">
      <c r="B71" s="472" t="s">
        <v>825</v>
      </c>
      <c r="C71" s="473"/>
      <c r="D71" s="473"/>
      <c r="E71" s="473"/>
      <c r="F71" s="474">
        <v>11329727.54526259</v>
      </c>
      <c r="G71" s="1022">
        <v>11353735.827275094</v>
      </c>
      <c r="K71" s="472" t="s">
        <v>825</v>
      </c>
      <c r="L71" s="473"/>
      <c r="M71" s="473"/>
      <c r="N71" s="473"/>
      <c r="O71" s="474">
        <v>11330000</v>
      </c>
      <c r="P71" s="1022">
        <v>11354000</v>
      </c>
      <c r="T71" s="472" t="s">
        <v>825</v>
      </c>
      <c r="U71" s="473"/>
      <c r="V71" s="473"/>
      <c r="W71" s="473"/>
      <c r="X71" s="474">
        <v>11.33</v>
      </c>
      <c r="Y71" s="1170">
        <v>11.353999999999999</v>
      </c>
      <c r="AE71" s="344"/>
      <c r="AF71" s="5"/>
    </row>
    <row r="72" spans="2:32" s="412" customFormat="1" ht="16.5" thickTop="1" x14ac:dyDescent="0.25">
      <c r="B72" s="462"/>
      <c r="C72" s="450" t="s">
        <v>839</v>
      </c>
      <c r="D72" s="451"/>
      <c r="E72" s="452"/>
      <c r="F72" s="453">
        <v>9168576.8379433844</v>
      </c>
      <c r="G72" s="1042">
        <v>8867824.3366023097</v>
      </c>
      <c r="H72" s="1120"/>
      <c r="I72" s="1120"/>
      <c r="J72" s="1120"/>
      <c r="K72" s="462"/>
      <c r="L72" s="450" t="s">
        <v>839</v>
      </c>
      <c r="M72" s="451"/>
      <c r="N72" s="452"/>
      <c r="O72" s="453">
        <v>9169000</v>
      </c>
      <c r="P72" s="1042">
        <v>8868000</v>
      </c>
      <c r="Q72" s="1120"/>
      <c r="R72" s="1120"/>
      <c r="S72" s="1120"/>
      <c r="T72" s="462"/>
      <c r="U72" s="450" t="s">
        <v>839</v>
      </c>
      <c r="V72" s="451"/>
      <c r="W72" s="452"/>
      <c r="X72" s="453">
        <v>9.1690000000000005</v>
      </c>
      <c r="Y72" s="1190">
        <v>8.8680000000000003</v>
      </c>
      <c r="Z72" s="1120"/>
      <c r="AE72" s="344"/>
      <c r="AF72" s="423"/>
    </row>
    <row r="73" spans="2:32" s="412" customFormat="1" ht="15.75" x14ac:dyDescent="0.25">
      <c r="B73" s="462"/>
      <c r="C73" s="454" t="s">
        <v>14</v>
      </c>
      <c r="D73" s="455"/>
      <c r="E73" s="455"/>
      <c r="F73" s="456">
        <v>266120.67308702657</v>
      </c>
      <c r="G73" s="1043">
        <v>308876.38855566649</v>
      </c>
      <c r="H73" s="1120"/>
      <c r="I73" s="1120"/>
      <c r="J73" s="1120"/>
      <c r="K73" s="462"/>
      <c r="L73" s="454" t="s">
        <v>14</v>
      </c>
      <c r="M73" s="455"/>
      <c r="N73" s="455"/>
      <c r="O73" s="456">
        <v>266000</v>
      </c>
      <c r="P73" s="1043">
        <v>309000</v>
      </c>
      <c r="Q73" s="1120"/>
      <c r="R73" s="1120"/>
      <c r="S73" s="1120"/>
      <c r="T73" s="462"/>
      <c r="U73" s="454" t="s">
        <v>14</v>
      </c>
      <c r="V73" s="455"/>
      <c r="W73" s="455"/>
      <c r="X73" s="456">
        <v>0.26600000000000001</v>
      </c>
      <c r="Y73" s="1191">
        <v>0.309</v>
      </c>
      <c r="Z73" s="1120"/>
      <c r="AE73" s="1134"/>
      <c r="AF73" s="423"/>
    </row>
    <row r="74" spans="2:32" s="412" customFormat="1" ht="15.75" x14ac:dyDescent="0.25">
      <c r="B74" s="462"/>
      <c r="C74" s="454" t="s">
        <v>8</v>
      </c>
      <c r="D74" s="455"/>
      <c r="E74" s="455"/>
      <c r="F74" s="456">
        <v>1895030.034232178</v>
      </c>
      <c r="G74" s="1043">
        <v>2177035.102117118</v>
      </c>
      <c r="H74" s="1120"/>
      <c r="I74" s="1120"/>
      <c r="J74" s="1120"/>
      <c r="K74" s="462"/>
      <c r="L74" s="454" t="s">
        <v>8</v>
      </c>
      <c r="M74" s="455"/>
      <c r="N74" s="455"/>
      <c r="O74" s="456">
        <v>1895000</v>
      </c>
      <c r="P74" s="1043">
        <v>2177000</v>
      </c>
      <c r="Q74" s="1120"/>
      <c r="R74" s="1120"/>
      <c r="S74" s="1120"/>
      <c r="T74" s="462"/>
      <c r="U74" s="454" t="s">
        <v>8</v>
      </c>
      <c r="V74" s="455"/>
      <c r="W74" s="455"/>
      <c r="X74" s="456">
        <v>1.895</v>
      </c>
      <c r="Y74" s="1191">
        <v>2.177</v>
      </c>
      <c r="Z74" s="1120"/>
      <c r="AC74" s="1133"/>
      <c r="AE74" s="344"/>
      <c r="AF74" s="423"/>
    </row>
    <row r="75" spans="2:32" s="412" customFormat="1" ht="6.75" customHeight="1" thickBot="1" x14ac:dyDescent="0.3">
      <c r="B75" s="462"/>
      <c r="C75" s="467"/>
      <c r="D75" s="458"/>
      <c r="E75" s="458"/>
      <c r="F75" s="1044"/>
      <c r="G75" s="1045"/>
      <c r="H75" s="1120"/>
      <c r="I75" s="1120"/>
      <c r="J75" s="1120"/>
      <c r="K75" s="462"/>
      <c r="L75" s="467"/>
      <c r="M75" s="458"/>
      <c r="N75" s="458"/>
      <c r="O75" s="1044"/>
      <c r="P75" s="1045"/>
      <c r="Q75" s="1120"/>
      <c r="R75" s="1120"/>
      <c r="S75" s="1120"/>
      <c r="T75" s="462"/>
      <c r="U75" s="467"/>
      <c r="V75" s="458"/>
      <c r="W75" s="458"/>
      <c r="X75" s="1044"/>
      <c r="Y75" s="1045"/>
      <c r="Z75" s="1120"/>
      <c r="AE75" s="344"/>
      <c r="AF75" s="423"/>
    </row>
    <row r="76" spans="2:32" ht="18.75" thickTop="1" thickBot="1" x14ac:dyDescent="0.25">
      <c r="B76" s="461" t="s">
        <v>799</v>
      </c>
      <c r="C76" s="459"/>
      <c r="D76" s="459"/>
      <c r="E76" s="459"/>
      <c r="F76" s="460">
        <v>7342374.0058241235</v>
      </c>
      <c r="G76" s="1026">
        <v>8180475.4057288356</v>
      </c>
      <c r="K76" s="461" t="s">
        <v>799</v>
      </c>
      <c r="L76" s="459"/>
      <c r="M76" s="459"/>
      <c r="N76" s="459"/>
      <c r="O76" s="460">
        <v>7343000</v>
      </c>
      <c r="P76" s="1026">
        <v>8180000</v>
      </c>
      <c r="T76" s="461" t="s">
        <v>799</v>
      </c>
      <c r="U76" s="459"/>
      <c r="V76" s="459"/>
      <c r="W76" s="459"/>
      <c r="X76" s="460">
        <v>7.343</v>
      </c>
      <c r="Y76" s="1178">
        <v>8.18</v>
      </c>
      <c r="AE76" s="418"/>
      <c r="AF76" s="5"/>
    </row>
    <row r="77" spans="2:32" s="412" customFormat="1" ht="16.5" thickTop="1" x14ac:dyDescent="0.25">
      <c r="B77" s="468"/>
      <c r="C77" s="450" t="s">
        <v>46</v>
      </c>
      <c r="D77" s="451"/>
      <c r="E77" s="451"/>
      <c r="F77" s="453">
        <v>3762582.2038882524</v>
      </c>
      <c r="G77" s="1042">
        <v>4136066.4948832104</v>
      </c>
      <c r="H77" s="1120"/>
      <c r="I77" s="1120"/>
      <c r="J77" s="1120"/>
      <c r="K77" s="468"/>
      <c r="L77" s="450" t="s">
        <v>46</v>
      </c>
      <c r="M77" s="451"/>
      <c r="N77" s="451"/>
      <c r="O77" s="453">
        <v>3763000</v>
      </c>
      <c r="P77" s="1042">
        <v>4136000</v>
      </c>
      <c r="Q77" s="1120"/>
      <c r="R77" s="1120"/>
      <c r="S77" s="1120"/>
      <c r="T77" s="468"/>
      <c r="U77" s="450" t="s">
        <v>46</v>
      </c>
      <c r="V77" s="451"/>
      <c r="W77" s="451"/>
      <c r="X77" s="453">
        <v>3.7629999999999999</v>
      </c>
      <c r="Y77" s="1190">
        <v>4.1360000000000001</v>
      </c>
      <c r="Z77" s="1120"/>
      <c r="AE77" s="413"/>
      <c r="AF77" s="423"/>
    </row>
    <row r="78" spans="2:32" s="412" customFormat="1" ht="15.75" x14ac:dyDescent="0.25">
      <c r="B78" s="469"/>
      <c r="C78" s="454" t="s">
        <v>47</v>
      </c>
      <c r="D78" s="457"/>
      <c r="E78" s="457"/>
      <c r="F78" s="456">
        <v>3579791.8019358711</v>
      </c>
      <c r="G78" s="1043">
        <v>4044408.9108456257</v>
      </c>
      <c r="H78" s="1120"/>
      <c r="I78" s="1120"/>
      <c r="J78" s="1120"/>
      <c r="K78" s="469"/>
      <c r="L78" s="454" t="s">
        <v>47</v>
      </c>
      <c r="M78" s="457"/>
      <c r="N78" s="457"/>
      <c r="O78" s="456">
        <v>3580000</v>
      </c>
      <c r="P78" s="1043">
        <v>4044000</v>
      </c>
      <c r="Q78" s="1120"/>
      <c r="R78" s="1120"/>
      <c r="S78" s="1120"/>
      <c r="T78" s="469"/>
      <c r="U78" s="454" t="s">
        <v>47</v>
      </c>
      <c r="V78" s="457"/>
      <c r="W78" s="457"/>
      <c r="X78" s="456">
        <v>3.58</v>
      </c>
      <c r="Y78" s="1191">
        <v>4.0439999999999996</v>
      </c>
      <c r="Z78" s="1120"/>
      <c r="AE78" s="420"/>
      <c r="AF78" s="423"/>
    </row>
    <row r="79" spans="2:32" s="412" customFormat="1" ht="6.75" customHeight="1" thickBot="1" x14ac:dyDescent="0.3">
      <c r="B79" s="469"/>
      <c r="C79" s="467"/>
      <c r="D79" s="470"/>
      <c r="E79" s="470"/>
      <c r="F79" s="1046"/>
      <c r="G79" s="1047"/>
      <c r="H79" s="1120"/>
      <c r="I79" s="1120"/>
      <c r="J79" s="1120"/>
      <c r="K79" s="469"/>
      <c r="L79" s="467"/>
      <c r="M79" s="470"/>
      <c r="N79" s="470"/>
      <c r="O79" s="1046"/>
      <c r="P79" s="1047"/>
      <c r="Q79" s="1120"/>
      <c r="R79" s="1120"/>
      <c r="S79" s="1120"/>
      <c r="T79" s="469"/>
      <c r="U79" s="467"/>
      <c r="V79" s="470"/>
      <c r="W79" s="470"/>
      <c r="X79" s="1046"/>
      <c r="Y79" s="1045"/>
      <c r="Z79" s="1120"/>
      <c r="AE79" s="414"/>
      <c r="AF79" s="423"/>
    </row>
    <row r="80" spans="2:32" ht="18.75" thickTop="1" thickBot="1" x14ac:dyDescent="0.25">
      <c r="B80" s="1032" t="s">
        <v>1138</v>
      </c>
      <c r="C80" s="1033"/>
      <c r="D80" s="1033"/>
      <c r="E80" s="1033"/>
      <c r="F80" s="1048">
        <v>3214704.3894087281</v>
      </c>
      <c r="G80" s="1049">
        <v>4516016.5217166375</v>
      </c>
      <c r="K80" s="1032" t="s">
        <v>1138</v>
      </c>
      <c r="L80" s="1033"/>
      <c r="M80" s="1033"/>
      <c r="N80" s="1033"/>
      <c r="O80" s="1048">
        <v>3215000</v>
      </c>
      <c r="P80" s="1049">
        <v>4516000</v>
      </c>
      <c r="T80" s="1032" t="s">
        <v>1138</v>
      </c>
      <c r="U80" s="1033"/>
      <c r="V80" s="1033"/>
      <c r="W80" s="1033"/>
      <c r="X80" s="1048">
        <v>3.2149999999999999</v>
      </c>
      <c r="Y80" s="1180">
        <v>4.516</v>
      </c>
      <c r="AE80" s="422"/>
      <c r="AF80" s="5"/>
    </row>
    <row r="81" spans="2:32" s="400" customFormat="1" ht="16.5" thickTop="1" x14ac:dyDescent="0.2">
      <c r="B81" s="468"/>
      <c r="C81" s="451" t="s">
        <v>1143</v>
      </c>
      <c r="D81" s="451"/>
      <c r="E81" s="451"/>
      <c r="F81" s="453">
        <v>2170588.037865777</v>
      </c>
      <c r="G81" s="1042">
        <v>3349250.4500484993</v>
      </c>
      <c r="H81" s="1121"/>
      <c r="I81" s="1121"/>
      <c r="J81" s="1121"/>
      <c r="K81" s="468"/>
      <c r="L81" s="451" t="s">
        <v>1143</v>
      </c>
      <c r="M81" s="451"/>
      <c r="N81" s="451"/>
      <c r="O81" s="453">
        <v>2171000</v>
      </c>
      <c r="P81" s="1042">
        <v>3349000</v>
      </c>
      <c r="Q81" s="1121"/>
      <c r="R81" s="1121"/>
      <c r="S81" s="1121"/>
      <c r="T81" s="468"/>
      <c r="U81" s="451" t="s">
        <v>1143</v>
      </c>
      <c r="V81" s="451"/>
      <c r="W81" s="451"/>
      <c r="X81" s="453">
        <v>2.1709999999999998</v>
      </c>
      <c r="Y81" s="1190">
        <v>3.3490000000000002</v>
      </c>
      <c r="Z81" s="1121"/>
    </row>
    <row r="82" spans="2:32" s="400" customFormat="1" ht="15.75" x14ac:dyDescent="0.2">
      <c r="B82" s="468"/>
      <c r="C82" s="457" t="s">
        <v>1144</v>
      </c>
      <c r="D82" s="457"/>
      <c r="E82" s="457"/>
      <c r="F82" s="456">
        <v>451499.23418948852</v>
      </c>
      <c r="G82" s="1043">
        <v>435007.8194521399</v>
      </c>
      <c r="H82" s="1121"/>
      <c r="I82" s="1121"/>
      <c r="J82" s="1121"/>
      <c r="K82" s="468"/>
      <c r="L82" s="457" t="s">
        <v>1144</v>
      </c>
      <c r="M82" s="457"/>
      <c r="N82" s="457"/>
      <c r="O82" s="456">
        <v>451000</v>
      </c>
      <c r="P82" s="1043">
        <v>435000</v>
      </c>
      <c r="Q82" s="1121"/>
      <c r="R82" s="1121"/>
      <c r="S82" s="1121"/>
      <c r="T82" s="468"/>
      <c r="U82" s="457" t="s">
        <v>1144</v>
      </c>
      <c r="V82" s="457"/>
      <c r="W82" s="457"/>
      <c r="X82" s="456">
        <v>0.45100000000000001</v>
      </c>
      <c r="Y82" s="1191">
        <v>0.435</v>
      </c>
      <c r="Z82" s="1121"/>
    </row>
    <row r="83" spans="2:32" s="400" customFormat="1" ht="15.75" x14ac:dyDescent="0.2">
      <c r="B83" s="468"/>
      <c r="C83" s="457" t="s">
        <v>833</v>
      </c>
      <c r="D83" s="457"/>
      <c r="E83" s="457"/>
      <c r="F83" s="456">
        <v>592617.11735346261</v>
      </c>
      <c r="G83" s="1043">
        <v>731758.25221599825</v>
      </c>
      <c r="H83" s="1121"/>
      <c r="I83" s="1121"/>
      <c r="J83" s="1121"/>
      <c r="K83" s="468"/>
      <c r="L83" s="457" t="s">
        <v>833</v>
      </c>
      <c r="M83" s="457"/>
      <c r="N83" s="457"/>
      <c r="O83" s="456">
        <v>593000</v>
      </c>
      <c r="P83" s="1043">
        <v>732000</v>
      </c>
      <c r="Q83" s="1121"/>
      <c r="R83" s="1121"/>
      <c r="S83" s="1121"/>
      <c r="T83" s="468"/>
      <c r="U83" s="457" t="s">
        <v>833</v>
      </c>
      <c r="V83" s="457"/>
      <c r="W83" s="457"/>
      <c r="X83" s="456">
        <v>0.59299999999999997</v>
      </c>
      <c r="Y83" s="1191">
        <v>0.73199999999999998</v>
      </c>
      <c r="Z83" s="1121"/>
    </row>
    <row r="84" spans="2:32" s="412" customFormat="1" ht="6.75" customHeight="1" thickBot="1" x14ac:dyDescent="0.3">
      <c r="B84" s="469"/>
      <c r="C84" s="467"/>
      <c r="D84" s="470"/>
      <c r="E84" s="470"/>
      <c r="F84" s="1046"/>
      <c r="G84" s="1047"/>
      <c r="H84" s="1120"/>
      <c r="I84" s="1120"/>
      <c r="J84" s="1120"/>
      <c r="K84" s="469"/>
      <c r="L84" s="467"/>
      <c r="M84" s="470"/>
      <c r="N84" s="470"/>
      <c r="O84" s="1046"/>
      <c r="P84" s="1047"/>
      <c r="Q84" s="1120"/>
      <c r="R84" s="1120"/>
      <c r="S84" s="1120"/>
      <c r="T84" s="469"/>
      <c r="U84" s="467"/>
      <c r="V84" s="470"/>
      <c r="W84" s="470"/>
      <c r="X84" s="1046"/>
      <c r="Y84" s="1045"/>
      <c r="Z84" s="1120"/>
      <c r="AE84" s="414"/>
      <c r="AF84" s="423"/>
    </row>
    <row r="85" spans="2:32" s="400" customFormat="1" ht="18.75" thickTop="1" thickBot="1" x14ac:dyDescent="0.25">
      <c r="B85" s="1034" t="s">
        <v>836</v>
      </c>
      <c r="C85" s="1035"/>
      <c r="D85" s="1035"/>
      <c r="E85" s="1035"/>
      <c r="F85" s="1050">
        <v>217928.54525733899</v>
      </c>
      <c r="G85" s="1051">
        <v>216716.8016784559</v>
      </c>
      <c r="H85" s="1132"/>
      <c r="I85" s="1132"/>
      <c r="J85" s="1132"/>
      <c r="K85" s="1034" t="s">
        <v>836</v>
      </c>
      <c r="L85" s="1035"/>
      <c r="M85" s="1035"/>
      <c r="N85" s="1035"/>
      <c r="O85" s="1050">
        <v>218000</v>
      </c>
      <c r="P85" s="1051">
        <v>217000</v>
      </c>
      <c r="Q85" s="1132"/>
      <c r="R85" s="1132"/>
      <c r="S85" s="1132"/>
      <c r="T85" s="1034" t="s">
        <v>836</v>
      </c>
      <c r="U85" s="1035"/>
      <c r="V85" s="1035"/>
      <c r="W85" s="1035"/>
      <c r="X85" s="1050">
        <v>0.218</v>
      </c>
      <c r="Y85" s="1192">
        <v>0.217</v>
      </c>
      <c r="Z85" s="1132"/>
    </row>
    <row r="86" spans="2:32" s="412" customFormat="1" ht="6.75" customHeight="1" thickTop="1" thickBot="1" x14ac:dyDescent="0.3">
      <c r="B86" s="469"/>
      <c r="C86" s="467"/>
      <c r="D86" s="470"/>
      <c r="E86" s="470"/>
      <c r="F86" s="1046"/>
      <c r="G86" s="1047"/>
      <c r="H86" s="1120"/>
      <c r="I86" s="1120"/>
      <c r="J86" s="1120"/>
      <c r="K86" s="469"/>
      <c r="L86" s="467"/>
      <c r="M86" s="470"/>
      <c r="N86" s="470"/>
      <c r="O86" s="1046"/>
      <c r="P86" s="1047"/>
      <c r="Q86" s="1120"/>
      <c r="R86" s="1120"/>
      <c r="S86" s="1120"/>
      <c r="T86" s="469"/>
      <c r="U86" s="467"/>
      <c r="V86" s="470"/>
      <c r="W86" s="470"/>
      <c r="X86" s="1046"/>
      <c r="Y86" s="1045"/>
      <c r="Z86" s="1120"/>
      <c r="AE86" s="414"/>
      <c r="AF86" s="423"/>
    </row>
    <row r="87" spans="2:32" s="400" customFormat="1" ht="18.75" thickTop="1" thickBot="1" x14ac:dyDescent="0.25">
      <c r="B87" s="1038" t="s">
        <v>888</v>
      </c>
      <c r="C87" s="1039"/>
      <c r="D87" s="1039"/>
      <c r="E87" s="1039"/>
      <c r="F87" s="1052">
        <v>144507.11507820163</v>
      </c>
      <c r="G87" s="1053">
        <v>157511.06932401942</v>
      </c>
      <c r="H87" s="1121"/>
      <c r="I87" s="1121"/>
      <c r="J87" s="1121"/>
      <c r="K87" s="1038" t="s">
        <v>888</v>
      </c>
      <c r="L87" s="1039"/>
      <c r="M87" s="1039"/>
      <c r="N87" s="1039"/>
      <c r="O87" s="1052">
        <v>145000</v>
      </c>
      <c r="P87" s="1053">
        <v>158000</v>
      </c>
      <c r="Q87" s="1121"/>
      <c r="R87" s="1121"/>
      <c r="S87" s="1121"/>
      <c r="T87" s="1038" t="s">
        <v>888</v>
      </c>
      <c r="U87" s="1039"/>
      <c r="V87" s="1039"/>
      <c r="W87" s="1039"/>
      <c r="X87" s="1052">
        <v>0.14499999999999999</v>
      </c>
      <c r="Y87" s="1193">
        <v>0.158</v>
      </c>
      <c r="Z87" s="1121"/>
    </row>
    <row r="88" spans="2:32" s="412" customFormat="1" ht="6.75" customHeight="1" thickTop="1" thickBot="1" x14ac:dyDescent="0.3">
      <c r="B88" s="469"/>
      <c r="C88" s="467"/>
      <c r="D88" s="470"/>
      <c r="E88" s="470"/>
      <c r="F88" s="1046"/>
      <c r="G88" s="1047"/>
      <c r="H88" s="1120"/>
      <c r="I88" s="1120"/>
      <c r="J88" s="1120"/>
      <c r="K88" s="469"/>
      <c r="L88" s="467"/>
      <c r="M88" s="470"/>
      <c r="N88" s="470"/>
      <c r="O88" s="1046"/>
      <c r="P88" s="1047"/>
      <c r="Q88" s="1120"/>
      <c r="R88" s="1120"/>
      <c r="S88" s="1120"/>
      <c r="T88" s="469"/>
      <c r="U88" s="467"/>
      <c r="V88" s="470"/>
      <c r="W88" s="470"/>
      <c r="X88" s="1046"/>
      <c r="Y88" s="1045"/>
      <c r="Z88" s="1120"/>
      <c r="AE88" s="414"/>
      <c r="AF88" s="423"/>
    </row>
    <row r="89" spans="2:32" s="400" customFormat="1" ht="18.75" thickTop="1" thickBot="1" x14ac:dyDescent="0.25">
      <c r="B89" s="1036" t="s">
        <v>1267</v>
      </c>
      <c r="C89" s="1037"/>
      <c r="D89" s="1037"/>
      <c r="E89" s="1037"/>
      <c r="F89" s="1054">
        <v>122780.83821320487</v>
      </c>
      <c r="G89" s="1055">
        <v>53277.493728684618</v>
      </c>
      <c r="H89" s="1121"/>
      <c r="I89" s="1121"/>
      <c r="J89" s="1121"/>
      <c r="K89" s="1036" t="s">
        <v>1267</v>
      </c>
      <c r="L89" s="1037"/>
      <c r="M89" s="1037"/>
      <c r="N89" s="1037"/>
      <c r="O89" s="1054">
        <v>123000</v>
      </c>
      <c r="P89" s="1055">
        <v>53000</v>
      </c>
      <c r="Q89" s="1121"/>
      <c r="R89" s="1121"/>
      <c r="S89" s="1121"/>
      <c r="T89" s="1036" t="s">
        <v>1267</v>
      </c>
      <c r="U89" s="1037"/>
      <c r="V89" s="1037"/>
      <c r="W89" s="1037"/>
      <c r="X89" s="1054">
        <v>0.123</v>
      </c>
      <c r="Y89" s="1194">
        <v>5.2999999999999999E-2</v>
      </c>
      <c r="Z89" s="1121"/>
    </row>
    <row r="90" spans="2:32" s="400" customFormat="1" ht="6.75" customHeight="1" thickTop="1" thickBot="1" x14ac:dyDescent="0.25">
      <c r="B90" s="468"/>
      <c r="C90" s="470"/>
      <c r="D90" s="470"/>
      <c r="E90" s="470"/>
      <c r="F90" s="1046"/>
      <c r="G90" s="1047"/>
      <c r="H90" s="1121"/>
      <c r="I90" s="1121"/>
      <c r="J90" s="1121"/>
      <c r="K90" s="468"/>
      <c r="L90" s="470"/>
      <c r="M90" s="470"/>
      <c r="N90" s="470"/>
      <c r="O90" s="1046"/>
      <c r="P90" s="1047"/>
      <c r="Q90" s="1121"/>
      <c r="R90" s="1121"/>
      <c r="S90" s="1121"/>
      <c r="T90" s="468"/>
      <c r="U90" s="470"/>
      <c r="V90" s="470"/>
      <c r="W90" s="470"/>
      <c r="X90" s="1046"/>
      <c r="Y90" s="1045"/>
      <c r="Z90" s="1121"/>
    </row>
    <row r="91" spans="2:32" s="400" customFormat="1" ht="18" thickTop="1" x14ac:dyDescent="0.2">
      <c r="B91" s="1151" t="s">
        <v>21</v>
      </c>
      <c r="C91" s="1152"/>
      <c r="D91" s="1152"/>
      <c r="E91" s="1152"/>
      <c r="F91" s="1153">
        <v>22372022.439044185</v>
      </c>
      <c r="G91" s="1154">
        <v>24477733.119451731</v>
      </c>
      <c r="H91" s="1121"/>
      <c r="I91" s="1121"/>
      <c r="J91" s="1121"/>
      <c r="K91" s="1151" t="s">
        <v>21</v>
      </c>
      <c r="L91" s="1152"/>
      <c r="M91" s="1152"/>
      <c r="N91" s="1152"/>
      <c r="O91" s="1153">
        <v>22374000</v>
      </c>
      <c r="P91" s="1154">
        <v>24478000</v>
      </c>
      <c r="Q91" s="1121"/>
      <c r="R91" s="1121"/>
      <c r="S91" s="1121"/>
      <c r="T91" s="1151" t="s">
        <v>21</v>
      </c>
      <c r="U91" s="1152"/>
      <c r="V91" s="1152"/>
      <c r="W91" s="1152"/>
      <c r="X91" s="1153">
        <v>22.374000000000002</v>
      </c>
      <c r="Y91" s="1195">
        <v>24.478000000000002</v>
      </c>
      <c r="Z91" s="1121"/>
    </row>
    <row r="92" spans="2:32" s="412" customFormat="1" ht="6.75" customHeight="1" x14ac:dyDescent="0.25">
      <c r="B92" s="1155"/>
      <c r="C92" s="1148"/>
      <c r="D92" s="1149"/>
      <c r="E92" s="1149"/>
      <c r="F92" s="1150"/>
      <c r="G92" s="1150"/>
      <c r="H92" s="1120"/>
      <c r="I92" s="1120"/>
      <c r="J92" s="1120"/>
      <c r="K92" s="1155"/>
      <c r="L92" s="1148"/>
      <c r="M92" s="1149"/>
      <c r="N92" s="1149"/>
      <c r="O92" s="1150"/>
      <c r="P92" s="1150"/>
      <c r="Q92" s="1120"/>
      <c r="R92" s="1120"/>
      <c r="S92" s="1120"/>
      <c r="T92" s="1155"/>
      <c r="U92" s="1148"/>
      <c r="V92" s="1149"/>
      <c r="W92" s="1149"/>
      <c r="X92" s="1150"/>
      <c r="Y92" s="1150"/>
      <c r="Z92" s="1120"/>
      <c r="AE92" s="414"/>
      <c r="AF92" s="423"/>
    </row>
    <row r="93" spans="2:32" s="400" customFormat="1" ht="17.25" x14ac:dyDescent="0.2">
      <c r="B93" s="1143"/>
      <c r="C93" s="1143"/>
      <c r="D93" s="1143"/>
      <c r="E93" s="1143"/>
      <c r="F93" s="1156"/>
      <c r="G93" s="1156"/>
      <c r="H93" s="1121"/>
      <c r="I93" s="1121"/>
      <c r="J93" s="1121"/>
      <c r="K93" s="1143"/>
      <c r="L93" s="1143"/>
      <c r="M93" s="1143"/>
      <c r="N93" s="1143"/>
      <c r="O93" s="1156"/>
      <c r="P93" s="1156"/>
      <c r="Q93" s="1121"/>
      <c r="R93" s="1121"/>
      <c r="S93" s="1121"/>
      <c r="T93" s="1143"/>
      <c r="U93" s="1143"/>
      <c r="V93" s="1143"/>
      <c r="W93" s="1143"/>
      <c r="X93" s="1156"/>
      <c r="Y93" s="1156"/>
      <c r="Z93" s="1121"/>
    </row>
    <row r="94" spans="2:32" s="400" customFormat="1" ht="6.75" customHeight="1" x14ac:dyDescent="0.2">
      <c r="B94" s="1149"/>
      <c r="C94" s="1149"/>
      <c r="D94" s="1149"/>
      <c r="E94" s="1149"/>
      <c r="F94" s="1150"/>
      <c r="G94" s="1150"/>
      <c r="H94" s="1121"/>
      <c r="I94" s="1121"/>
      <c r="J94" s="1121"/>
      <c r="K94" s="1149"/>
      <c r="L94" s="1149"/>
      <c r="M94" s="1149"/>
      <c r="N94" s="1149"/>
      <c r="O94" s="1150"/>
      <c r="P94" s="1150"/>
      <c r="Q94" s="1121"/>
      <c r="R94" s="1121"/>
      <c r="S94" s="1121"/>
      <c r="T94" s="1149"/>
      <c r="U94" s="1149"/>
      <c r="V94" s="1149"/>
      <c r="W94" s="1149"/>
      <c r="X94" s="1150"/>
      <c r="Y94" s="1150"/>
      <c r="Z94" s="1121"/>
    </row>
    <row r="95" spans="2:32" s="400" customFormat="1" ht="17.25" x14ac:dyDescent="0.2">
      <c r="B95" s="1145"/>
      <c r="C95" s="1146"/>
      <c r="D95" s="1146"/>
      <c r="E95" s="1146"/>
      <c r="F95" s="1157"/>
      <c r="G95" s="1157"/>
      <c r="H95" s="1121"/>
      <c r="I95" s="1121"/>
      <c r="J95" s="1121"/>
      <c r="K95" s="1145"/>
      <c r="L95" s="1146"/>
      <c r="M95" s="1146"/>
      <c r="N95" s="1146"/>
      <c r="O95" s="1157"/>
      <c r="P95" s="1157"/>
      <c r="Q95" s="1121"/>
      <c r="R95" s="1121"/>
      <c r="S95" s="1121"/>
      <c r="T95" s="1145"/>
      <c r="U95" s="1146"/>
      <c r="V95" s="1146"/>
      <c r="W95" s="1146"/>
      <c r="X95" s="1157"/>
      <c r="Y95" s="1157"/>
      <c r="Z95" s="1121"/>
    </row>
    <row r="96" spans="2:32" ht="17.25" customHeight="1" thickBot="1" x14ac:dyDescent="0.25">
      <c r="AE96" s="5"/>
      <c r="AF96" s="5"/>
    </row>
    <row r="97" spans="2:32" ht="34.5" customHeight="1" thickBot="1" x14ac:dyDescent="0.35">
      <c r="B97" s="2529" t="s">
        <v>1210</v>
      </c>
      <c r="C97" s="2530"/>
      <c r="D97" s="2530"/>
      <c r="E97" s="2530"/>
      <c r="F97" s="471">
        <v>2003</v>
      </c>
      <c r="G97" s="1019">
        <v>2008</v>
      </c>
      <c r="K97" s="2529" t="s">
        <v>1210</v>
      </c>
      <c r="L97" s="2530"/>
      <c r="M97" s="2530"/>
      <c r="N97" s="2530"/>
      <c r="O97" s="471">
        <v>2003</v>
      </c>
      <c r="P97" s="1019">
        <v>2008</v>
      </c>
      <c r="T97" s="2529" t="s">
        <v>1210</v>
      </c>
      <c r="U97" s="2530"/>
      <c r="V97" s="2530"/>
      <c r="W97" s="2530"/>
      <c r="X97" s="471">
        <v>2003</v>
      </c>
      <c r="Y97" s="1019">
        <v>2008</v>
      </c>
      <c r="AE97" s="413"/>
      <c r="AF97" s="5"/>
    </row>
    <row r="98" spans="2:32" ht="6" customHeight="1" thickBot="1" x14ac:dyDescent="0.25">
      <c r="B98" s="463"/>
      <c r="C98" s="464"/>
      <c r="D98" s="465"/>
      <c r="E98" s="465"/>
      <c r="F98" s="466"/>
      <c r="G98" s="1031"/>
      <c r="K98" s="463"/>
      <c r="L98" s="464"/>
      <c r="M98" s="465"/>
      <c r="N98" s="465"/>
      <c r="O98" s="466"/>
      <c r="P98" s="1031"/>
      <c r="T98" s="463"/>
      <c r="U98" s="464"/>
      <c r="V98" s="465"/>
      <c r="W98" s="465"/>
      <c r="X98" s="466"/>
      <c r="Y98" s="1031"/>
      <c r="AE98" s="417"/>
      <c r="AF98" s="5"/>
    </row>
    <row r="99" spans="2:32" ht="18.75" thickTop="1" thickBot="1" x14ac:dyDescent="0.25">
      <c r="B99" s="472" t="s">
        <v>825</v>
      </c>
      <c r="C99" s="473"/>
      <c r="D99" s="473"/>
      <c r="E99" s="473"/>
      <c r="F99" s="1056">
        <v>6.4018693824859119</v>
      </c>
      <c r="G99" s="1057">
        <v>6.025625066883709</v>
      </c>
      <c r="K99" s="472" t="s">
        <v>825</v>
      </c>
      <c r="L99" s="473"/>
      <c r="M99" s="473"/>
      <c r="N99" s="473"/>
      <c r="O99" s="1056">
        <v>6.4020233331996046</v>
      </c>
      <c r="P99" s="1057">
        <v>6.0257652679432896</v>
      </c>
      <c r="T99" s="472" t="s">
        <v>825</v>
      </c>
      <c r="U99" s="473"/>
      <c r="V99" s="473"/>
      <c r="W99" s="473"/>
      <c r="X99" s="1056">
        <v>6.4020233331996047E-6</v>
      </c>
      <c r="Y99" s="1057">
        <v>6.0257652679432892E-6</v>
      </c>
      <c r="AE99" s="344"/>
      <c r="AF99" s="5"/>
    </row>
    <row r="100" spans="2:32" s="412" customFormat="1" ht="16.5" thickTop="1" x14ac:dyDescent="0.25">
      <c r="B100" s="462"/>
      <c r="C100" s="450" t="s">
        <v>839</v>
      </c>
      <c r="D100" s="451"/>
      <c r="E100" s="452"/>
      <c r="F100" s="1058">
        <v>5.1807098719105911</v>
      </c>
      <c r="G100" s="1059">
        <v>4.7063086039915838</v>
      </c>
      <c r="H100" s="1120"/>
      <c r="I100" s="1120"/>
      <c r="J100" s="1120"/>
      <c r="K100" s="462"/>
      <c r="L100" s="450" t="s">
        <v>839</v>
      </c>
      <c r="M100" s="451"/>
      <c r="N100" s="452"/>
      <c r="O100" s="1058">
        <v>5.1809489798858941</v>
      </c>
      <c r="P100" s="1059">
        <v>4.7064018316118634</v>
      </c>
      <c r="Q100" s="1120"/>
      <c r="R100" s="1120"/>
      <c r="S100" s="1120"/>
      <c r="T100" s="462"/>
      <c r="U100" s="450" t="s">
        <v>839</v>
      </c>
      <c r="V100" s="451"/>
      <c r="W100" s="452"/>
      <c r="X100" s="1058">
        <v>5.1809489798858937E-6</v>
      </c>
      <c r="Y100" s="1059">
        <v>4.7064018316118635E-6</v>
      </c>
      <c r="Z100" s="1120"/>
      <c r="AE100" s="344"/>
      <c r="AF100" s="423"/>
    </row>
    <row r="101" spans="2:32" s="412" customFormat="1" ht="15.75" x14ac:dyDescent="0.25">
      <c r="B101" s="462"/>
      <c r="C101" s="454" t="s">
        <v>14</v>
      </c>
      <c r="D101" s="455"/>
      <c r="E101" s="455"/>
      <c r="F101" s="1060">
        <v>0.1503716468270016</v>
      </c>
      <c r="G101" s="1061">
        <v>0.16392607136220638</v>
      </c>
      <c r="H101" s="1120"/>
      <c r="I101" s="1120"/>
      <c r="J101" s="1120"/>
      <c r="K101" s="462"/>
      <c r="L101" s="454" t="s">
        <v>14</v>
      </c>
      <c r="M101" s="455"/>
      <c r="N101" s="455"/>
      <c r="O101" s="1060">
        <v>0.1503034604263985</v>
      </c>
      <c r="P101" s="1061">
        <v>0.16399167410555546</v>
      </c>
      <c r="Q101" s="1120"/>
      <c r="R101" s="1120"/>
      <c r="S101" s="1120"/>
      <c r="T101" s="462"/>
      <c r="U101" s="454" t="s">
        <v>14</v>
      </c>
      <c r="V101" s="455"/>
      <c r="W101" s="455"/>
      <c r="X101" s="1060">
        <v>1.503034604263985E-7</v>
      </c>
      <c r="Y101" s="1061">
        <v>1.6399167410555543E-7</v>
      </c>
      <c r="Z101" s="1120"/>
      <c r="AE101" s="344"/>
      <c r="AF101" s="423"/>
    </row>
    <row r="102" spans="2:32" s="412" customFormat="1" ht="15.75" x14ac:dyDescent="0.25">
      <c r="B102" s="462"/>
      <c r="C102" s="454" t="s">
        <v>8</v>
      </c>
      <c r="D102" s="455"/>
      <c r="E102" s="455"/>
      <c r="F102" s="1060">
        <v>1.0707878637483186</v>
      </c>
      <c r="G102" s="1061">
        <v>1.1553903915299191</v>
      </c>
      <c r="H102" s="1120"/>
      <c r="I102" s="1120"/>
      <c r="J102" s="1120"/>
      <c r="K102" s="462"/>
      <c r="L102" s="454" t="s">
        <v>8</v>
      </c>
      <c r="M102" s="455"/>
      <c r="N102" s="455"/>
      <c r="O102" s="1060">
        <v>1.0707708928873125</v>
      </c>
      <c r="P102" s="1061">
        <v>1.1553717622258712</v>
      </c>
      <c r="Q102" s="1120"/>
      <c r="R102" s="1120"/>
      <c r="S102" s="1120"/>
      <c r="T102" s="462"/>
      <c r="U102" s="454" t="s">
        <v>8</v>
      </c>
      <c r="V102" s="455"/>
      <c r="W102" s="455"/>
      <c r="X102" s="1060">
        <v>1.0707708928873126E-6</v>
      </c>
      <c r="Y102" s="1061">
        <v>1.1553717622258713E-6</v>
      </c>
      <c r="Z102" s="1120"/>
      <c r="AE102" s="344"/>
      <c r="AF102" s="423"/>
    </row>
    <row r="103" spans="2:32" s="412" customFormat="1" ht="6.75" customHeight="1" thickBot="1" x14ac:dyDescent="0.3">
      <c r="B103" s="462"/>
      <c r="C103" s="467"/>
      <c r="D103" s="458"/>
      <c r="E103" s="458"/>
      <c r="F103" s="1062"/>
      <c r="G103" s="1063"/>
      <c r="H103" s="1120"/>
      <c r="I103" s="1120"/>
      <c r="J103" s="1120"/>
      <c r="K103" s="462"/>
      <c r="L103" s="467"/>
      <c r="M103" s="458"/>
      <c r="N103" s="458"/>
      <c r="O103" s="1062"/>
      <c r="P103" s="1063"/>
      <c r="Q103" s="1120"/>
      <c r="R103" s="1120"/>
      <c r="S103" s="1120"/>
      <c r="T103" s="462"/>
      <c r="U103" s="467"/>
      <c r="V103" s="458"/>
      <c r="W103" s="458"/>
      <c r="X103" s="1062"/>
      <c r="Y103" s="1063"/>
      <c r="Z103" s="1120"/>
      <c r="AE103" s="344"/>
      <c r="AF103" s="423"/>
    </row>
    <row r="104" spans="2:32" ht="18.75" thickTop="1" thickBot="1" x14ac:dyDescent="0.25">
      <c r="B104" s="461" t="s">
        <v>799</v>
      </c>
      <c r="C104" s="459"/>
      <c r="D104" s="459"/>
      <c r="E104" s="459"/>
      <c r="F104" s="1064">
        <v>4.148812860226327</v>
      </c>
      <c r="G104" s="1065">
        <v>4.3415205720543515</v>
      </c>
      <c r="K104" s="461" t="s">
        <v>799</v>
      </c>
      <c r="L104" s="459"/>
      <c r="M104" s="459"/>
      <c r="N104" s="459"/>
      <c r="O104" s="1064">
        <v>4.1491665786129479</v>
      </c>
      <c r="P104" s="1065">
        <v>4.3412682659658364</v>
      </c>
      <c r="T104" s="461" t="s">
        <v>799</v>
      </c>
      <c r="U104" s="459"/>
      <c r="V104" s="459"/>
      <c r="W104" s="459"/>
      <c r="X104" s="1064">
        <v>4.1491665786129475E-6</v>
      </c>
      <c r="Y104" s="1065">
        <v>4.3412682659658368E-6</v>
      </c>
      <c r="AE104" s="418"/>
      <c r="AF104" s="5"/>
    </row>
    <row r="105" spans="2:32" s="412" customFormat="1" ht="16.5" thickTop="1" x14ac:dyDescent="0.25">
      <c r="B105" s="468"/>
      <c r="C105" s="450" t="s">
        <v>46</v>
      </c>
      <c r="D105" s="451"/>
      <c r="E105" s="451"/>
      <c r="F105" s="1058">
        <v>2.1260493435458239</v>
      </c>
      <c r="G105" s="1059">
        <v>2.1950824230025709</v>
      </c>
      <c r="H105" s="1120"/>
      <c r="I105" s="1120"/>
      <c r="J105" s="1120"/>
      <c r="K105" s="468"/>
      <c r="L105" s="450" t="s">
        <v>46</v>
      </c>
      <c r="M105" s="451"/>
      <c r="N105" s="451"/>
      <c r="O105" s="1058">
        <v>2.1262854194907423</v>
      </c>
      <c r="P105" s="1059">
        <v>2.1950471330115771</v>
      </c>
      <c r="Q105" s="1120"/>
      <c r="R105" s="1120"/>
      <c r="S105" s="1120"/>
      <c r="T105" s="468"/>
      <c r="U105" s="450" t="s">
        <v>46</v>
      </c>
      <c r="V105" s="451"/>
      <c r="W105" s="451"/>
      <c r="X105" s="1058">
        <v>2.1262854194907425E-6</v>
      </c>
      <c r="Y105" s="1059">
        <v>2.1950471330115772E-6</v>
      </c>
      <c r="Z105" s="1120"/>
      <c r="AE105" s="413"/>
      <c r="AF105" s="423"/>
    </row>
    <row r="106" spans="2:32" s="412" customFormat="1" ht="15.75" x14ac:dyDescent="0.25">
      <c r="B106" s="469"/>
      <c r="C106" s="454" t="s">
        <v>47</v>
      </c>
      <c r="D106" s="457"/>
      <c r="E106" s="457"/>
      <c r="F106" s="1060">
        <v>2.0227635166805036</v>
      </c>
      <c r="G106" s="1061">
        <v>2.146438149051781</v>
      </c>
      <c r="H106" s="1120"/>
      <c r="I106" s="1120"/>
      <c r="J106" s="1120"/>
      <c r="K106" s="469"/>
      <c r="L106" s="454" t="s">
        <v>47</v>
      </c>
      <c r="M106" s="457"/>
      <c r="N106" s="457"/>
      <c r="O106" s="1060">
        <v>2.0228811591222051</v>
      </c>
      <c r="P106" s="1061">
        <v>2.1462211329542598</v>
      </c>
      <c r="Q106" s="1120"/>
      <c r="R106" s="1120"/>
      <c r="S106" s="1120"/>
      <c r="T106" s="469"/>
      <c r="U106" s="454" t="s">
        <v>47</v>
      </c>
      <c r="V106" s="457"/>
      <c r="W106" s="457"/>
      <c r="X106" s="1060">
        <v>2.0228811591222053E-6</v>
      </c>
      <c r="Y106" s="1061">
        <v>2.1462211329542596E-6</v>
      </c>
      <c r="Z106" s="1120"/>
      <c r="AE106" s="420"/>
      <c r="AF106" s="423"/>
    </row>
    <row r="107" spans="2:32" s="412" customFormat="1" ht="6.75" customHeight="1" thickBot="1" x14ac:dyDescent="0.3">
      <c r="B107" s="469"/>
      <c r="C107" s="467"/>
      <c r="D107" s="470"/>
      <c r="E107" s="470"/>
      <c r="F107" s="1062"/>
      <c r="G107" s="1063"/>
      <c r="H107" s="1120"/>
      <c r="I107" s="1120"/>
      <c r="J107" s="1120"/>
      <c r="K107" s="469"/>
      <c r="L107" s="467"/>
      <c r="M107" s="470"/>
      <c r="N107" s="470"/>
      <c r="O107" s="1062"/>
      <c r="P107" s="1063"/>
      <c r="Q107" s="1120"/>
      <c r="R107" s="1120"/>
      <c r="S107" s="1120"/>
      <c r="T107" s="469"/>
      <c r="U107" s="467"/>
      <c r="V107" s="470"/>
      <c r="W107" s="470"/>
      <c r="X107" s="1062"/>
      <c r="Y107" s="1063"/>
      <c r="Z107" s="1120"/>
      <c r="AE107" s="414"/>
      <c r="AF107" s="423"/>
    </row>
    <row r="108" spans="2:32" ht="18.75" thickTop="1" thickBot="1" x14ac:dyDescent="0.25">
      <c r="B108" s="1032" t="s">
        <v>1138</v>
      </c>
      <c r="C108" s="1033"/>
      <c r="D108" s="1033"/>
      <c r="E108" s="1033"/>
      <c r="F108" s="1066">
        <v>1.8164706540453543</v>
      </c>
      <c r="G108" s="1067">
        <v>2.3967285103063394</v>
      </c>
      <c r="K108" s="1032" t="s">
        <v>1138</v>
      </c>
      <c r="L108" s="1033"/>
      <c r="M108" s="1033"/>
      <c r="N108" s="1033"/>
      <c r="O108" s="1066">
        <v>1.8166376889882374</v>
      </c>
      <c r="P108" s="1067">
        <v>2.3967197419439752</v>
      </c>
      <c r="T108" s="1032" t="s">
        <v>1138</v>
      </c>
      <c r="U108" s="1033"/>
      <c r="V108" s="1033"/>
      <c r="W108" s="1033"/>
      <c r="X108" s="1066">
        <v>1.8166376889882372E-6</v>
      </c>
      <c r="Y108" s="1067">
        <v>2.3967197419439752E-6</v>
      </c>
      <c r="AE108" s="422"/>
      <c r="AF108" s="5"/>
    </row>
    <row r="109" spans="2:32" s="400" customFormat="1" ht="16.5" thickTop="1" x14ac:dyDescent="0.2">
      <c r="B109" s="468"/>
      <c r="C109" s="451" t="s">
        <v>1143</v>
      </c>
      <c r="D109" s="451"/>
      <c r="E109" s="451"/>
      <c r="F109" s="1058">
        <v>1.2264920798923789</v>
      </c>
      <c r="G109" s="1059">
        <v>1.7775054637612893</v>
      </c>
      <c r="H109" s="1121"/>
      <c r="I109" s="1121"/>
      <c r="J109" s="1121"/>
      <c r="K109" s="468"/>
      <c r="L109" s="451" t="s">
        <v>1143</v>
      </c>
      <c r="M109" s="451"/>
      <c r="N109" s="451"/>
      <c r="O109" s="1058">
        <v>1.2267248593447786</v>
      </c>
      <c r="P109" s="1059">
        <v>1.7773725455647418</v>
      </c>
      <c r="Q109" s="1121"/>
      <c r="R109" s="1121"/>
      <c r="S109" s="1121"/>
      <c r="T109" s="468"/>
      <c r="U109" s="451" t="s">
        <v>1143</v>
      </c>
      <c r="V109" s="451"/>
      <c r="W109" s="451"/>
      <c r="X109" s="1058">
        <v>1.2267248593447785E-6</v>
      </c>
      <c r="Y109" s="1059">
        <v>1.7773725455647418E-6</v>
      </c>
      <c r="Z109" s="1121"/>
    </row>
    <row r="110" spans="2:32" s="400" customFormat="1" ht="15.75" x14ac:dyDescent="0.2">
      <c r="B110" s="468"/>
      <c r="C110" s="457" t="s">
        <v>1144</v>
      </c>
      <c r="D110" s="457"/>
      <c r="E110" s="457"/>
      <c r="F110" s="1060">
        <v>0.2551199145810113</v>
      </c>
      <c r="G110" s="1061">
        <v>0.23086621540764929</v>
      </c>
      <c r="H110" s="1121"/>
      <c r="I110" s="1121"/>
      <c r="J110" s="1121"/>
      <c r="K110" s="468"/>
      <c r="L110" s="457" t="s">
        <v>1144</v>
      </c>
      <c r="M110" s="457"/>
      <c r="N110" s="457"/>
      <c r="O110" s="1060">
        <v>0.25483782200114929</v>
      </c>
      <c r="P110" s="1061">
        <v>0.2308620654884033</v>
      </c>
      <c r="Q110" s="1121"/>
      <c r="R110" s="1121"/>
      <c r="S110" s="1121"/>
      <c r="T110" s="468"/>
      <c r="U110" s="457" t="s">
        <v>1144</v>
      </c>
      <c r="V110" s="457"/>
      <c r="W110" s="457"/>
      <c r="X110" s="1060">
        <v>2.5483782200114933E-7</v>
      </c>
      <c r="Y110" s="1061">
        <v>2.3086206548840329E-7</v>
      </c>
      <c r="Z110" s="1121"/>
    </row>
    <row r="111" spans="2:32" s="400" customFormat="1" ht="15.75" x14ac:dyDescent="0.2">
      <c r="B111" s="468"/>
      <c r="C111" s="457" t="s">
        <v>833</v>
      </c>
      <c r="D111" s="457"/>
      <c r="E111" s="457"/>
      <c r="F111" s="1060">
        <v>0.33485865957196437</v>
      </c>
      <c r="G111" s="1061">
        <v>0.38835683113740072</v>
      </c>
      <c r="H111" s="1121"/>
      <c r="I111" s="1121"/>
      <c r="J111" s="1121"/>
      <c r="K111" s="468"/>
      <c r="L111" s="457" t="s">
        <v>833</v>
      </c>
      <c r="M111" s="457"/>
      <c r="N111" s="457"/>
      <c r="O111" s="1060">
        <v>0.33507500764230941</v>
      </c>
      <c r="P111" s="1061">
        <v>0.38848513089083037</v>
      </c>
      <c r="Q111" s="1121"/>
      <c r="R111" s="1121"/>
      <c r="S111" s="1121"/>
      <c r="T111" s="468"/>
      <c r="U111" s="457" t="s">
        <v>833</v>
      </c>
      <c r="V111" s="457"/>
      <c r="W111" s="457"/>
      <c r="X111" s="1060">
        <v>3.3507500764230937E-7</v>
      </c>
      <c r="Y111" s="1061">
        <v>3.8848513089083034E-7</v>
      </c>
      <c r="Z111" s="1121"/>
    </row>
    <row r="112" spans="2:32" s="400" customFormat="1" ht="6.75" customHeight="1" thickBot="1" x14ac:dyDescent="0.3">
      <c r="B112" s="469"/>
      <c r="C112" s="467"/>
      <c r="D112" s="470"/>
      <c r="E112" s="470"/>
      <c r="F112" s="1062"/>
      <c r="G112" s="1063"/>
      <c r="H112" s="1121"/>
      <c r="I112" s="1121"/>
      <c r="J112" s="1121"/>
      <c r="K112" s="469"/>
      <c r="L112" s="467"/>
      <c r="M112" s="470"/>
      <c r="N112" s="470"/>
      <c r="O112" s="1062"/>
      <c r="P112" s="1063"/>
      <c r="Q112" s="1121"/>
      <c r="R112" s="1121"/>
      <c r="S112" s="1121"/>
      <c r="T112" s="469"/>
      <c r="U112" s="467"/>
      <c r="V112" s="470"/>
      <c r="W112" s="470"/>
      <c r="X112" s="1062"/>
      <c r="Y112" s="1063"/>
      <c r="Z112" s="1121"/>
    </row>
    <row r="113" spans="2:32" ht="18.75" thickTop="1" thickBot="1" x14ac:dyDescent="0.25">
      <c r="B113" s="1034" t="s">
        <v>836</v>
      </c>
      <c r="C113" s="1035"/>
      <c r="D113" s="1035"/>
      <c r="E113" s="1035"/>
      <c r="F113" s="1068">
        <v>0.12314065593183851</v>
      </c>
      <c r="G113" s="1069">
        <v>0.11501537577362987</v>
      </c>
      <c r="K113" s="1034" t="s">
        <v>836</v>
      </c>
      <c r="L113" s="1035"/>
      <c r="M113" s="1035"/>
      <c r="N113" s="1035"/>
      <c r="O113" s="1068">
        <v>0.12318103147727395</v>
      </c>
      <c r="P113" s="1069">
        <v>0.11516567404823796</v>
      </c>
      <c r="T113" s="1034" t="s">
        <v>836</v>
      </c>
      <c r="U113" s="1035"/>
      <c r="V113" s="1035"/>
      <c r="W113" s="1035"/>
      <c r="X113" s="1068">
        <v>1.2318103147727395E-7</v>
      </c>
      <c r="Y113" s="1069">
        <v>1.1516567404823797E-7</v>
      </c>
    </row>
    <row r="114" spans="2:32" s="412" customFormat="1" ht="6.75" customHeight="1" thickTop="1" thickBot="1" x14ac:dyDescent="0.3">
      <c r="B114" s="469"/>
      <c r="C114" s="467"/>
      <c r="D114" s="470"/>
      <c r="E114" s="470"/>
      <c r="F114" s="1046"/>
      <c r="G114" s="1047"/>
      <c r="H114" s="1120"/>
      <c r="I114" s="1120"/>
      <c r="J114" s="1120"/>
      <c r="K114" s="469"/>
      <c r="L114" s="467"/>
      <c r="M114" s="470"/>
      <c r="N114" s="470"/>
      <c r="O114" s="1046"/>
      <c r="P114" s="1047"/>
      <c r="Q114" s="1120"/>
      <c r="R114" s="1120"/>
      <c r="S114" s="1120"/>
      <c r="T114" s="469"/>
      <c r="U114" s="467"/>
      <c r="V114" s="470"/>
      <c r="W114" s="470"/>
      <c r="X114" s="1046"/>
      <c r="Y114" s="1047"/>
      <c r="Z114" s="1120"/>
      <c r="AE114" s="414"/>
      <c r="AF114" s="423"/>
    </row>
    <row r="115" spans="2:32" ht="18.75" thickTop="1" thickBot="1" x14ac:dyDescent="0.25">
      <c r="B115" s="1038" t="s">
        <v>888</v>
      </c>
      <c r="C115" s="1039"/>
      <c r="D115" s="1039"/>
      <c r="E115" s="1039"/>
      <c r="F115" s="1070">
        <v>8.1653832528155987E-2</v>
      </c>
      <c r="G115" s="1071">
        <v>8.3593863911333804E-2</v>
      </c>
      <c r="K115" s="1038" t="s">
        <v>888</v>
      </c>
      <c r="L115" s="1039"/>
      <c r="M115" s="1039"/>
      <c r="N115" s="1039"/>
      <c r="O115" s="1070">
        <v>8.1932337450480383E-2</v>
      </c>
      <c r="P115" s="1071">
        <v>8.3853347924523494E-2</v>
      </c>
      <c r="T115" s="1038" t="s">
        <v>888</v>
      </c>
      <c r="U115" s="1039"/>
      <c r="V115" s="1039"/>
      <c r="W115" s="1039"/>
      <c r="X115" s="1070">
        <v>8.1932337450480378E-8</v>
      </c>
      <c r="Y115" s="1071">
        <v>8.3853347924523496E-8</v>
      </c>
    </row>
    <row r="116" spans="2:32" s="412" customFormat="1" ht="6.75" customHeight="1" thickTop="1" thickBot="1" x14ac:dyDescent="0.3">
      <c r="B116" s="469"/>
      <c r="C116" s="467"/>
      <c r="D116" s="470"/>
      <c r="E116" s="470"/>
      <c r="F116" s="1046"/>
      <c r="G116" s="1047"/>
      <c r="H116" s="1120"/>
      <c r="I116" s="1120"/>
      <c r="J116" s="1120"/>
      <c r="K116" s="469"/>
      <c r="L116" s="467"/>
      <c r="M116" s="470"/>
      <c r="N116" s="470"/>
      <c r="O116" s="1046"/>
      <c r="P116" s="1047"/>
      <c r="Q116" s="1120"/>
      <c r="R116" s="1120"/>
      <c r="S116" s="1120"/>
      <c r="T116" s="469"/>
      <c r="U116" s="467"/>
      <c r="V116" s="470"/>
      <c r="W116" s="470"/>
      <c r="X116" s="1046"/>
      <c r="Y116" s="1047"/>
      <c r="Z116" s="1120"/>
      <c r="AE116" s="414"/>
      <c r="AF116" s="423"/>
    </row>
    <row r="117" spans="2:32" ht="18.75" thickTop="1" thickBot="1" x14ac:dyDescent="0.25">
      <c r="B117" s="1036" t="s">
        <v>1267</v>
      </c>
      <c r="C117" s="1037"/>
      <c r="D117" s="1037"/>
      <c r="E117" s="1037"/>
      <c r="F117" s="1072">
        <v>6.9377386682325085E-2</v>
      </c>
      <c r="G117" s="1073" t="s">
        <v>1685</v>
      </c>
      <c r="K117" s="1036" t="s">
        <v>1267</v>
      </c>
      <c r="L117" s="1037"/>
      <c r="M117" s="1037"/>
      <c r="N117" s="1037"/>
      <c r="O117" s="1072">
        <v>6.950122418213163E-2</v>
      </c>
      <c r="P117" s="1073">
        <v>2.8128021772150288E-2</v>
      </c>
      <c r="T117" s="1036" t="s">
        <v>1267</v>
      </c>
      <c r="U117" s="1037"/>
      <c r="V117" s="1037"/>
      <c r="W117" s="1037"/>
      <c r="X117" s="1072">
        <v>6.9501224182131632E-8</v>
      </c>
      <c r="Y117" s="1073">
        <v>2.8128021772150287E-8</v>
      </c>
    </row>
    <row r="118" spans="2:32" s="412" customFormat="1" ht="6.75" customHeight="1" thickTop="1" thickBot="1" x14ac:dyDescent="0.3">
      <c r="B118" s="469"/>
      <c r="C118" s="467"/>
      <c r="D118" s="470"/>
      <c r="E118" s="470"/>
      <c r="F118" s="1046"/>
      <c r="G118" s="1047"/>
      <c r="H118" s="1120"/>
      <c r="I118" s="1120"/>
      <c r="J118" s="1120"/>
      <c r="K118" s="469"/>
      <c r="L118" s="467"/>
      <c r="M118" s="470"/>
      <c r="N118" s="470"/>
      <c r="O118" s="1046"/>
      <c r="P118" s="1047"/>
      <c r="Q118" s="1120"/>
      <c r="R118" s="1120"/>
      <c r="S118" s="1120"/>
      <c r="T118" s="469"/>
      <c r="U118" s="467"/>
      <c r="V118" s="470"/>
      <c r="W118" s="470"/>
      <c r="X118" s="1046"/>
      <c r="Y118" s="1047"/>
      <c r="Z118" s="1120"/>
      <c r="AE118" s="414"/>
      <c r="AF118" s="423"/>
    </row>
    <row r="119" spans="2:32" ht="18" thickTop="1" x14ac:dyDescent="0.2">
      <c r="B119" s="1151" t="s">
        <v>21</v>
      </c>
      <c r="C119" s="1152"/>
      <c r="D119" s="1152"/>
      <c r="E119" s="1152"/>
      <c r="F119" s="1158">
        <v>12.641324771899912</v>
      </c>
      <c r="G119" s="1159">
        <v>12.99075868144948</v>
      </c>
      <c r="K119" s="1151" t="s">
        <v>21</v>
      </c>
      <c r="L119" s="1152"/>
      <c r="M119" s="1152"/>
      <c r="N119" s="1152"/>
      <c r="O119" s="1158">
        <v>12.642442193910675</v>
      </c>
      <c r="P119" s="1159">
        <v>12.990900319598014</v>
      </c>
      <c r="T119" s="1151" t="s">
        <v>21</v>
      </c>
      <c r="U119" s="1152"/>
      <c r="V119" s="1152"/>
      <c r="W119" s="1152"/>
      <c r="X119" s="1158">
        <v>1.2642442193910678E-5</v>
      </c>
      <c r="Y119" s="1159">
        <v>1.2990900319598014E-5</v>
      </c>
    </row>
    <row r="120" spans="2:32" s="412" customFormat="1" ht="6.75" customHeight="1" x14ac:dyDescent="0.25">
      <c r="B120" s="1155"/>
      <c r="C120" s="1148"/>
      <c r="D120" s="1149"/>
      <c r="E120" s="1149"/>
      <c r="F120" s="1150"/>
      <c r="G120" s="1150"/>
      <c r="H120" s="1120"/>
      <c r="I120" s="1120"/>
      <c r="J120" s="1120"/>
      <c r="K120" s="1155"/>
      <c r="L120" s="1148"/>
      <c r="M120" s="1149"/>
      <c r="N120" s="1149"/>
      <c r="O120" s="1150"/>
      <c r="P120" s="1150"/>
      <c r="Q120" s="1120"/>
      <c r="R120" s="1120"/>
      <c r="S120" s="1120"/>
      <c r="T120" s="1155"/>
      <c r="U120" s="1148"/>
      <c r="V120" s="1149"/>
      <c r="W120" s="1149"/>
      <c r="X120" s="1150"/>
      <c r="Y120" s="1150"/>
      <c r="Z120" s="1120"/>
      <c r="AE120" s="414"/>
      <c r="AF120" s="423"/>
    </row>
    <row r="121" spans="2:32" ht="17.25" x14ac:dyDescent="0.2">
      <c r="B121" s="1143"/>
      <c r="C121" s="1143"/>
      <c r="D121" s="1143"/>
      <c r="E121" s="1143"/>
      <c r="F121" s="1160"/>
      <c r="G121" s="1160"/>
      <c r="K121" s="1143"/>
      <c r="L121" s="1143"/>
      <c r="M121" s="1143"/>
      <c r="N121" s="1143"/>
      <c r="O121" s="1160"/>
      <c r="P121" s="1160"/>
      <c r="T121" s="1143"/>
      <c r="U121" s="1143"/>
      <c r="V121" s="1143"/>
      <c r="W121" s="1143"/>
      <c r="X121" s="1160"/>
      <c r="Y121" s="1160"/>
    </row>
    <row r="122" spans="2:32" s="412" customFormat="1" ht="6.75" customHeight="1" x14ac:dyDescent="0.25">
      <c r="B122" s="1155"/>
      <c r="C122" s="1148"/>
      <c r="D122" s="1149"/>
      <c r="E122" s="1149"/>
      <c r="F122" s="1150"/>
      <c r="G122" s="1150"/>
      <c r="H122" s="1120"/>
      <c r="I122" s="1120"/>
      <c r="J122" s="1120"/>
      <c r="K122" s="1155"/>
      <c r="L122" s="1148"/>
      <c r="M122" s="1149"/>
      <c r="N122" s="1149"/>
      <c r="O122" s="1150"/>
      <c r="P122" s="1150"/>
      <c r="Q122" s="1120"/>
      <c r="R122" s="1120"/>
      <c r="S122" s="1120"/>
      <c r="T122" s="1155"/>
      <c r="U122" s="1148"/>
      <c r="V122" s="1149"/>
      <c r="W122" s="1149"/>
      <c r="X122" s="1150"/>
      <c r="Y122" s="1150"/>
      <c r="Z122" s="1120"/>
      <c r="AE122" s="414"/>
      <c r="AF122" s="423"/>
    </row>
    <row r="123" spans="2:32" ht="17.25" x14ac:dyDescent="0.2">
      <c r="B123" s="1145"/>
      <c r="C123" s="1146"/>
      <c r="D123" s="1146"/>
      <c r="E123" s="1146"/>
      <c r="F123" s="1161"/>
      <c r="G123" s="1161"/>
      <c r="K123" s="1145"/>
      <c r="L123" s="1146"/>
      <c r="M123" s="1146"/>
      <c r="N123" s="1146"/>
      <c r="O123" s="1161"/>
      <c r="P123" s="1161"/>
      <c r="T123" s="1145"/>
      <c r="U123" s="1146"/>
      <c r="V123" s="1146"/>
      <c r="W123" s="1146"/>
      <c r="X123" s="1161"/>
      <c r="Y123" s="1161"/>
    </row>
    <row r="124" spans="2:32" x14ac:dyDescent="0.2">
      <c r="G124" s="1242">
        <v>6.4692078499089992E-2</v>
      </c>
    </row>
  </sheetData>
  <customSheetViews>
    <customSheetView guid="{9BEC6399-AE85-4D88-8FBA-3674E2F30307}" state="hidden">
      <selection activeCell="H12" sqref="H12"/>
      <rowBreaks count="1" manualBreakCount="1">
        <brk id="67" max="16383" man="1"/>
      </rowBreaks>
      <pageMargins left="0.7" right="0.7" top="0.75" bottom="0.75" header="0.3" footer="0.3"/>
      <pageSetup scale="90" orientation="portrait" r:id="rId1"/>
    </customSheetView>
    <customSheetView guid="{0347A67A-6027-4907-965C-6EA2A8295536}" state="hidden">
      <selection activeCell="H12" sqref="H12"/>
      <rowBreaks count="1" manualBreakCount="1">
        <brk id="67" max="16383" man="1"/>
      </rowBreaks>
      <pageMargins left="0.7" right="0.7" top="0.75" bottom="0.75" header="0.3" footer="0.3"/>
      <pageSetup scale="90" orientation="portrait" r:id="rId2"/>
    </customSheetView>
    <customSheetView guid="{15CC7F3D-99AB-49C1-AC00-E04D3FE3FBC1}" state="hidden">
      <selection activeCell="H12" sqref="H12"/>
      <rowBreaks count="1" manualBreakCount="1">
        <brk id="67" max="16383" man="1"/>
      </rowBreaks>
      <pageMargins left="0.7" right="0.7" top="0.75" bottom="0.75" header="0.3" footer="0.3"/>
      <pageSetup scale="90" orientation="portrait" r:id="rId3"/>
    </customSheetView>
  </customSheetViews>
  <mergeCells count="9">
    <mergeCell ref="T2:W2"/>
    <mergeCell ref="T69:W69"/>
    <mergeCell ref="T97:W97"/>
    <mergeCell ref="B69:E69"/>
    <mergeCell ref="B2:E2"/>
    <mergeCell ref="B97:E97"/>
    <mergeCell ref="K2:N2"/>
    <mergeCell ref="K69:N69"/>
    <mergeCell ref="K97:N97"/>
  </mergeCells>
  <phoneticPr fontId="30" type="noConversion"/>
  <pageMargins left="0.7" right="0.7" top="0.75" bottom="0.75" header="0.3" footer="0.3"/>
  <pageSetup scale="90" orientation="portrait" r:id="rId4"/>
  <rowBreaks count="1" manualBreakCount="1">
    <brk id="67" max="16383" man="1"/>
  </rowBreak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sheetPr>
  <dimension ref="A1:U38"/>
  <sheetViews>
    <sheetView workbookViewId="0">
      <selection activeCell="F35" sqref="A35:F36"/>
    </sheetView>
  </sheetViews>
  <sheetFormatPr defaultColWidth="8.85546875" defaultRowHeight="12" x14ac:dyDescent="0.2"/>
  <cols>
    <col min="1" max="1" width="29" style="1" customWidth="1"/>
    <col min="2" max="2" width="13.7109375" style="626" customWidth="1"/>
    <col min="3" max="3" width="9.42578125" style="505" customWidth="1"/>
    <col min="4" max="4" width="24.28515625" style="694" bestFit="1" customWidth="1"/>
    <col min="5" max="5" width="9.42578125" style="332" customWidth="1"/>
    <col min="6" max="6" width="16.5703125" style="576" customWidth="1"/>
    <col min="7" max="7" width="9.42578125" style="576" customWidth="1"/>
    <col min="8" max="8" width="24.28515625" style="481" bestFit="1" customWidth="1"/>
    <col min="9" max="9" width="24.7109375" style="574" bestFit="1" customWidth="1"/>
    <col min="10" max="10" width="16.28515625" style="505" customWidth="1"/>
    <col min="11" max="11" width="19.28515625" style="505" customWidth="1"/>
    <col min="12" max="12" width="13.5703125" style="505" customWidth="1"/>
    <col min="13" max="13" width="21.42578125" style="574" customWidth="1"/>
    <col min="14" max="14" width="15.5703125" style="505" customWidth="1"/>
    <col min="15" max="15" width="7.85546875" style="505" bestFit="1" customWidth="1"/>
    <col min="16" max="16" width="21.42578125" style="505" customWidth="1"/>
    <col min="17" max="17" width="21.42578125" style="574" customWidth="1"/>
    <col min="18" max="18" width="9.42578125" style="576" customWidth="1"/>
  </cols>
  <sheetData>
    <row r="1" spans="1:21" x14ac:dyDescent="0.2">
      <c r="A1" s="114"/>
      <c r="B1" s="2543">
        <v>2003</v>
      </c>
      <c r="C1" s="2544"/>
      <c r="D1" s="2544"/>
      <c r="E1" s="2545"/>
      <c r="F1" s="2543">
        <v>2008</v>
      </c>
      <c r="G1" s="2544"/>
      <c r="H1" s="2544"/>
      <c r="I1" s="2545"/>
      <c r="J1" s="2543">
        <v>2010</v>
      </c>
      <c r="K1" s="2544"/>
      <c r="L1" s="2544"/>
      <c r="M1" s="2545"/>
      <c r="N1" s="2543">
        <v>2015</v>
      </c>
      <c r="O1" s="2544"/>
      <c r="P1" s="2544"/>
      <c r="Q1" s="2545"/>
      <c r="R1" s="65" t="s">
        <v>1542</v>
      </c>
    </row>
    <row r="2" spans="1:21" x14ac:dyDescent="0.2">
      <c r="A2" s="114" t="s">
        <v>604</v>
      </c>
      <c r="B2" s="620" t="s">
        <v>602</v>
      </c>
      <c r="C2" s="1713" t="s">
        <v>601</v>
      </c>
      <c r="D2" s="633" t="s">
        <v>603</v>
      </c>
      <c r="E2" s="666" t="s">
        <v>420</v>
      </c>
      <c r="F2" s="209" t="s">
        <v>602</v>
      </c>
      <c r="G2" s="1713" t="s">
        <v>601</v>
      </c>
      <c r="H2" s="633" t="s">
        <v>603</v>
      </c>
      <c r="I2" s="666" t="s">
        <v>420</v>
      </c>
      <c r="J2" s="209" t="s">
        <v>602</v>
      </c>
      <c r="K2" s="1713" t="s">
        <v>601</v>
      </c>
      <c r="L2" s="633" t="s">
        <v>603</v>
      </c>
      <c r="M2" s="666" t="s">
        <v>420</v>
      </c>
      <c r="N2" s="209" t="s">
        <v>602</v>
      </c>
      <c r="O2" s="1713" t="s">
        <v>601</v>
      </c>
      <c r="P2" s="633" t="s">
        <v>603</v>
      </c>
      <c r="Q2" s="666" t="s">
        <v>420</v>
      </c>
      <c r="R2" s="214" t="s">
        <v>1539</v>
      </c>
      <c r="S2" s="695"/>
      <c r="T2" s="1493" t="s">
        <v>1541</v>
      </c>
      <c r="U2" s="481"/>
    </row>
    <row r="3" spans="1:21" x14ac:dyDescent="0.2">
      <c r="A3" s="1467" t="s">
        <v>1554</v>
      </c>
      <c r="B3" s="1681"/>
      <c r="C3" s="1665"/>
      <c r="D3" s="1662"/>
      <c r="E3" s="1663"/>
      <c r="F3" s="1682"/>
      <c r="G3" s="1665"/>
      <c r="H3" s="1666"/>
      <c r="I3" s="1667"/>
      <c r="J3" s="1666"/>
      <c r="K3" s="1666"/>
      <c r="L3" s="1666"/>
      <c r="M3" s="1667"/>
      <c r="N3" s="1666"/>
      <c r="O3" s="1666"/>
      <c r="P3" s="1666"/>
      <c r="Q3" s="1667"/>
      <c r="R3" s="1494"/>
      <c r="S3" s="1484"/>
      <c r="T3" s="1484"/>
      <c r="U3" s="1484"/>
    </row>
    <row r="4" spans="1:21" s="91" customFormat="1" x14ac:dyDescent="0.2">
      <c r="A4" s="1622" t="s">
        <v>105</v>
      </c>
      <c r="B4" s="806"/>
      <c r="C4" s="840"/>
      <c r="D4" s="840"/>
      <c r="E4" s="1684"/>
      <c r="F4" s="825"/>
      <c r="G4" s="840"/>
      <c r="H4" s="840"/>
      <c r="I4" s="1684"/>
      <c r="J4" s="840"/>
      <c r="K4" s="840"/>
      <c r="L4" s="840"/>
      <c r="M4" s="1684"/>
      <c r="N4" s="840"/>
      <c r="O4" s="840"/>
      <c r="P4" s="840"/>
      <c r="Q4" s="1684"/>
    </row>
    <row r="5" spans="1:21" x14ac:dyDescent="0.2">
      <c r="A5" s="1483" t="s">
        <v>210</v>
      </c>
      <c r="B5" s="628"/>
      <c r="C5" s="551"/>
      <c r="D5" s="686"/>
      <c r="E5" s="358"/>
      <c r="F5" s="526"/>
      <c r="G5" s="137"/>
      <c r="H5" s="569"/>
      <c r="I5" s="571"/>
      <c r="J5" s="569"/>
      <c r="K5" s="569"/>
      <c r="L5" s="569"/>
      <c r="M5" s="571"/>
      <c r="N5" s="569"/>
      <c r="O5" s="569"/>
      <c r="P5" s="569"/>
      <c r="Q5" s="571"/>
      <c r="R5" s="667"/>
    </row>
    <row r="6" spans="1:21" x14ac:dyDescent="0.2">
      <c r="A6" s="606" t="s">
        <v>1054</v>
      </c>
      <c r="B6" s="587"/>
      <c r="C6" s="392"/>
      <c r="D6" s="323"/>
      <c r="E6" s="326"/>
      <c r="F6" s="857"/>
      <c r="G6" s="135"/>
      <c r="H6" s="226"/>
      <c r="I6" s="761"/>
      <c r="J6" s="226"/>
      <c r="K6" s="226"/>
      <c r="L6" s="226"/>
      <c r="M6" s="761"/>
      <c r="N6" s="226"/>
      <c r="O6" s="226"/>
      <c r="P6" s="226"/>
      <c r="Q6" s="761"/>
      <c r="R6" s="667"/>
    </row>
    <row r="7" spans="1:21" x14ac:dyDescent="0.2">
      <c r="A7" s="192" t="s">
        <v>173</v>
      </c>
      <c r="B7" s="587"/>
      <c r="C7" s="226"/>
      <c r="D7" s="386"/>
      <c r="E7" s="383"/>
      <c r="F7" s="857"/>
      <c r="G7" s="135"/>
      <c r="H7" s="226"/>
      <c r="I7" s="761"/>
      <c r="J7" s="226"/>
      <c r="K7" s="226"/>
      <c r="L7" s="226"/>
      <c r="M7" s="761"/>
      <c r="N7" s="226"/>
      <c r="O7" s="226"/>
      <c r="P7" s="226"/>
      <c r="Q7" s="761"/>
      <c r="R7" s="667"/>
    </row>
    <row r="8" spans="1:21" x14ac:dyDescent="0.2">
      <c r="A8" s="117" t="s">
        <v>1093</v>
      </c>
      <c r="B8" s="856">
        <v>295259053</v>
      </c>
      <c r="C8" s="864" t="s">
        <v>620</v>
      </c>
      <c r="D8" s="72" t="s">
        <v>2183</v>
      </c>
      <c r="E8" s="139" t="s">
        <v>1062</v>
      </c>
      <c r="F8" s="788">
        <v>342357383</v>
      </c>
      <c r="G8" s="313" t="s">
        <v>620</v>
      </c>
      <c r="H8" s="400" t="s">
        <v>2221</v>
      </c>
      <c r="I8" s="872" t="s">
        <v>1059</v>
      </c>
      <c r="J8" s="255">
        <v>307250994</v>
      </c>
      <c r="K8" s="1016" t="s">
        <v>620</v>
      </c>
      <c r="L8" s="1016" t="s">
        <v>2222</v>
      </c>
      <c r="M8" s="872" t="s">
        <v>1400</v>
      </c>
      <c r="N8" s="255">
        <v>293949948</v>
      </c>
      <c r="O8" s="1016" t="s">
        <v>620</v>
      </c>
      <c r="P8" s="1016" t="s">
        <v>2165</v>
      </c>
      <c r="Q8" s="761"/>
      <c r="R8" s="573"/>
    </row>
    <row r="9" spans="1:21" x14ac:dyDescent="0.2">
      <c r="A9" s="614" t="s">
        <v>1759</v>
      </c>
      <c r="B9" s="587"/>
      <c r="C9" s="392"/>
      <c r="D9" s="386"/>
      <c r="E9" s="383"/>
      <c r="F9" s="857"/>
      <c r="G9" s="135"/>
      <c r="H9" s="226"/>
      <c r="I9" s="761"/>
      <c r="J9" s="226"/>
      <c r="K9" s="226"/>
      <c r="L9" s="226"/>
      <c r="M9" s="761"/>
      <c r="N9" s="1767">
        <v>375904</v>
      </c>
      <c r="O9" s="226" t="s">
        <v>1065</v>
      </c>
      <c r="P9" s="226" t="s">
        <v>1760</v>
      </c>
      <c r="Q9" s="761" t="s">
        <v>2157</v>
      </c>
      <c r="R9" s="667"/>
    </row>
    <row r="10" spans="1:21" x14ac:dyDescent="0.2">
      <c r="A10" s="614" t="s">
        <v>1761</v>
      </c>
      <c r="B10" s="587"/>
      <c r="C10" s="392"/>
      <c r="D10" s="386"/>
      <c r="E10" s="383"/>
      <c r="F10" s="857"/>
      <c r="G10" s="135"/>
      <c r="H10" s="226"/>
      <c r="I10" s="761"/>
      <c r="J10" s="226"/>
      <c r="K10" s="226"/>
      <c r="L10" s="226"/>
      <c r="M10" s="761"/>
      <c r="N10" s="1265">
        <f>N15/N9</f>
        <v>4.1735991156387788</v>
      </c>
      <c r="O10" s="392" t="s">
        <v>1762</v>
      </c>
      <c r="P10" s="226"/>
      <c r="Q10" s="761"/>
      <c r="R10" s="667"/>
    </row>
    <row r="11" spans="1:21" x14ac:dyDescent="0.2">
      <c r="A11" s="614" t="s">
        <v>1763</v>
      </c>
      <c r="B11" s="587"/>
      <c r="C11" s="392"/>
      <c r="D11" s="386"/>
      <c r="E11" s="383"/>
      <c r="F11" s="857"/>
      <c r="G11" s="135"/>
      <c r="H11" s="226"/>
      <c r="I11" s="761"/>
      <c r="J11" s="226"/>
      <c r="K11" s="226"/>
      <c r="L11" s="226"/>
      <c r="M11" s="761"/>
      <c r="N11" s="1776">
        <v>947344</v>
      </c>
      <c r="O11" s="226" t="s">
        <v>1065</v>
      </c>
      <c r="P11" s="226"/>
      <c r="Q11" s="761"/>
      <c r="R11" s="667"/>
    </row>
    <row r="12" spans="1:21" x14ac:dyDescent="0.2">
      <c r="A12" s="1476" t="s">
        <v>152</v>
      </c>
      <c r="B12" s="806"/>
      <c r="C12" s="245"/>
      <c r="D12" s="372"/>
      <c r="E12" s="354"/>
      <c r="F12" s="862"/>
      <c r="G12" s="245"/>
      <c r="H12" s="245"/>
      <c r="I12" s="119"/>
      <c r="J12" s="245"/>
      <c r="K12" s="245"/>
      <c r="L12" s="245"/>
      <c r="M12" s="119"/>
      <c r="N12" s="245"/>
      <c r="O12" s="245"/>
      <c r="P12" s="245"/>
      <c r="Q12" s="761"/>
      <c r="R12" s="215"/>
    </row>
    <row r="13" spans="1:21" x14ac:dyDescent="0.2">
      <c r="A13" s="177" t="s">
        <v>106</v>
      </c>
      <c r="B13" s="857">
        <f>B8*thermTOTJ</f>
        <v>31125.618849154009</v>
      </c>
      <c r="C13" s="392" t="s">
        <v>554</v>
      </c>
      <c r="D13" s="386"/>
      <c r="E13" s="383"/>
      <c r="F13" s="857">
        <f>F8*thermTOTJ</f>
        <v>36090.63060109401</v>
      </c>
      <c r="G13" s="205" t="s">
        <v>554</v>
      </c>
      <c r="H13" s="226"/>
      <c r="I13" s="761"/>
      <c r="J13" s="857">
        <f>J8*thermTOTJ</f>
        <v>32389.785285492009</v>
      </c>
      <c r="K13" s="205" t="s">
        <v>554</v>
      </c>
      <c r="L13" s="226"/>
      <c r="M13" s="761"/>
      <c r="N13" s="1326">
        <f>N8*thermTOTJ</f>
        <v>30987.615618264008</v>
      </c>
      <c r="O13" s="205" t="s">
        <v>554</v>
      </c>
      <c r="P13" s="226"/>
      <c r="Q13" s="761"/>
      <c r="R13" s="667"/>
    </row>
    <row r="14" spans="1:21" x14ac:dyDescent="0.2">
      <c r="A14" s="177"/>
      <c r="B14" s="857">
        <f>B8*thermTOBtu*10^-6</f>
        <v>29525905.299999997</v>
      </c>
      <c r="C14" s="392" t="s">
        <v>2104</v>
      </c>
      <c r="D14" s="386"/>
      <c r="E14" s="383"/>
      <c r="F14" s="857">
        <f>F8*thermTOBtu*10^-6</f>
        <v>34235738.299999997</v>
      </c>
      <c r="G14" s="392" t="s">
        <v>2104</v>
      </c>
      <c r="H14" s="226"/>
      <c r="I14" s="761"/>
      <c r="J14" s="857">
        <f>J8*thermTOBtu*10^-6</f>
        <v>30725099.399999999</v>
      </c>
      <c r="K14" s="392" t="s">
        <v>2104</v>
      </c>
      <c r="L14" s="226"/>
      <c r="M14" s="761"/>
      <c r="N14" s="857">
        <f>N8*thermTOBtu*10^-6</f>
        <v>29394994.799999997</v>
      </c>
      <c r="O14" s="392" t="s">
        <v>2104</v>
      </c>
      <c r="P14" s="226"/>
      <c r="Q14" s="761"/>
      <c r="R14" s="667"/>
    </row>
    <row r="15" spans="1:21" s="2108" customFormat="1" ht="13.5" x14ac:dyDescent="0.2">
      <c r="A15" s="1602" t="s">
        <v>107</v>
      </c>
      <c r="B15" s="2272">
        <f>B14*'Emission Factors'!C112*10^-6+B14*efgas.res.ch4*GWPCH4*10^-6+B14*efgas.res.n2o*GWPN2O*10^-6</f>
        <v>1575859.5702621297</v>
      </c>
      <c r="C15" s="2053" t="s">
        <v>1991</v>
      </c>
      <c r="D15" s="2110"/>
      <c r="E15" s="1673" t="s">
        <v>2159</v>
      </c>
      <c r="F15" s="2272">
        <f>F14*'Emission Factors'!C112*10^-6+F14*efgas.res.ch4*GWPCH4*10^-6+F14*efgas.res.n2o*GWPN2O*10^-6</f>
        <v>1827233.2481214297</v>
      </c>
      <c r="G15" s="2053" t="s">
        <v>1991</v>
      </c>
      <c r="H15" s="2105"/>
      <c r="I15" s="1673" t="s">
        <v>2159</v>
      </c>
      <c r="J15" s="2272">
        <f>J14*'Emission Factors'!C112*10^-6+J14*efgas.res.ch4*GWPCH4*10^-6+J14*efgas.res.n2o*GWPN2O*10^-6</f>
        <v>1639863.0776867399</v>
      </c>
      <c r="K15" s="2053" t="s">
        <v>1991</v>
      </c>
      <c r="L15" s="2105"/>
      <c r="M15" s="1673" t="s">
        <v>2159</v>
      </c>
      <c r="N15" s="2272">
        <f>N14*'Emission Factors'!C112*10^-6+N14*efgas.res.ch4*GWPCH4*10^-6+N14*efgas.res.n2o*GWPN2O*10^-6</f>
        <v>1568872.6019650795</v>
      </c>
      <c r="O15" s="2053" t="s">
        <v>1991</v>
      </c>
      <c r="P15" s="2105"/>
      <c r="Q15" s="1673" t="s">
        <v>2159</v>
      </c>
      <c r="R15" s="2271"/>
    </row>
    <row r="16" spans="1:21" x14ac:dyDescent="0.2">
      <c r="A16" s="177"/>
      <c r="B16" s="587"/>
      <c r="C16" s="226"/>
      <c r="D16" s="386"/>
      <c r="E16" s="383"/>
      <c r="F16" s="857"/>
      <c r="G16" s="207"/>
      <c r="H16" s="226"/>
      <c r="I16" s="761"/>
      <c r="J16" s="226"/>
      <c r="K16" s="226"/>
      <c r="L16" s="226"/>
      <c r="M16" s="761"/>
      <c r="N16" s="226"/>
      <c r="O16" s="226"/>
      <c r="P16" s="226"/>
      <c r="Q16" s="761"/>
      <c r="R16" s="667"/>
    </row>
    <row r="17" spans="1:18" s="91" customFormat="1" x14ac:dyDescent="0.2">
      <c r="A17" s="1622" t="s">
        <v>108</v>
      </c>
      <c r="B17" s="806"/>
      <c r="C17" s="840"/>
      <c r="D17" s="840"/>
      <c r="E17" s="1684"/>
      <c r="F17" s="825"/>
      <c r="G17" s="840"/>
      <c r="H17" s="840"/>
      <c r="I17" s="1684"/>
      <c r="J17" s="840"/>
      <c r="K17" s="840"/>
      <c r="L17" s="840"/>
      <c r="M17" s="1684"/>
      <c r="N17" s="840"/>
      <c r="O17" s="840"/>
      <c r="P17" s="840"/>
      <c r="Q17" s="761"/>
    </row>
    <row r="18" spans="1:18" x14ac:dyDescent="0.2">
      <c r="A18" s="1483" t="s">
        <v>210</v>
      </c>
      <c r="B18" s="587"/>
      <c r="C18" s="392"/>
      <c r="D18" s="323"/>
      <c r="E18" s="326"/>
      <c r="F18" s="788"/>
      <c r="G18" s="135"/>
      <c r="H18" s="226"/>
      <c r="I18" s="761"/>
      <c r="J18" s="226"/>
      <c r="K18" s="226"/>
      <c r="L18" s="226"/>
      <c r="M18" s="761"/>
      <c r="N18" s="226"/>
      <c r="O18" s="226"/>
      <c r="P18" s="226"/>
      <c r="Q18" s="761"/>
    </row>
    <row r="19" spans="1:18" x14ac:dyDescent="0.2">
      <c r="A19" s="177" t="s">
        <v>109</v>
      </c>
      <c r="B19" s="587"/>
      <c r="C19" s="392"/>
      <c r="D19" s="323"/>
      <c r="E19" s="326"/>
      <c r="F19" s="788"/>
      <c r="G19" s="135"/>
      <c r="H19" s="226"/>
      <c r="I19" s="761"/>
      <c r="J19" s="226"/>
      <c r="K19" s="226"/>
      <c r="L19" s="226"/>
      <c r="M19" s="761"/>
      <c r="N19" s="226"/>
      <c r="O19" s="226"/>
      <c r="P19" s="226"/>
      <c r="Q19" s="761"/>
    </row>
    <row r="20" spans="1:18" x14ac:dyDescent="0.2">
      <c r="A20" s="167" t="s">
        <v>110</v>
      </c>
      <c r="B20" s="858">
        <v>2003</v>
      </c>
      <c r="C20" s="867"/>
      <c r="D20" s="868"/>
      <c r="E20" s="869"/>
      <c r="F20" s="858">
        <v>2008</v>
      </c>
      <c r="G20" s="135"/>
      <c r="H20" s="226"/>
      <c r="I20" s="761"/>
      <c r="J20" s="226" t="s">
        <v>1401</v>
      </c>
      <c r="K20" s="226"/>
      <c r="L20" s="226"/>
      <c r="M20" s="761"/>
      <c r="N20" s="1497">
        <v>2015</v>
      </c>
      <c r="O20" s="226"/>
      <c r="P20" s="226"/>
      <c r="Q20" s="761"/>
    </row>
    <row r="21" spans="1:18" x14ac:dyDescent="0.2">
      <c r="A21" s="113" t="s">
        <v>299</v>
      </c>
      <c r="B21" s="777">
        <v>64940</v>
      </c>
      <c r="C21" s="226" t="s">
        <v>298</v>
      </c>
      <c r="D21" s="226" t="s">
        <v>2181</v>
      </c>
      <c r="E21" s="2319" t="s">
        <v>2144</v>
      </c>
      <c r="F21" s="1775">
        <v>42881</v>
      </c>
      <c r="G21" s="267" t="s">
        <v>298</v>
      </c>
      <c r="H21" s="226" t="s">
        <v>2181</v>
      </c>
      <c r="I21" s="761" t="s">
        <v>2158</v>
      </c>
      <c r="J21" s="1775">
        <v>38270</v>
      </c>
      <c r="K21" s="267" t="s">
        <v>298</v>
      </c>
      <c r="L21" s="226" t="s">
        <v>2181</v>
      </c>
      <c r="M21" s="761"/>
      <c r="N21" s="1497">
        <v>25523</v>
      </c>
      <c r="O21" s="267" t="s">
        <v>298</v>
      </c>
      <c r="P21" s="226" t="s">
        <v>1760</v>
      </c>
      <c r="Q21" s="761"/>
      <c r="R21" s="695"/>
    </row>
    <row r="22" spans="1:18" x14ac:dyDescent="0.2">
      <c r="A22" s="113" t="s">
        <v>300</v>
      </c>
      <c r="B22" s="859">
        <v>126327</v>
      </c>
      <c r="C22" s="226" t="s">
        <v>1065</v>
      </c>
      <c r="D22" s="130" t="s">
        <v>2224</v>
      </c>
      <c r="E22" s="383"/>
      <c r="F22" s="859">
        <v>83177</v>
      </c>
      <c r="G22" s="226" t="s">
        <v>1065</v>
      </c>
      <c r="H22" s="226" t="s">
        <v>2220</v>
      </c>
      <c r="I22" s="761" t="s">
        <v>1066</v>
      </c>
      <c r="J22" s="859" t="s">
        <v>1515</v>
      </c>
      <c r="K22" s="226" t="s">
        <v>1065</v>
      </c>
      <c r="L22" s="226" t="s">
        <v>2223</v>
      </c>
      <c r="M22" s="761"/>
      <c r="N22" s="1497">
        <v>54294</v>
      </c>
      <c r="O22" s="226" t="s">
        <v>1065</v>
      </c>
      <c r="P22" s="226" t="s">
        <v>1760</v>
      </c>
      <c r="Q22" s="761"/>
    </row>
    <row r="23" spans="1:18" ht="14.25" customHeight="1" x14ac:dyDescent="0.2">
      <c r="A23" s="606" t="s">
        <v>1094</v>
      </c>
      <c r="B23" s="860"/>
      <c r="C23" s="392"/>
      <c r="D23" s="323"/>
      <c r="E23" s="326"/>
      <c r="F23" s="863"/>
      <c r="G23" s="312"/>
      <c r="H23" s="392"/>
      <c r="I23" s="760"/>
      <c r="J23" s="863"/>
      <c r="K23" s="312"/>
      <c r="L23" s="392"/>
      <c r="M23" s="761"/>
      <c r="N23" s="210"/>
      <c r="O23" s="312"/>
      <c r="P23" s="226"/>
      <c r="Q23" s="761"/>
    </row>
    <row r="24" spans="1:18" x14ac:dyDescent="0.2">
      <c r="A24" s="632" t="s">
        <v>1064</v>
      </c>
      <c r="B24" s="859">
        <v>54129</v>
      </c>
      <c r="C24" s="255" t="s">
        <v>1065</v>
      </c>
      <c r="D24" s="130" t="s">
        <v>2224</v>
      </c>
      <c r="E24" s="2319" t="s">
        <v>1407</v>
      </c>
      <c r="F24" s="859">
        <v>40806</v>
      </c>
      <c r="G24" s="255" t="s">
        <v>1065</v>
      </c>
      <c r="H24" s="226" t="s">
        <v>2220</v>
      </c>
      <c r="I24" s="632" t="s">
        <v>1067</v>
      </c>
      <c r="J24" s="859" t="s">
        <v>1516</v>
      </c>
      <c r="K24" s="255" t="s">
        <v>1065</v>
      </c>
      <c r="L24" s="226" t="s">
        <v>2223</v>
      </c>
      <c r="M24" s="761"/>
      <c r="N24" s="1497">
        <v>27317</v>
      </c>
      <c r="O24" s="255" t="s">
        <v>1065</v>
      </c>
      <c r="P24" s="226" t="s">
        <v>1760</v>
      </c>
      <c r="Q24" s="761"/>
    </row>
    <row r="25" spans="1:18" x14ac:dyDescent="0.2">
      <c r="A25" s="614" t="s">
        <v>1761</v>
      </c>
      <c r="B25" s="859"/>
      <c r="C25" s="255"/>
      <c r="D25" s="130"/>
      <c r="E25" s="383"/>
      <c r="F25" s="859"/>
      <c r="G25" s="255"/>
      <c r="H25" s="226"/>
      <c r="I25" s="632"/>
      <c r="J25" s="859"/>
      <c r="K25" s="255"/>
      <c r="L25" s="226"/>
      <c r="M25" s="761"/>
      <c r="N25" s="1777">
        <f>N29/N24</f>
        <v>4.8345123289161718</v>
      </c>
      <c r="O25" s="392" t="s">
        <v>1762</v>
      </c>
      <c r="P25" s="226"/>
      <c r="Q25" s="761"/>
    </row>
    <row r="26" spans="1:18" x14ac:dyDescent="0.2">
      <c r="A26" s="1476" t="s">
        <v>152</v>
      </c>
      <c r="B26" s="806"/>
      <c r="C26" s="245"/>
      <c r="D26" s="372"/>
      <c r="E26" s="354"/>
      <c r="F26" s="862"/>
      <c r="G26" s="245"/>
      <c r="H26" s="245"/>
      <c r="I26" s="119"/>
      <c r="J26" s="862"/>
      <c r="K26" s="245"/>
      <c r="L26" s="245"/>
      <c r="M26" s="761"/>
      <c r="N26" s="1776"/>
      <c r="O26" s="245"/>
      <c r="P26" s="226"/>
      <c r="Q26" s="761"/>
      <c r="R26" s="215"/>
    </row>
    <row r="27" spans="1:18" x14ac:dyDescent="0.2">
      <c r="A27" s="252"/>
      <c r="B27" s="861">
        <f>B21*1000</f>
        <v>64940000</v>
      </c>
      <c r="C27" s="531" t="s">
        <v>654</v>
      </c>
      <c r="D27" s="386"/>
      <c r="E27" s="383"/>
      <c r="F27" s="861">
        <f>F21*1000</f>
        <v>42881000</v>
      </c>
      <c r="G27" s="531" t="s">
        <v>654</v>
      </c>
      <c r="H27" s="873"/>
      <c r="I27" s="635"/>
      <c r="J27" s="861">
        <f>J21*1000</f>
        <v>38270000</v>
      </c>
      <c r="K27" s="531" t="s">
        <v>654</v>
      </c>
      <c r="L27" s="873"/>
      <c r="M27" s="761"/>
      <c r="N27" s="1778">
        <f>N21*1000</f>
        <v>25523000</v>
      </c>
      <c r="O27" s="531" t="s">
        <v>654</v>
      </c>
      <c r="P27" s="226"/>
      <c r="Q27" s="761"/>
    </row>
    <row r="28" spans="1:18" ht="36" x14ac:dyDescent="0.2">
      <c r="A28" s="606" t="s">
        <v>1068</v>
      </c>
      <c r="B28" s="861">
        <f>B27*(B24/B22)</f>
        <v>27825700.444085587</v>
      </c>
      <c r="C28" s="531" t="s">
        <v>654</v>
      </c>
      <c r="D28" s="386"/>
      <c r="E28" s="383"/>
      <c r="F28" s="861">
        <f>F27*(F24/F22)</f>
        <v>21037090.613991849</v>
      </c>
      <c r="G28" s="531" t="s">
        <v>654</v>
      </c>
      <c r="H28" s="873"/>
      <c r="I28" s="635"/>
      <c r="J28" s="861">
        <f>J27*(J24/J22)</f>
        <v>18398075.633687653</v>
      </c>
      <c r="K28" s="531" t="s">
        <v>654</v>
      </c>
      <c r="L28" s="873"/>
      <c r="M28" s="761"/>
      <c r="N28" s="861">
        <f>N27*(N24/N22)</f>
        <v>12841415.091907026</v>
      </c>
      <c r="O28" s="531" t="s">
        <v>654</v>
      </c>
      <c r="P28" s="226"/>
      <c r="Q28" s="761"/>
    </row>
    <row r="29" spans="1:18" s="2108" customFormat="1" ht="13.5" x14ac:dyDescent="0.2">
      <c r="A29" s="1669" t="s">
        <v>1304</v>
      </c>
      <c r="B29" s="1564">
        <f>B28*efgdistillate/1000000+B28*efgdistillate.res.ch4*GWPCH4/1000000+B28*efgdistillate.res.n2o*GWPN2O/1000000</f>
        <v>286166.56841749756</v>
      </c>
      <c r="C29" s="1670" t="s">
        <v>207</v>
      </c>
      <c r="D29" s="2110"/>
      <c r="E29" s="1673" t="s">
        <v>2159</v>
      </c>
      <c r="F29" s="1564">
        <f>F28*efgdistillate/1000000+F28*efgdistillate.res.ch4*GWPCH4/1000000+F28*efgdistillate.res.n2o*GWPN2O/1000000</f>
        <v>216350.78127111736</v>
      </c>
      <c r="G29" s="1670" t="s">
        <v>207</v>
      </c>
      <c r="H29" s="2111"/>
      <c r="I29" s="1673" t="s">
        <v>2159</v>
      </c>
      <c r="J29" s="1564">
        <f>J28*efgdistillate/1000000+J28*efgdistillate.res.ch4*GWPCH4/1000000+J28*efgdistillate.res.n2o*GWPN2O/1000000</f>
        <v>189210.48115779029</v>
      </c>
      <c r="K29" s="1670" t="s">
        <v>163</v>
      </c>
      <c r="L29" s="2111"/>
      <c r="M29" s="1673" t="s">
        <v>2159</v>
      </c>
      <c r="N29" s="1564">
        <f>N28*efgdistillate/1000000+N28*efgdistillate.res.ch4*GWPCH4/1000000+N28*efgdistillate.res.n2o*GWPN2O/1000000</f>
        <v>132064.37328900307</v>
      </c>
      <c r="O29" s="1670" t="s">
        <v>163</v>
      </c>
      <c r="P29" s="1672"/>
      <c r="Q29" s="1673" t="s">
        <v>2159</v>
      </c>
      <c r="R29" s="2107"/>
    </row>
    <row r="30" spans="1:18" x14ac:dyDescent="0.2">
      <c r="A30" s="177"/>
      <c r="B30" s="587"/>
      <c r="C30" s="226"/>
      <c r="D30" s="386"/>
      <c r="E30" s="383"/>
      <c r="F30" s="788"/>
      <c r="G30" s="168"/>
      <c r="H30" s="226"/>
      <c r="I30" s="761"/>
      <c r="J30" s="226"/>
      <c r="K30" s="226"/>
      <c r="L30" s="226"/>
      <c r="M30" s="761"/>
      <c r="N30" s="226"/>
      <c r="O30" s="226"/>
      <c r="P30" s="226"/>
      <c r="Q30" s="761"/>
    </row>
    <row r="31" spans="1:18" x14ac:dyDescent="0.2">
      <c r="A31" s="299"/>
      <c r="B31" s="587"/>
      <c r="C31" s="226"/>
      <c r="D31" s="386"/>
      <c r="E31" s="383"/>
      <c r="F31" s="656"/>
      <c r="G31" s="267"/>
      <c r="H31" s="226"/>
      <c r="I31" s="761"/>
      <c r="J31" s="1265"/>
      <c r="K31" s="226"/>
      <c r="L31" s="226"/>
      <c r="M31" s="761"/>
      <c r="N31" s="1265"/>
      <c r="O31" s="226"/>
      <c r="P31" s="226"/>
      <c r="Q31" s="761"/>
    </row>
    <row r="32" spans="1:18" x14ac:dyDescent="0.2">
      <c r="A32" s="299"/>
      <c r="B32" s="271"/>
      <c r="C32" s="569"/>
      <c r="D32" s="376"/>
      <c r="E32" s="328"/>
      <c r="F32" s="656"/>
      <c r="G32" s="267"/>
      <c r="H32" s="226"/>
      <c r="I32" s="761"/>
      <c r="J32" s="226"/>
      <c r="K32" s="226"/>
      <c r="L32" s="226"/>
      <c r="M32" s="761"/>
      <c r="N32" s="226"/>
      <c r="O32" s="226"/>
      <c r="P32" s="226"/>
      <c r="Q32" s="761"/>
    </row>
    <row r="33" spans="1:17" x14ac:dyDescent="0.2">
      <c r="A33" s="177"/>
      <c r="B33" s="587"/>
      <c r="C33" s="569"/>
      <c r="D33" s="376"/>
      <c r="E33" s="328"/>
      <c r="F33" s="685"/>
      <c r="G33" s="267"/>
      <c r="H33" s="226"/>
      <c r="I33" s="761"/>
      <c r="J33" s="226"/>
      <c r="K33" s="226"/>
      <c r="L33" s="226"/>
      <c r="M33" s="761"/>
      <c r="N33" s="226"/>
      <c r="O33" s="226"/>
      <c r="P33" s="226"/>
      <c r="Q33" s="761"/>
    </row>
    <row r="34" spans="1:17" x14ac:dyDescent="0.2">
      <c r="A34" s="299"/>
      <c r="B34" s="587"/>
      <c r="C34" s="569"/>
      <c r="D34" s="376"/>
      <c r="E34" s="328"/>
      <c r="F34" s="656"/>
      <c r="G34" s="602"/>
      <c r="H34" s="569"/>
      <c r="I34" s="571"/>
      <c r="J34" s="569"/>
      <c r="K34" s="569"/>
      <c r="L34" s="569"/>
      <c r="M34" s="571"/>
      <c r="N34" s="1269"/>
      <c r="O34" s="569"/>
      <c r="P34" s="569"/>
      <c r="Q34" s="571"/>
    </row>
    <row r="35" spans="1:17" x14ac:dyDescent="0.2">
      <c r="A35" s="299"/>
      <c r="B35" s="628"/>
      <c r="C35" s="569"/>
      <c r="D35" s="376"/>
      <c r="E35" s="328"/>
      <c r="F35" s="656"/>
      <c r="G35" s="602"/>
      <c r="H35" s="569"/>
      <c r="I35" s="571"/>
      <c r="J35" s="569"/>
      <c r="K35" s="569"/>
      <c r="L35" s="569"/>
      <c r="M35" s="571"/>
      <c r="N35" s="569"/>
      <c r="O35" s="569"/>
      <c r="P35" s="569"/>
      <c r="Q35" s="571"/>
    </row>
    <row r="36" spans="1:17" x14ac:dyDescent="0.2">
      <c r="A36" s="216"/>
      <c r="B36" s="393"/>
      <c r="C36" s="314"/>
      <c r="D36" s="385"/>
      <c r="E36" s="324"/>
      <c r="F36" s="693"/>
      <c r="G36" s="321"/>
      <c r="H36" s="569"/>
      <c r="I36" s="571"/>
      <c r="J36" s="569"/>
      <c r="K36" s="569"/>
      <c r="L36" s="569"/>
      <c r="M36" s="571"/>
      <c r="N36" s="569"/>
      <c r="O36" s="569"/>
      <c r="P36" s="569"/>
      <c r="Q36" s="571"/>
    </row>
    <row r="37" spans="1:17" x14ac:dyDescent="0.2">
      <c r="A37" s="177"/>
      <c r="B37" s="628"/>
      <c r="C37" s="569"/>
      <c r="D37" s="376"/>
      <c r="E37" s="328"/>
      <c r="F37" s="656"/>
      <c r="G37" s="602"/>
      <c r="H37" s="569"/>
      <c r="I37" s="571"/>
      <c r="J37" s="569"/>
      <c r="K37" s="569"/>
      <c r="L37" s="569"/>
      <c r="M37" s="571"/>
      <c r="N37" s="569"/>
      <c r="O37" s="569"/>
      <c r="P37" s="569"/>
      <c r="Q37" s="571"/>
    </row>
    <row r="38" spans="1:17" x14ac:dyDescent="0.2">
      <c r="A38" s="185"/>
    </row>
  </sheetData>
  <customSheetViews>
    <customSheetView guid="{9BEC6399-AE85-4D88-8FBA-3674E2F30307}">
      <selection activeCell="F35" sqref="A35:F36"/>
      <pageMargins left="0.7" right="0.7" top="0.75" bottom="0.75" header="0.3" footer="0.3"/>
      <pageSetup orientation="portrait" r:id="rId1"/>
    </customSheetView>
    <customSheetView guid="{0347A67A-6027-4907-965C-6EA2A8295536}">
      <selection activeCell="F35" sqref="A35:F36"/>
      <pageMargins left="0.7" right="0.7" top="0.75" bottom="0.75" header="0.3" footer="0.3"/>
      <pageSetup orientation="portrait" r:id="rId2"/>
    </customSheetView>
    <customSheetView guid="{15CC7F3D-99AB-49C1-AC00-E04D3FE3FBC1}" topLeftCell="A10">
      <selection activeCell="A22" sqref="A22"/>
      <pageMargins left="0.7" right="0.7" top="0.75" bottom="0.75" header="0.3" footer="0.3"/>
      <pageSetup orientation="portrait" r:id="rId3"/>
    </customSheetView>
  </customSheetViews>
  <mergeCells count="4">
    <mergeCell ref="F1:I1"/>
    <mergeCell ref="B1:E1"/>
    <mergeCell ref="J1:M1"/>
    <mergeCell ref="N1:Q1"/>
  </mergeCells>
  <phoneticPr fontId="30" type="noConversion"/>
  <pageMargins left="0.7" right="0.7" top="0.75" bottom="0.75" header="0.3" footer="0.3"/>
  <pageSetup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sheetPr>
  <dimension ref="A1:V72"/>
  <sheetViews>
    <sheetView topLeftCell="F1" workbookViewId="0">
      <selection activeCell="I17" sqref="A15:I17"/>
    </sheetView>
  </sheetViews>
  <sheetFormatPr defaultColWidth="8.85546875" defaultRowHeight="12" x14ac:dyDescent="0.2"/>
  <cols>
    <col min="1" max="1" width="74" style="584" customWidth="1"/>
    <col min="2" max="2" width="11.42578125" style="877" bestFit="1" customWidth="1"/>
    <col min="3" max="3" width="8.140625" style="907" bestFit="1" customWidth="1"/>
    <col min="4" max="4" width="25.42578125" style="908" customWidth="1"/>
    <col min="5" max="5" width="12.28515625" style="909" bestFit="1" customWidth="1"/>
    <col min="6" max="6" width="18.140625" style="802" bestFit="1" customWidth="1"/>
    <col min="7" max="7" width="11.5703125" style="72" bestFit="1" customWidth="1"/>
    <col min="8" max="8" width="26" style="72" bestFit="1" customWidth="1"/>
    <col min="9" max="9" width="12.28515625" style="909" bestFit="1" customWidth="1"/>
    <col min="10" max="10" width="14.5703125" style="802" bestFit="1" customWidth="1"/>
    <col min="11" max="11" width="11.5703125" style="72" bestFit="1" customWidth="1"/>
    <col min="12" max="12" width="26" style="72" bestFit="1" customWidth="1"/>
    <col min="13" max="13" width="14.85546875" style="652" customWidth="1"/>
    <col min="14" max="14" width="12.28515625" style="645" customWidth="1"/>
    <col min="15" max="15" width="12.5703125" style="907" bestFit="1" customWidth="1"/>
    <col min="16" max="16" width="11.5703125" style="72" bestFit="1" customWidth="1"/>
    <col min="17" max="17" width="12.28515625" style="536" customWidth="1"/>
    <col min="18" max="18" width="12.28515625" style="652" customWidth="1"/>
    <col min="19" max="19" width="8.85546875" style="576"/>
  </cols>
  <sheetData>
    <row r="1" spans="1:22" x14ac:dyDescent="0.2">
      <c r="A1" s="666"/>
      <c r="B1" s="2544">
        <v>2003</v>
      </c>
      <c r="C1" s="2544"/>
      <c r="D1" s="2544"/>
      <c r="E1" s="2544"/>
      <c r="F1" s="2543">
        <v>2008</v>
      </c>
      <c r="G1" s="2544"/>
      <c r="H1" s="2544"/>
      <c r="I1" s="2545"/>
      <c r="J1" s="2543">
        <v>2010</v>
      </c>
      <c r="K1" s="2544"/>
      <c r="L1" s="2544"/>
      <c r="M1" s="2545"/>
      <c r="N1" s="1368"/>
      <c r="O1" s="2543">
        <v>2015</v>
      </c>
      <c r="P1" s="2544"/>
      <c r="Q1" s="2544"/>
      <c r="R1" s="2545"/>
      <c r="S1" s="65" t="s">
        <v>1542</v>
      </c>
    </row>
    <row r="2" spans="1:22" x14ac:dyDescent="0.2">
      <c r="A2" s="613" t="s">
        <v>604</v>
      </c>
      <c r="B2" s="620" t="s">
        <v>602</v>
      </c>
      <c r="C2" s="758" t="s">
        <v>601</v>
      </c>
      <c r="D2" s="633" t="s">
        <v>603</v>
      </c>
      <c r="E2" s="913" t="s">
        <v>420</v>
      </c>
      <c r="F2" s="302" t="s">
        <v>602</v>
      </c>
      <c r="G2" s="758" t="s">
        <v>601</v>
      </c>
      <c r="H2" s="633" t="s">
        <v>603</v>
      </c>
      <c r="I2" s="913" t="s">
        <v>420</v>
      </c>
      <c r="J2" s="302" t="s">
        <v>602</v>
      </c>
      <c r="K2" s="1263" t="s">
        <v>601</v>
      </c>
      <c r="L2" s="633" t="s">
        <v>603</v>
      </c>
      <c r="M2" s="666" t="s">
        <v>420</v>
      </c>
      <c r="N2" s="1486" t="s">
        <v>600</v>
      </c>
      <c r="O2" s="209" t="s">
        <v>602</v>
      </c>
      <c r="P2" s="1366" t="s">
        <v>601</v>
      </c>
      <c r="Q2" s="633" t="s">
        <v>603</v>
      </c>
      <c r="R2" s="666" t="s">
        <v>420</v>
      </c>
      <c r="S2" s="214" t="s">
        <v>1539</v>
      </c>
      <c r="T2" s="695"/>
      <c r="U2" s="1493" t="s">
        <v>1541</v>
      </c>
      <c r="V2" s="481"/>
    </row>
    <row r="3" spans="1:22" x14ac:dyDescent="0.2">
      <c r="A3" s="1467" t="s">
        <v>147</v>
      </c>
      <c r="B3" s="1610"/>
      <c r="C3" s="1611"/>
      <c r="D3" s="1612"/>
      <c r="E3" s="1613"/>
      <c r="F3" s="1676"/>
      <c r="G3" s="1611"/>
      <c r="H3" s="1612"/>
      <c r="I3" s="1613"/>
      <c r="J3" s="1676"/>
      <c r="K3" s="1611"/>
      <c r="L3" s="1612"/>
      <c r="M3" s="1677"/>
      <c r="N3" s="1677"/>
      <c r="O3" s="1614"/>
      <c r="P3" s="1611"/>
      <c r="Q3" s="1612"/>
      <c r="R3" s="1677"/>
      <c r="S3" s="1494"/>
      <c r="T3" s="1484"/>
      <c r="U3" s="1484"/>
      <c r="V3" s="1484"/>
    </row>
    <row r="4" spans="1:22" s="91" customFormat="1" x14ac:dyDescent="0.2">
      <c r="A4" s="260"/>
      <c r="B4" s="856"/>
      <c r="C4" s="889"/>
      <c r="D4" s="890"/>
      <c r="E4" s="891"/>
      <c r="F4" s="828"/>
      <c r="G4" s="135"/>
      <c r="H4" s="130"/>
      <c r="I4" s="632"/>
      <c r="J4" s="828"/>
      <c r="K4" s="135"/>
      <c r="L4" s="130"/>
      <c r="M4" s="761"/>
      <c r="N4" s="1385"/>
      <c r="O4" s="870"/>
      <c r="P4" s="135"/>
      <c r="Q4" s="226"/>
      <c r="R4" s="761"/>
      <c r="S4" s="690"/>
    </row>
    <row r="5" spans="1:22" s="91" customFormat="1" x14ac:dyDescent="0.2">
      <c r="A5" s="251" t="s">
        <v>803</v>
      </c>
      <c r="B5" s="856"/>
      <c r="C5" s="889"/>
      <c r="D5" s="890"/>
      <c r="E5" s="891"/>
      <c r="F5" s="828"/>
      <c r="G5" s="135"/>
      <c r="H5" s="130"/>
      <c r="I5" s="632"/>
      <c r="J5" s="828"/>
      <c r="K5" s="135"/>
      <c r="L5" s="130"/>
      <c r="M5" s="761"/>
      <c r="N5" s="1385"/>
      <c r="O5" s="870"/>
      <c r="P5" s="135"/>
      <c r="Q5" s="226"/>
      <c r="R5" s="761"/>
      <c r="S5" s="690"/>
    </row>
    <row r="6" spans="1:22" x14ac:dyDescent="0.2">
      <c r="A6" s="1483" t="s">
        <v>50</v>
      </c>
      <c r="B6" s="856"/>
      <c r="C6" s="889"/>
      <c r="D6" s="890"/>
      <c r="E6" s="891"/>
      <c r="F6" s="828"/>
      <c r="G6" s="135"/>
      <c r="H6" s="130"/>
      <c r="I6" s="632"/>
      <c r="J6" s="828"/>
      <c r="K6" s="135"/>
      <c r="L6" s="130"/>
      <c r="M6" s="761"/>
      <c r="N6" s="1385"/>
      <c r="O6" s="857"/>
      <c r="P6" s="135"/>
      <c r="Q6" s="226"/>
      <c r="R6" s="761"/>
    </row>
    <row r="7" spans="1:22" s="91" customFormat="1" x14ac:dyDescent="0.2">
      <c r="A7" s="622" t="s">
        <v>31</v>
      </c>
      <c r="B7" s="856"/>
      <c r="C7" s="889"/>
      <c r="D7" s="890"/>
      <c r="E7" s="891"/>
      <c r="F7" s="828"/>
      <c r="G7" s="135"/>
      <c r="H7" s="130"/>
      <c r="I7" s="632"/>
      <c r="J7" s="828"/>
      <c r="K7" s="135"/>
      <c r="L7" s="130"/>
      <c r="M7" s="761"/>
      <c r="N7" s="1385"/>
      <c r="O7" s="857"/>
      <c r="P7" s="135"/>
      <c r="Q7" s="226"/>
      <c r="R7" s="761"/>
      <c r="S7" s="690"/>
    </row>
    <row r="8" spans="1:22" x14ac:dyDescent="0.2">
      <c r="A8" s="120" t="s">
        <v>148</v>
      </c>
      <c r="B8" s="856"/>
      <c r="C8" s="889"/>
      <c r="D8" s="890"/>
      <c r="E8" s="891"/>
      <c r="F8" s="828"/>
      <c r="G8" s="135"/>
      <c r="H8" s="130"/>
      <c r="I8" s="632"/>
      <c r="J8" s="828"/>
      <c r="K8" s="135"/>
      <c r="L8" s="130"/>
      <c r="M8" s="761"/>
      <c r="N8" s="1385"/>
      <c r="O8" s="857"/>
      <c r="P8" s="135"/>
      <c r="Q8" s="226"/>
      <c r="R8" s="761"/>
      <c r="S8" s="690"/>
    </row>
    <row r="9" spans="1:22" x14ac:dyDescent="0.2">
      <c r="A9" s="113" t="s">
        <v>173</v>
      </c>
      <c r="B9" s="856"/>
      <c r="C9" s="889"/>
      <c r="D9" s="890"/>
      <c r="E9" s="891"/>
      <c r="F9" s="828"/>
      <c r="G9" s="138"/>
      <c r="H9" s="312"/>
      <c r="I9" s="632"/>
      <c r="J9" s="828"/>
      <c r="K9" s="138"/>
      <c r="L9" s="312"/>
      <c r="M9" s="761"/>
      <c r="N9" s="1385"/>
      <c r="O9" s="857"/>
      <c r="P9" s="138"/>
      <c r="Q9" s="226"/>
      <c r="R9" s="761"/>
      <c r="S9" s="690"/>
    </row>
    <row r="10" spans="1:22" ht="24" x14ac:dyDescent="0.2">
      <c r="A10" s="286" t="s">
        <v>969</v>
      </c>
      <c r="B10" s="856">
        <v>8141.5929999999998</v>
      </c>
      <c r="C10" s="892" t="s">
        <v>1424</v>
      </c>
      <c r="D10" s="893"/>
      <c r="E10" s="897" t="s">
        <v>2163</v>
      </c>
      <c r="F10" s="885">
        <v>782</v>
      </c>
      <c r="G10" s="893" t="s">
        <v>1424</v>
      </c>
      <c r="H10" s="226" t="s">
        <v>2182</v>
      </c>
      <c r="I10" s="761" t="s">
        <v>1414</v>
      </c>
      <c r="J10" s="968">
        <v>782</v>
      </c>
      <c r="K10" s="893" t="s">
        <v>1424</v>
      </c>
      <c r="L10" s="226" t="s">
        <v>2058</v>
      </c>
      <c r="N10" s="1385"/>
      <c r="O10" s="1595">
        <v>7063</v>
      </c>
      <c r="P10" s="893" t="s">
        <v>1424</v>
      </c>
      <c r="Q10" s="226" t="s">
        <v>2058</v>
      </c>
      <c r="R10" s="761"/>
      <c r="S10" s="914"/>
    </row>
    <row r="11" spans="1:22" ht="24" x14ac:dyDescent="0.2">
      <c r="A11" s="286" t="s">
        <v>970</v>
      </c>
      <c r="B11" s="856">
        <v>5808.0330000000004</v>
      </c>
      <c r="C11" s="892" t="s">
        <v>1424</v>
      </c>
      <c r="D11" s="893"/>
      <c r="E11" s="897" t="s">
        <v>2163</v>
      </c>
      <c r="F11" s="885">
        <v>8094</v>
      </c>
      <c r="G11" s="893" t="s">
        <v>1424</v>
      </c>
      <c r="H11" s="226" t="s">
        <v>2182</v>
      </c>
      <c r="I11" s="761" t="s">
        <v>1415</v>
      </c>
      <c r="J11" s="968">
        <v>8094</v>
      </c>
      <c r="K11" s="893" t="s">
        <v>1424</v>
      </c>
      <c r="L11" s="226" t="s">
        <v>2058</v>
      </c>
      <c r="O11" s="1595"/>
      <c r="P11" s="893" t="s">
        <v>1424</v>
      </c>
      <c r="Q11" s="226" t="s">
        <v>2058</v>
      </c>
      <c r="R11" s="761" t="s">
        <v>2161</v>
      </c>
      <c r="S11" s="914"/>
    </row>
    <row r="12" spans="1:22" ht="24" x14ac:dyDescent="0.2">
      <c r="A12" s="286" t="s">
        <v>971</v>
      </c>
      <c r="B12" s="856">
        <v>623.76900000000001</v>
      </c>
      <c r="C12" s="892" t="s">
        <v>1424</v>
      </c>
      <c r="D12" s="893"/>
      <c r="E12" s="897" t="s">
        <v>2163</v>
      </c>
      <c r="F12" s="885">
        <v>4247</v>
      </c>
      <c r="G12" s="893" t="s">
        <v>1424</v>
      </c>
      <c r="H12" s="226" t="s">
        <v>2182</v>
      </c>
      <c r="I12" s="761" t="s">
        <v>1416</v>
      </c>
      <c r="J12" s="968">
        <v>4247</v>
      </c>
      <c r="K12" s="893" t="s">
        <v>1424</v>
      </c>
      <c r="L12" s="226" t="s">
        <v>2058</v>
      </c>
      <c r="M12" s="761"/>
      <c r="O12" s="1595">
        <v>1657</v>
      </c>
      <c r="P12" s="893" t="s">
        <v>1424</v>
      </c>
      <c r="Q12" s="226" t="s">
        <v>2058</v>
      </c>
      <c r="R12" s="761"/>
      <c r="S12" s="914"/>
    </row>
    <row r="13" spans="1:22" ht="24" x14ac:dyDescent="0.2">
      <c r="A13" s="286" t="s">
        <v>972</v>
      </c>
      <c r="B13" s="856">
        <v>1150.4639999999999</v>
      </c>
      <c r="C13" s="892" t="s">
        <v>1424</v>
      </c>
      <c r="D13" s="893"/>
      <c r="E13" s="897" t="s">
        <v>2163</v>
      </c>
      <c r="F13" s="885">
        <v>4082</v>
      </c>
      <c r="G13" s="893" t="s">
        <v>1424</v>
      </c>
      <c r="H13" s="226" t="s">
        <v>2182</v>
      </c>
      <c r="I13" s="761" t="s">
        <v>1417</v>
      </c>
      <c r="J13" s="968">
        <v>4082</v>
      </c>
      <c r="K13" s="893" t="s">
        <v>1424</v>
      </c>
      <c r="L13" s="226" t="s">
        <v>2058</v>
      </c>
      <c r="M13" s="761"/>
      <c r="O13" s="1595">
        <v>4270</v>
      </c>
      <c r="P13" s="893" t="s">
        <v>1424</v>
      </c>
      <c r="Q13" s="226" t="s">
        <v>2058</v>
      </c>
      <c r="R13" s="761"/>
      <c r="S13" s="914"/>
    </row>
    <row r="14" spans="1:22" ht="24" x14ac:dyDescent="0.2">
      <c r="A14" s="286" t="s">
        <v>973</v>
      </c>
      <c r="B14" s="877">
        <v>14469</v>
      </c>
      <c r="C14" s="892" t="s">
        <v>1424</v>
      </c>
      <c r="D14" s="893"/>
      <c r="E14" s="897" t="s">
        <v>2163</v>
      </c>
      <c r="F14" s="885">
        <v>16038</v>
      </c>
      <c r="G14" s="893" t="s">
        <v>1424</v>
      </c>
      <c r="H14" s="226" t="s">
        <v>2182</v>
      </c>
      <c r="I14" s="761" t="s">
        <v>1413</v>
      </c>
      <c r="J14" s="968">
        <v>14919</v>
      </c>
      <c r="K14" s="893" t="s">
        <v>1424</v>
      </c>
      <c r="L14" s="226" t="s">
        <v>2182</v>
      </c>
      <c r="M14" s="761"/>
      <c r="O14" s="1595">
        <v>14776</v>
      </c>
      <c r="P14" s="2344" t="s">
        <v>1424</v>
      </c>
      <c r="Q14" s="226" t="s">
        <v>2058</v>
      </c>
      <c r="R14" s="761"/>
      <c r="S14" s="690"/>
    </row>
    <row r="15" spans="1:22" x14ac:dyDescent="0.2">
      <c r="A15" s="286"/>
      <c r="C15" s="892"/>
      <c r="D15" s="893"/>
      <c r="E15" s="894"/>
      <c r="F15" s="885"/>
      <c r="G15" s="893"/>
      <c r="H15" s="226"/>
      <c r="I15" s="761"/>
      <c r="J15" s="968"/>
      <c r="K15" s="893"/>
      <c r="L15" s="226"/>
      <c r="M15" s="761"/>
      <c r="O15" s="998"/>
      <c r="P15" s="893"/>
      <c r="Q15" s="131"/>
      <c r="R15" s="761"/>
      <c r="S15" s="690"/>
    </row>
    <row r="16" spans="1:22" x14ac:dyDescent="0.2">
      <c r="A16" s="1476" t="s">
        <v>686</v>
      </c>
      <c r="B16" s="878"/>
      <c r="C16" s="895"/>
      <c r="D16" s="896"/>
      <c r="E16" s="631"/>
      <c r="F16" s="886"/>
      <c r="G16" s="131"/>
      <c r="H16" s="131"/>
      <c r="I16" s="631"/>
      <c r="J16" s="886"/>
      <c r="K16" s="131"/>
      <c r="L16" s="131"/>
      <c r="M16" s="832"/>
      <c r="N16" s="1387"/>
      <c r="O16" s="320"/>
      <c r="P16" s="131"/>
      <c r="Q16" s="131"/>
      <c r="R16" s="832"/>
      <c r="S16" s="690"/>
    </row>
    <row r="17" spans="1:19" x14ac:dyDescent="0.2">
      <c r="A17" s="286" t="s">
        <v>804</v>
      </c>
      <c r="B17" s="777">
        <f>SUM(B10:B14)*1000</f>
        <v>30192859</v>
      </c>
      <c r="C17" s="835" t="s">
        <v>4</v>
      </c>
      <c r="D17" s="170"/>
      <c r="E17" s="897"/>
      <c r="F17" s="804">
        <f>SUM(F10:F14)*1000</f>
        <v>33243000</v>
      </c>
      <c r="G17" s="820" t="s">
        <v>805</v>
      </c>
      <c r="H17" s="130"/>
      <c r="I17" s="632"/>
      <c r="J17" s="804">
        <f>SUM(J10:J14)*1000</f>
        <v>32124000</v>
      </c>
      <c r="K17" s="820" t="s">
        <v>805</v>
      </c>
      <c r="L17" s="130"/>
      <c r="M17" s="761"/>
      <c r="N17" s="1385"/>
      <c r="O17" s="811">
        <f>SUM(O10:O14)*1000</f>
        <v>27766000</v>
      </c>
      <c r="P17" s="820" t="s">
        <v>4</v>
      </c>
      <c r="Q17" s="226"/>
      <c r="R17" s="761"/>
      <c r="S17" s="690"/>
    </row>
    <row r="18" spans="1:19" x14ac:dyDescent="0.2">
      <c r="A18" s="286" t="s">
        <v>806</v>
      </c>
      <c r="B18" s="879">
        <f>B17*thermTOTJ</f>
        <v>3182.8708100620006</v>
      </c>
      <c r="C18" s="835" t="s">
        <v>807</v>
      </c>
      <c r="D18" s="219"/>
      <c r="E18" s="898"/>
      <c r="F18" s="803">
        <f>F17*thermTOTJ</f>
        <v>3504.4105740000009</v>
      </c>
      <c r="G18" s="820" t="s">
        <v>808</v>
      </c>
      <c r="H18" s="130"/>
      <c r="I18" s="632"/>
      <c r="J18" s="803">
        <f>J17*thermTOTJ</f>
        <v>3386.4478320000007</v>
      </c>
      <c r="K18" s="820" t="s">
        <v>808</v>
      </c>
      <c r="L18" s="130"/>
      <c r="M18" s="761"/>
      <c r="N18" s="1385"/>
      <c r="O18" s="879">
        <f>O17*thermTOTJ</f>
        <v>2927.0361880000009</v>
      </c>
      <c r="P18" s="820" t="s">
        <v>807</v>
      </c>
      <c r="Q18" s="226"/>
      <c r="R18" s="761"/>
      <c r="S18" s="690"/>
    </row>
    <row r="19" spans="1:19" x14ac:dyDescent="0.2">
      <c r="A19" s="286"/>
      <c r="B19" s="803">
        <f>B17*thermTOBtu*10^-6</f>
        <v>3019285.9</v>
      </c>
      <c r="C19" s="536" t="s">
        <v>2104</v>
      </c>
      <c r="D19" s="219"/>
      <c r="E19" s="898"/>
      <c r="F19" s="803">
        <f>F17*thermTOBtu*10^-6</f>
        <v>3324300</v>
      </c>
      <c r="G19" s="536" t="s">
        <v>2104</v>
      </c>
      <c r="H19" s="130"/>
      <c r="I19" s="632"/>
      <c r="J19" s="803">
        <f>J17*thermTOBtu*10^-6</f>
        <v>3212400</v>
      </c>
      <c r="K19" s="536" t="s">
        <v>2104</v>
      </c>
      <c r="L19" s="130"/>
      <c r="M19" s="761"/>
      <c r="N19" s="1385"/>
      <c r="O19" s="803">
        <f>O17*thermTOBtu*10^-6</f>
        <v>2776600</v>
      </c>
      <c r="P19" s="536" t="s">
        <v>2104</v>
      </c>
      <c r="Q19" s="226"/>
      <c r="R19" s="761"/>
      <c r="S19" s="690"/>
    </row>
    <row r="20" spans="1:19" ht="13.5" x14ac:dyDescent="0.2">
      <c r="A20" s="256" t="s">
        <v>809</v>
      </c>
      <c r="B20" s="880">
        <f>B19*'Emission Factors'!C112*10^-6+B19*efgas.res.ch4*GWPCH4*10^-6+B19*efgas.res.n2o*GWPN2O*10^-6</f>
        <v>161145.62898338999</v>
      </c>
      <c r="C20" s="865" t="s">
        <v>940</v>
      </c>
      <c r="D20" s="623"/>
      <c r="E20" s="899"/>
      <c r="F20" s="880">
        <f>F19*'Emission Factors'!C112*10^-6+F19*efgas.res.ch4*GWPCH4*10^-6+F19*efgas.res.n2o*GWPN2O*10^-6</f>
        <v>177424.87202999997</v>
      </c>
      <c r="G20" s="865" t="s">
        <v>940</v>
      </c>
      <c r="H20" s="130"/>
      <c r="I20" s="632"/>
      <c r="J20" s="880">
        <f>J19*'Emission Factors'!C112*10^-6+J19*efgas.res.ch4*GWPCH4*10^-6+J19*efgas.res.n2o*GWPN2O*10^-6</f>
        <v>171452.53404</v>
      </c>
      <c r="K20" s="865" t="s">
        <v>940</v>
      </c>
      <c r="L20" s="130"/>
      <c r="M20" s="761"/>
      <c r="N20" s="1385"/>
      <c r="O20" s="880">
        <f>O19*'Emission Factors'!C112*10^-6+O19*efgas.res.ch4*GWPCH4*10^-6+O19*efgas.res.n2o*GWPN2O*10^-6</f>
        <v>148192.97285999998</v>
      </c>
      <c r="P20" s="865" t="s">
        <v>940</v>
      </c>
      <c r="Q20" s="226"/>
      <c r="R20" s="761"/>
      <c r="S20" s="690"/>
    </row>
    <row r="21" spans="1:19" x14ac:dyDescent="0.2">
      <c r="A21" s="286"/>
      <c r="B21" s="856"/>
      <c r="C21" s="870"/>
      <c r="D21" s="900"/>
      <c r="E21" s="632"/>
      <c r="F21" s="828"/>
      <c r="G21" s="135"/>
      <c r="H21" s="130"/>
      <c r="I21" s="632"/>
      <c r="J21" s="828"/>
      <c r="K21" s="135"/>
      <c r="L21" s="130"/>
      <c r="M21" s="761"/>
      <c r="N21" s="1385"/>
      <c r="P21" s="135"/>
      <c r="Q21" s="226"/>
      <c r="R21" s="761"/>
      <c r="S21" s="690"/>
    </row>
    <row r="22" spans="1:19" x14ac:dyDescent="0.2">
      <c r="A22" s="251" t="s">
        <v>685</v>
      </c>
      <c r="B22" s="856"/>
      <c r="C22" s="870"/>
      <c r="D22" s="900"/>
      <c r="E22" s="632"/>
      <c r="F22" s="828"/>
      <c r="G22" s="135"/>
      <c r="H22" s="130"/>
      <c r="I22" s="632"/>
      <c r="J22" s="828"/>
      <c r="K22" s="135"/>
      <c r="L22" s="130"/>
      <c r="M22" s="761"/>
      <c r="N22" s="1385"/>
      <c r="O22" s="823"/>
      <c r="P22" s="135"/>
      <c r="Q22" s="226"/>
      <c r="R22" s="761"/>
      <c r="S22" s="690"/>
    </row>
    <row r="23" spans="1:19" x14ac:dyDescent="0.2">
      <c r="A23" s="1483" t="s">
        <v>50</v>
      </c>
      <c r="B23" s="856"/>
      <c r="C23" s="870"/>
      <c r="D23" s="900"/>
      <c r="E23" s="632"/>
      <c r="F23" s="828"/>
      <c r="G23" s="135"/>
      <c r="H23" s="130"/>
      <c r="I23" s="632"/>
      <c r="J23" s="828"/>
      <c r="K23" s="135"/>
      <c r="L23" s="130"/>
      <c r="M23" s="761"/>
      <c r="N23" s="1385"/>
      <c r="O23" s="823"/>
      <c r="P23" s="135"/>
      <c r="Q23" s="226"/>
      <c r="R23" s="761"/>
      <c r="S23" s="690"/>
    </row>
    <row r="24" spans="1:19" x14ac:dyDescent="0.2">
      <c r="A24" s="622" t="s">
        <v>51</v>
      </c>
      <c r="B24" s="856"/>
      <c r="C24" s="226"/>
      <c r="D24" s="900"/>
      <c r="E24" s="632"/>
      <c r="F24" s="828"/>
      <c r="G24" s="135"/>
      <c r="H24" s="130"/>
      <c r="I24" s="632"/>
      <c r="J24" s="828"/>
      <c r="K24" s="135"/>
      <c r="L24" s="130"/>
      <c r="M24" s="761"/>
      <c r="N24" s="1385"/>
      <c r="O24" s="823"/>
      <c r="P24" s="135"/>
      <c r="Q24" s="226"/>
      <c r="R24" s="761"/>
      <c r="S24" s="690"/>
    </row>
    <row r="25" spans="1:19" x14ac:dyDescent="0.2">
      <c r="A25" s="286" t="s">
        <v>974</v>
      </c>
      <c r="B25" s="877" t="s">
        <v>1017</v>
      </c>
      <c r="C25" s="819" t="s">
        <v>1423</v>
      </c>
      <c r="D25" s="901"/>
      <c r="E25" s="894"/>
      <c r="F25" s="885">
        <v>19</v>
      </c>
      <c r="G25" s="893" t="s">
        <v>1423</v>
      </c>
      <c r="H25" s="226" t="s">
        <v>2182</v>
      </c>
      <c r="I25" s="652" t="s">
        <v>1420</v>
      </c>
      <c r="J25" s="1327">
        <v>19</v>
      </c>
      <c r="K25" s="893" t="s">
        <v>1423</v>
      </c>
      <c r="L25" s="226" t="s">
        <v>2058</v>
      </c>
      <c r="O25" s="998"/>
      <c r="P25" s="893" t="s">
        <v>1423</v>
      </c>
      <c r="Q25" s="2345" t="s">
        <v>2058</v>
      </c>
      <c r="R25" s="652" t="s">
        <v>2160</v>
      </c>
      <c r="S25" s="690"/>
    </row>
    <row r="26" spans="1:19" ht="15" customHeight="1" x14ac:dyDescent="0.2">
      <c r="A26" s="286" t="s">
        <v>975</v>
      </c>
      <c r="B26" s="877" t="s">
        <v>1017</v>
      </c>
      <c r="C26" s="893" t="s">
        <v>1423</v>
      </c>
      <c r="D26" s="901"/>
      <c r="E26" s="894"/>
      <c r="F26" s="885">
        <v>28</v>
      </c>
      <c r="G26" s="893" t="s">
        <v>1423</v>
      </c>
      <c r="H26" s="226" t="s">
        <v>2182</v>
      </c>
      <c r="I26" s="652" t="s">
        <v>1421</v>
      </c>
      <c r="J26" s="1327">
        <v>28</v>
      </c>
      <c r="K26" s="893" t="s">
        <v>1423</v>
      </c>
      <c r="L26" s="226" t="s">
        <v>2058</v>
      </c>
      <c r="O26" s="998"/>
      <c r="P26" s="893" t="s">
        <v>1423</v>
      </c>
      <c r="Q26" s="2345" t="s">
        <v>2058</v>
      </c>
      <c r="R26" s="652" t="s">
        <v>2160</v>
      </c>
      <c r="S26" s="914"/>
    </row>
    <row r="27" spans="1:19" ht="15" customHeight="1" x14ac:dyDescent="0.2">
      <c r="A27" s="286" t="s">
        <v>976</v>
      </c>
      <c r="B27" s="877" t="s">
        <v>1017</v>
      </c>
      <c r="C27" s="893" t="s">
        <v>1423</v>
      </c>
      <c r="D27" s="901"/>
      <c r="E27" s="894"/>
      <c r="F27" s="885">
        <v>7</v>
      </c>
      <c r="G27" s="893" t="s">
        <v>1423</v>
      </c>
      <c r="H27" s="226" t="s">
        <v>2182</v>
      </c>
      <c r="I27" s="761" t="s">
        <v>1422</v>
      </c>
      <c r="J27" s="1327">
        <v>7</v>
      </c>
      <c r="K27" s="893" t="s">
        <v>1423</v>
      </c>
      <c r="L27" s="226" t="s">
        <v>2058</v>
      </c>
      <c r="M27" s="761"/>
      <c r="O27" s="998"/>
      <c r="P27" s="893" t="s">
        <v>1423</v>
      </c>
      <c r="Q27" s="2345" t="s">
        <v>2058</v>
      </c>
      <c r="R27" s="2346" t="s">
        <v>2160</v>
      </c>
      <c r="S27" s="914"/>
    </row>
    <row r="28" spans="1:19" x14ac:dyDescent="0.2">
      <c r="A28" s="1476" t="s">
        <v>686</v>
      </c>
      <c r="B28" s="878"/>
      <c r="C28" s="138"/>
      <c r="D28" s="896"/>
      <c r="E28" s="631"/>
      <c r="G28" s="138"/>
      <c r="H28" s="312"/>
      <c r="I28" s="631"/>
      <c r="K28" s="138"/>
      <c r="L28" s="312"/>
      <c r="M28" s="832"/>
      <c r="N28" s="1387"/>
      <c r="O28" s="788"/>
      <c r="P28" s="138"/>
      <c r="Q28" s="131"/>
      <c r="R28" s="832"/>
      <c r="S28" s="690"/>
    </row>
    <row r="29" spans="1:19" x14ac:dyDescent="0.2">
      <c r="A29" s="286" t="s">
        <v>687</v>
      </c>
      <c r="B29" s="777">
        <f>SUM(B25:B27)*1000</f>
        <v>0</v>
      </c>
      <c r="C29" s="536" t="s">
        <v>30</v>
      </c>
      <c r="D29" s="170"/>
      <c r="E29" s="897"/>
      <c r="F29" s="804">
        <f>SUM(F25:F27)*1000</f>
        <v>54000</v>
      </c>
      <c r="G29" s="536" t="s">
        <v>30</v>
      </c>
      <c r="H29" s="130"/>
      <c r="I29" s="632"/>
      <c r="J29" s="804">
        <f>SUM(J25:J27)*1000</f>
        <v>54000</v>
      </c>
      <c r="K29" s="536" t="s">
        <v>30</v>
      </c>
      <c r="L29" s="130"/>
      <c r="M29" s="761"/>
      <c r="N29" s="1385"/>
      <c r="O29" s="811">
        <f>SUM(O25:O27)*1000</f>
        <v>0</v>
      </c>
      <c r="P29" s="536" t="s">
        <v>30</v>
      </c>
      <c r="Q29" s="226"/>
      <c r="R29" s="761"/>
      <c r="S29" s="690"/>
    </row>
    <row r="30" spans="1:19" ht="13.5" x14ac:dyDescent="0.2">
      <c r="A30" s="256" t="s">
        <v>809</v>
      </c>
      <c r="B30" s="880">
        <f>B29*efgdistillate/1000000</f>
        <v>0</v>
      </c>
      <c r="C30" s="865" t="s">
        <v>940</v>
      </c>
      <c r="D30" s="902"/>
      <c r="E30" s="903"/>
      <c r="F30" s="887">
        <f>F29*efgdistillate/1000000</f>
        <v>551.97471080411503</v>
      </c>
      <c r="G30" s="865" t="s">
        <v>940</v>
      </c>
      <c r="H30" s="130"/>
      <c r="I30" s="632"/>
      <c r="J30" s="881">
        <f>J29*efgdistillate/1000000</f>
        <v>551.97471080411503</v>
      </c>
      <c r="K30" s="865" t="s">
        <v>940</v>
      </c>
      <c r="L30" s="130"/>
      <c r="M30" s="761"/>
      <c r="N30" s="1385"/>
      <c r="O30" s="880">
        <f>O29*efgdistillate/1000000</f>
        <v>0</v>
      </c>
      <c r="P30" s="865" t="s">
        <v>940</v>
      </c>
      <c r="Q30" s="226"/>
      <c r="R30" s="761"/>
      <c r="S30" s="690"/>
    </row>
    <row r="31" spans="1:19" x14ac:dyDescent="0.2">
      <c r="O31" s="811"/>
      <c r="S31" s="690"/>
    </row>
    <row r="32" spans="1:19" s="91" customFormat="1" x14ac:dyDescent="0.2">
      <c r="A32" s="251" t="s">
        <v>95</v>
      </c>
      <c r="B32" s="856"/>
      <c r="C32" s="889"/>
      <c r="D32" s="890"/>
      <c r="E32" s="891"/>
      <c r="F32" s="830"/>
      <c r="G32" s="135"/>
      <c r="H32" s="130"/>
      <c r="I32" s="632"/>
      <c r="J32" s="830"/>
      <c r="K32" s="135"/>
      <c r="L32" s="130"/>
      <c r="M32" s="761"/>
      <c r="N32" s="1385"/>
      <c r="O32" s="855"/>
      <c r="P32" s="135"/>
      <c r="Q32" s="226"/>
      <c r="R32" s="761"/>
      <c r="S32" s="690"/>
    </row>
    <row r="33" spans="1:19" x14ac:dyDescent="0.2">
      <c r="A33" s="1483" t="s">
        <v>210</v>
      </c>
      <c r="B33" s="856"/>
      <c r="C33" s="889"/>
      <c r="D33" s="890"/>
      <c r="E33" s="891"/>
      <c r="F33" s="798"/>
      <c r="G33" s="135"/>
      <c r="H33" s="130"/>
      <c r="I33" s="632"/>
      <c r="J33" s="798"/>
      <c r="K33" s="135"/>
      <c r="L33" s="130"/>
      <c r="M33" s="761"/>
      <c r="N33" s="646"/>
      <c r="O33" s="788"/>
      <c r="P33" s="135"/>
      <c r="Q33" s="226"/>
      <c r="R33" s="761"/>
      <c r="S33" s="690"/>
    </row>
    <row r="34" spans="1:19" x14ac:dyDescent="0.2">
      <c r="A34" s="614" t="s">
        <v>1203</v>
      </c>
      <c r="B34" s="829">
        <v>193958887</v>
      </c>
      <c r="C34" s="392" t="s">
        <v>620</v>
      </c>
      <c r="D34" s="72" t="s">
        <v>2183</v>
      </c>
      <c r="E34" s="632" t="s">
        <v>1063</v>
      </c>
      <c r="F34" s="798">
        <v>220301351</v>
      </c>
      <c r="G34" s="392" t="s">
        <v>620</v>
      </c>
      <c r="H34" s="72" t="s">
        <v>1220</v>
      </c>
      <c r="I34" s="632" t="s">
        <v>1060</v>
      </c>
      <c r="J34" s="798">
        <v>205514149</v>
      </c>
      <c r="K34" s="392" t="s">
        <v>620</v>
      </c>
      <c r="L34" s="72" t="s">
        <v>1398</v>
      </c>
      <c r="M34" s="761"/>
      <c r="N34" s="646"/>
      <c r="O34" s="1600">
        <v>215167602.31999999</v>
      </c>
      <c r="P34" s="392" t="s">
        <v>620</v>
      </c>
      <c r="Q34" t="s">
        <v>2165</v>
      </c>
      <c r="R34" s="761"/>
      <c r="S34" s="690"/>
    </row>
    <row r="35" spans="1:19" x14ac:dyDescent="0.2">
      <c r="A35" s="606"/>
      <c r="B35" s="827">
        <f>B34*thermTOBtu*10^-6</f>
        <v>19395888.699999999</v>
      </c>
      <c r="C35" s="226" t="s">
        <v>2104</v>
      </c>
      <c r="D35" s="131"/>
      <c r="E35" s="631"/>
      <c r="F35" s="827">
        <f>F34*thermTOBtu*10^-6</f>
        <v>22030135.099999998</v>
      </c>
      <c r="G35" s="226" t="s">
        <v>2104</v>
      </c>
      <c r="H35" s="131"/>
      <c r="I35" s="631"/>
      <c r="J35" s="827">
        <f>J34*thermTOBtu*10^-6</f>
        <v>20551414.899999999</v>
      </c>
      <c r="K35" s="226" t="s">
        <v>2104</v>
      </c>
      <c r="L35" s="131"/>
      <c r="M35" s="761"/>
      <c r="N35" s="1387"/>
      <c r="O35" s="827">
        <f>O34*thermTOBtu*10^-6</f>
        <v>21516760.232000001</v>
      </c>
      <c r="P35" s="226" t="s">
        <v>2104</v>
      </c>
      <c r="Q35" s="226"/>
      <c r="R35" s="761"/>
    </row>
    <row r="36" spans="1:19" s="2108" customFormat="1" ht="13.5" x14ac:dyDescent="0.2">
      <c r="A36" s="1669" t="s">
        <v>104</v>
      </c>
      <c r="B36" s="2284">
        <f>B35*'Emission Factors'!C112*10^-6+B35*efgas.res.ch4*GWPCH4*10^-6+B35*efgas.res.n2o*GWPN2O*10^-6</f>
        <v>1035199.31128527</v>
      </c>
      <c r="C36" s="1670" t="s">
        <v>207</v>
      </c>
      <c r="D36" s="2105"/>
      <c r="E36" s="2276"/>
      <c r="F36" s="2284">
        <f>F35*'Emission Factors'!C112*10^-6+F35*efgas.res.ch4*GWPCH4*10^-6+F35*efgas.res.n2o*GWPN2O*10^-6</f>
        <v>1175794.5735707099</v>
      </c>
      <c r="G36" s="1670" t="s">
        <v>207</v>
      </c>
      <c r="H36" s="2105"/>
      <c r="I36" s="2276"/>
      <c r="J36" s="2284">
        <f>J35*'Emission Factors'!C112*10^-6+J35*efgas.res.ch4*GWPCH4*10^-6+J35*efgas.res.n2o*GWPN2O*10^-6</f>
        <v>1096872.1711842897</v>
      </c>
      <c r="K36" s="1670" t="s">
        <v>207</v>
      </c>
      <c r="L36" s="2105"/>
      <c r="M36" s="2277"/>
      <c r="N36" s="2278"/>
      <c r="O36" s="2284">
        <f>O35*'Emission Factors'!C112*10^-6+O35*efgas.res.ch4*GWPCH4*10^-6+O35*efgas.res.n2o*GWPN2O*10^-6</f>
        <v>1148394.6787783271</v>
      </c>
      <c r="P36" s="1670" t="s">
        <v>207</v>
      </c>
      <c r="Q36" s="2105"/>
      <c r="R36" s="2277"/>
      <c r="S36" s="2107"/>
    </row>
    <row r="37" spans="1:19" x14ac:dyDescent="0.2">
      <c r="A37" s="117"/>
      <c r="B37" s="856"/>
      <c r="C37" s="889"/>
      <c r="D37" s="890"/>
      <c r="E37" s="891"/>
      <c r="F37" s="1009"/>
      <c r="G37" s="135"/>
      <c r="H37" s="130"/>
      <c r="I37" s="632"/>
      <c r="J37" s="2282"/>
      <c r="K37" s="135"/>
      <c r="L37" s="130"/>
      <c r="M37" s="761"/>
      <c r="O37" s="1679"/>
      <c r="P37" s="135"/>
      <c r="Q37" s="226"/>
      <c r="R37" s="761"/>
    </row>
    <row r="38" spans="1:19" s="91" customFormat="1" x14ac:dyDescent="0.2">
      <c r="A38" s="676" t="s">
        <v>67</v>
      </c>
      <c r="B38" s="856"/>
      <c r="C38" s="889"/>
      <c r="D38" s="890"/>
      <c r="E38" s="891"/>
      <c r="F38" s="830"/>
      <c r="G38" s="135"/>
      <c r="H38" s="130"/>
      <c r="I38" s="632"/>
      <c r="J38" s="830"/>
      <c r="K38" s="135"/>
      <c r="L38" s="130"/>
      <c r="M38" s="761"/>
      <c r="N38" s="646"/>
      <c r="O38" s="855"/>
      <c r="P38" s="135"/>
      <c r="Q38" s="226"/>
      <c r="R38" s="761"/>
      <c r="S38" s="690"/>
    </row>
    <row r="39" spans="1:19" x14ac:dyDescent="0.2">
      <c r="A39" s="391" t="s">
        <v>110</v>
      </c>
      <c r="B39" s="2362">
        <v>2003</v>
      </c>
      <c r="C39" s="904"/>
      <c r="D39" s="905"/>
      <c r="E39" s="906"/>
      <c r="F39" s="888">
        <v>2008</v>
      </c>
      <c r="G39" s="135"/>
      <c r="H39" s="130"/>
      <c r="I39" s="632"/>
      <c r="J39" s="888">
        <v>2010</v>
      </c>
      <c r="K39" s="135"/>
      <c r="L39" s="130"/>
      <c r="M39" s="761"/>
      <c r="O39" s="858">
        <v>2011</v>
      </c>
      <c r="P39" s="135"/>
      <c r="Q39" s="226"/>
      <c r="R39" s="761"/>
    </row>
    <row r="40" spans="1:19" x14ac:dyDescent="0.2">
      <c r="A40" s="113" t="s">
        <v>290</v>
      </c>
      <c r="B40" s="856">
        <v>48069</v>
      </c>
      <c r="C40" s="870" t="s">
        <v>298</v>
      </c>
      <c r="D40" s="226" t="s">
        <v>2181</v>
      </c>
      <c r="E40" s="761" t="s">
        <v>1419</v>
      </c>
      <c r="F40" s="798">
        <v>53380</v>
      </c>
      <c r="G40" s="910" t="s">
        <v>298</v>
      </c>
      <c r="H40" s="226" t="s">
        <v>2181</v>
      </c>
      <c r="I40" s="652" t="s">
        <v>1418</v>
      </c>
      <c r="J40" s="798">
        <v>61634</v>
      </c>
      <c r="K40" s="910" t="s">
        <v>298</v>
      </c>
      <c r="L40" s="226" t="s">
        <v>2181</v>
      </c>
      <c r="M40" s="652" t="s">
        <v>1503</v>
      </c>
      <c r="N40" s="1377"/>
      <c r="O40" s="1600">
        <f>54067+209</f>
        <v>54276</v>
      </c>
      <c r="P40" s="1678" t="s">
        <v>298</v>
      </c>
      <c r="Q40" s="536" t="s">
        <v>1818</v>
      </c>
    </row>
    <row r="41" spans="1:19" ht="12.75" customHeight="1" x14ac:dyDescent="0.2">
      <c r="A41" s="113" t="s">
        <v>1049</v>
      </c>
      <c r="B41" s="799">
        <f>empComKC03/empComWA03</f>
        <v>0.42491342656508718</v>
      </c>
      <c r="C41" s="870"/>
      <c r="D41" s="226" t="s">
        <v>1409</v>
      </c>
      <c r="E41" s="632"/>
      <c r="F41" s="799">
        <f>empComKC08/empComWA08</f>
        <v>0.44775413514783308</v>
      </c>
      <c r="G41" s="911"/>
      <c r="H41" s="226" t="s">
        <v>1409</v>
      </c>
      <c r="I41" s="632"/>
      <c r="J41" s="799">
        <f>empComKC10/empComWA10</f>
        <v>0.41648642008820197</v>
      </c>
      <c r="K41" s="910"/>
      <c r="L41" s="226"/>
      <c r="N41" s="1385"/>
      <c r="O41" s="1680">
        <f>ref!C139/ref!C147</f>
        <v>0.45587979725912636</v>
      </c>
      <c r="P41" s="910"/>
      <c r="R41" s="761"/>
      <c r="S41" s="573"/>
    </row>
    <row r="42" spans="1:19" ht="11.25" customHeight="1" x14ac:dyDescent="0.2">
      <c r="A42" s="1476" t="s">
        <v>152</v>
      </c>
      <c r="B42" s="856"/>
      <c r="C42" s="895"/>
      <c r="D42" s="896"/>
      <c r="E42" s="631"/>
      <c r="F42" s="886"/>
      <c r="G42" s="131"/>
      <c r="H42" s="131"/>
      <c r="I42" s="631"/>
      <c r="J42" s="886"/>
      <c r="K42" s="131"/>
      <c r="L42" s="131"/>
      <c r="M42" s="832"/>
      <c r="N42" s="1387"/>
      <c r="O42" s="320"/>
      <c r="P42" s="131"/>
      <c r="Q42" s="131"/>
      <c r="R42" s="832"/>
    </row>
    <row r="43" spans="1:19" s="91" customFormat="1" ht="11.25" customHeight="1" x14ac:dyDescent="0.2">
      <c r="A43" s="614" t="s">
        <v>1985</v>
      </c>
      <c r="B43" s="856">
        <f>B40*1000</f>
        <v>48069000</v>
      </c>
      <c r="C43" s="226" t="s">
        <v>654</v>
      </c>
      <c r="D43" s="896"/>
      <c r="E43" s="631"/>
      <c r="F43" s="827">
        <f>F40*1000</f>
        <v>53380000</v>
      </c>
      <c r="G43" s="226" t="s">
        <v>654</v>
      </c>
      <c r="H43" s="131"/>
      <c r="I43" s="631"/>
      <c r="J43" s="827">
        <f>J40*1000</f>
        <v>61634000</v>
      </c>
      <c r="K43" s="226" t="s">
        <v>654</v>
      </c>
      <c r="L43" s="131"/>
      <c r="M43" s="832"/>
      <c r="N43" s="1387"/>
      <c r="O43" s="269">
        <f>O40*1000</f>
        <v>54276000</v>
      </c>
      <c r="P43" s="226" t="s">
        <v>654</v>
      </c>
      <c r="Q43" s="131"/>
      <c r="R43" s="832"/>
      <c r="S43" s="690"/>
    </row>
    <row r="44" spans="1:19" s="91" customFormat="1" ht="11.25" customHeight="1" x14ac:dyDescent="0.2">
      <c r="A44" s="614" t="s">
        <v>2162</v>
      </c>
      <c r="B44" s="856">
        <f>B43*B41</f>
        <v>20425163.501557175</v>
      </c>
      <c r="C44" s="226" t="s">
        <v>654</v>
      </c>
      <c r="D44" s="896"/>
      <c r="E44" s="631"/>
      <c r="F44" s="827">
        <f>F43*F41</f>
        <v>23901115.734191328</v>
      </c>
      <c r="G44" s="226" t="s">
        <v>654</v>
      </c>
      <c r="H44" s="131"/>
      <c r="I44" s="631"/>
      <c r="J44" s="827">
        <f>J43*J41</f>
        <v>25669724.01571624</v>
      </c>
      <c r="K44" s="226" t="s">
        <v>654</v>
      </c>
      <c r="L44" s="131"/>
      <c r="M44" s="832"/>
      <c r="N44" s="1387"/>
      <c r="O44" s="269">
        <f>O43*O41</f>
        <v>24743331.876036342</v>
      </c>
      <c r="P44" s="226" t="s">
        <v>654</v>
      </c>
      <c r="Q44" s="131"/>
      <c r="R44" s="832"/>
      <c r="S44" s="690"/>
    </row>
    <row r="45" spans="1:19" s="2108" customFormat="1" ht="13.5" x14ac:dyDescent="0.2">
      <c r="A45" s="1669" t="s">
        <v>115</v>
      </c>
      <c r="B45" s="2109">
        <f>B44*efgdistillate/1000000+B44*efgdistillate.com.ch4*GWPCH4/1000000+B44*efgdistillate.com.n2o*GWPN2O/1000000</f>
        <v>210057.56747623233</v>
      </c>
      <c r="C45" s="1670" t="s">
        <v>207</v>
      </c>
      <c r="D45" s="2104"/>
      <c r="E45" s="1673" t="s">
        <v>1980</v>
      </c>
      <c r="F45" s="2109">
        <f>F44*efgdistillate/1000000+F44*efgdistillate.com.ch4*GWPCH4/1000000+F44*efgdistillate.com.n2o*GWPN2O/1000000</f>
        <v>245805.14279405258</v>
      </c>
      <c r="G45" s="1670" t="s">
        <v>207</v>
      </c>
      <c r="H45" s="2105"/>
      <c r="I45" s="1673" t="s">
        <v>1980</v>
      </c>
      <c r="J45" s="2109">
        <f>J44*efgdistillate/1000000+J44*efgdistillate.com.ch4*21/1000000+J44*efgdistillate.com.n2o*GWPN2O/1000000</f>
        <v>263993.95941758261</v>
      </c>
      <c r="K45" s="1670" t="s">
        <v>207</v>
      </c>
      <c r="L45" s="2105"/>
      <c r="M45" s="1673" t="s">
        <v>1980</v>
      </c>
      <c r="N45" s="2106"/>
      <c r="O45" s="1564">
        <f>O44*efgdistillate/1000000+O44*efgdistillate.com.ch4*GWPCH4/1000000+O44*efgdistillate.com.n2o*GWPN2O/1000000</f>
        <v>254466.70743864859</v>
      </c>
      <c r="P45" s="1670" t="s">
        <v>207</v>
      </c>
      <c r="Q45" s="2105"/>
      <c r="R45" s="1673" t="s">
        <v>1980</v>
      </c>
      <c r="S45" s="2107"/>
    </row>
    <row r="46" spans="1:19" x14ac:dyDescent="0.2">
      <c r="A46" s="285"/>
      <c r="B46" s="856"/>
      <c r="C46" s="870"/>
      <c r="D46" s="900"/>
      <c r="E46" s="632"/>
      <c r="F46" s="801"/>
      <c r="G46" s="912"/>
      <c r="H46" s="130"/>
      <c r="I46" s="632"/>
      <c r="J46" s="801"/>
      <c r="K46" s="912"/>
      <c r="L46" s="130"/>
      <c r="M46" s="761"/>
      <c r="N46" s="1385"/>
      <c r="O46" s="870"/>
      <c r="P46" s="912"/>
      <c r="Q46" s="226"/>
      <c r="R46" s="761"/>
      <c r="S46" s="690"/>
    </row>
    <row r="47" spans="1:19" x14ac:dyDescent="0.2">
      <c r="A47" s="285"/>
      <c r="B47" s="856"/>
      <c r="C47" s="870"/>
      <c r="D47" s="900"/>
      <c r="E47" s="632"/>
      <c r="F47" s="801"/>
      <c r="G47" s="912"/>
      <c r="H47" s="130"/>
      <c r="I47" s="632"/>
      <c r="J47" s="801"/>
      <c r="K47" s="912"/>
      <c r="L47" s="130"/>
      <c r="M47" s="761"/>
      <c r="N47" s="1385"/>
      <c r="O47" s="870"/>
      <c r="P47" s="912"/>
      <c r="Q47" s="226"/>
      <c r="R47" s="761"/>
      <c r="S47" s="690"/>
    </row>
    <row r="49" spans="1:6" x14ac:dyDescent="0.2">
      <c r="A49" s="617"/>
      <c r="B49" s="856"/>
      <c r="C49" s="889"/>
      <c r="D49" s="890"/>
      <c r="E49" s="891"/>
      <c r="F49" s="828"/>
    </row>
    <row r="50" spans="1:6" x14ac:dyDescent="0.2">
      <c r="A50" s="617"/>
      <c r="B50" s="856"/>
      <c r="C50" s="889"/>
      <c r="D50" s="890"/>
      <c r="E50" s="891"/>
      <c r="F50" s="798"/>
    </row>
    <row r="51" spans="1:6" x14ac:dyDescent="0.2">
      <c r="A51" s="617"/>
      <c r="B51" s="856"/>
      <c r="C51" s="889"/>
      <c r="D51" s="890"/>
      <c r="E51" s="891"/>
      <c r="F51" s="828"/>
    </row>
    <row r="52" spans="1:6" x14ac:dyDescent="0.2">
      <c r="A52" s="617"/>
      <c r="B52" s="856"/>
      <c r="C52" s="889"/>
      <c r="D52" s="890"/>
      <c r="E52" s="891"/>
      <c r="F52" s="828"/>
    </row>
    <row r="53" spans="1:6" x14ac:dyDescent="0.2">
      <c r="A53" s="617"/>
      <c r="B53" s="856"/>
      <c r="C53" s="889"/>
      <c r="D53" s="890"/>
      <c r="E53" s="891"/>
      <c r="F53" s="916"/>
    </row>
    <row r="54" spans="1:6" x14ac:dyDescent="0.2">
      <c r="A54" s="617"/>
      <c r="B54" s="856"/>
      <c r="C54" s="889"/>
      <c r="D54" s="890"/>
      <c r="E54" s="891"/>
      <c r="F54" s="830"/>
    </row>
    <row r="55" spans="1:6" x14ac:dyDescent="0.2">
      <c r="A55" s="617"/>
      <c r="B55" s="856"/>
      <c r="C55" s="889"/>
      <c r="D55" s="890"/>
      <c r="E55" s="891"/>
      <c r="F55" s="798"/>
    </row>
    <row r="56" spans="1:6" x14ac:dyDescent="0.2">
      <c r="A56" s="617"/>
      <c r="B56" s="856"/>
      <c r="C56" s="889"/>
      <c r="D56" s="890"/>
      <c r="E56" s="891"/>
      <c r="F56" s="830"/>
    </row>
    <row r="57" spans="1:6" x14ac:dyDescent="0.2">
      <c r="A57" s="617"/>
      <c r="B57" s="856"/>
      <c r="C57" s="889"/>
      <c r="D57" s="890"/>
      <c r="E57" s="891"/>
      <c r="F57" s="916"/>
    </row>
    <row r="58" spans="1:6" x14ac:dyDescent="0.2">
      <c r="A58" s="617"/>
      <c r="B58" s="856"/>
      <c r="C58" s="889"/>
      <c r="D58" s="890"/>
      <c r="E58" s="891"/>
      <c r="F58" s="830"/>
    </row>
    <row r="59" spans="1:6" x14ac:dyDescent="0.2">
      <c r="A59" s="176"/>
      <c r="B59" s="856"/>
      <c r="C59" s="889"/>
      <c r="D59" s="890"/>
      <c r="E59" s="891"/>
      <c r="F59" s="828"/>
    </row>
    <row r="60" spans="1:6" x14ac:dyDescent="0.2">
      <c r="A60" s="176"/>
      <c r="B60" s="856"/>
      <c r="C60" s="889"/>
      <c r="D60" s="890"/>
      <c r="E60" s="891"/>
      <c r="F60" s="830"/>
    </row>
    <row r="61" spans="1:6" x14ac:dyDescent="0.2">
      <c r="A61" s="166"/>
      <c r="B61" s="856"/>
      <c r="C61" s="889"/>
      <c r="D61" s="890"/>
      <c r="E61" s="891"/>
      <c r="F61" s="830"/>
    </row>
    <row r="62" spans="1:6" x14ac:dyDescent="0.2">
      <c r="A62" s="176"/>
      <c r="B62" s="856"/>
      <c r="C62" s="889"/>
      <c r="D62" s="890"/>
      <c r="E62" s="891"/>
      <c r="F62" s="828"/>
    </row>
    <row r="63" spans="1:6" x14ac:dyDescent="0.2">
      <c r="A63" s="176"/>
      <c r="B63" s="856"/>
      <c r="C63" s="889"/>
      <c r="D63" s="890"/>
      <c r="E63" s="891"/>
      <c r="F63" s="828"/>
    </row>
    <row r="64" spans="1:6" x14ac:dyDescent="0.2">
      <c r="A64" s="176"/>
      <c r="B64" s="856"/>
      <c r="C64" s="889"/>
      <c r="D64" s="890"/>
      <c r="E64" s="891"/>
      <c r="F64" s="830"/>
    </row>
    <row r="65" spans="1:1" x14ac:dyDescent="0.2">
      <c r="A65" s="176"/>
    </row>
    <row r="66" spans="1:1" x14ac:dyDescent="0.2">
      <c r="A66" s="176"/>
    </row>
    <row r="67" spans="1:1" x14ac:dyDescent="0.2">
      <c r="A67" s="166"/>
    </row>
    <row r="68" spans="1:1" x14ac:dyDescent="0.2">
      <c r="A68" s="176"/>
    </row>
    <row r="69" spans="1:1" x14ac:dyDescent="0.2">
      <c r="A69" s="176"/>
    </row>
    <row r="70" spans="1:1" x14ac:dyDescent="0.2">
      <c r="A70" s="176"/>
    </row>
    <row r="71" spans="1:1" x14ac:dyDescent="0.2">
      <c r="A71" s="176"/>
    </row>
    <row r="72" spans="1:1" x14ac:dyDescent="0.2">
      <c r="A72" s="617"/>
    </row>
  </sheetData>
  <customSheetViews>
    <customSheetView guid="{9BEC6399-AE85-4D88-8FBA-3674E2F30307}" topLeftCell="F1">
      <selection activeCell="I17" sqref="A15:I17"/>
      <pageMargins left="0.7" right="0.7" top="0.75" bottom="0.75" header="0.3" footer="0.3"/>
      <pageSetup orientation="portrait" r:id="rId1"/>
    </customSheetView>
    <customSheetView guid="{0347A67A-6027-4907-965C-6EA2A8295536}" topLeftCell="F1">
      <selection activeCell="I17" sqref="A15:I17"/>
      <pageMargins left="0.7" right="0.7" top="0.75" bottom="0.75" header="0.3" footer="0.3"/>
      <pageSetup orientation="portrait" r:id="rId2"/>
    </customSheetView>
    <customSheetView guid="{15CC7F3D-99AB-49C1-AC00-E04D3FE3FBC1}">
      <selection activeCell="A10" sqref="A10"/>
      <pageMargins left="0.7" right="0.7" top="0.75" bottom="0.75" header="0.3" footer="0.3"/>
      <pageSetup orientation="portrait" r:id="rId3"/>
    </customSheetView>
  </customSheetViews>
  <mergeCells count="4">
    <mergeCell ref="O1:R1"/>
    <mergeCell ref="F1:I1"/>
    <mergeCell ref="B1:E1"/>
    <mergeCell ref="J1:M1"/>
  </mergeCells>
  <phoneticPr fontId="30" type="noConversion"/>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sheetPr>
  <dimension ref="A1:U26"/>
  <sheetViews>
    <sheetView workbookViewId="0">
      <selection activeCell="A5" sqref="A5"/>
    </sheetView>
  </sheetViews>
  <sheetFormatPr defaultColWidth="8.85546875" defaultRowHeight="12" x14ac:dyDescent="0.2"/>
  <cols>
    <col min="1" max="1" width="38.5703125" style="1" bestFit="1" customWidth="1"/>
    <col min="2" max="2" width="11.5703125" style="811" customWidth="1"/>
    <col min="3" max="3" width="7.42578125" style="659" bestFit="1" customWidth="1"/>
    <col min="4" max="4" width="12.28515625" style="659" bestFit="1" customWidth="1"/>
    <col min="5" max="5" width="14" style="584" bestFit="1" customWidth="1"/>
    <col min="6" max="6" width="10.85546875" style="811" bestFit="1" customWidth="1"/>
    <col min="7" max="7" width="8" style="576" bestFit="1" customWidth="1"/>
    <col min="8" max="8" width="29.7109375" style="576" bestFit="1" customWidth="1"/>
    <col min="9" max="9" width="9.42578125" style="584" bestFit="1" customWidth="1"/>
    <col min="10" max="10" width="11.42578125" style="811" customWidth="1"/>
    <col min="11" max="11" width="7.42578125" style="659" bestFit="1" customWidth="1"/>
    <col min="12" max="12" width="12.28515625" style="659" bestFit="1" customWidth="1"/>
    <col min="13" max="13" width="14" style="584" bestFit="1" customWidth="1"/>
    <col min="14" max="14" width="11.42578125" style="811" customWidth="1"/>
    <col min="15" max="15" width="7.42578125" style="659" bestFit="1" customWidth="1"/>
    <col min="16" max="16" width="12.28515625" style="659" bestFit="1" customWidth="1"/>
    <col min="17" max="17" width="14" style="584" bestFit="1" customWidth="1"/>
  </cols>
  <sheetData>
    <row r="1" spans="1:21" x14ac:dyDescent="0.2">
      <c r="A1" s="114"/>
      <c r="B1" s="2543">
        <v>2003</v>
      </c>
      <c r="C1" s="2544"/>
      <c r="D1" s="2544"/>
      <c r="E1" s="2545"/>
      <c r="F1" s="2543">
        <v>2008</v>
      </c>
      <c r="G1" s="2544"/>
      <c r="H1" s="2544"/>
      <c r="I1" s="2545"/>
      <c r="J1" s="2543">
        <v>2010</v>
      </c>
      <c r="K1" s="2544"/>
      <c r="L1" s="2544"/>
      <c r="M1" s="2545"/>
      <c r="N1" s="2543">
        <v>2015</v>
      </c>
      <c r="O1" s="2544"/>
      <c r="P1" s="2544"/>
      <c r="Q1" s="2545"/>
      <c r="R1" s="65" t="s">
        <v>1542</v>
      </c>
    </row>
    <row r="2" spans="1:21" x14ac:dyDescent="0.2">
      <c r="A2" s="114" t="s">
        <v>604</v>
      </c>
      <c r="B2" s="620" t="s">
        <v>602</v>
      </c>
      <c r="C2" s="758" t="s">
        <v>601</v>
      </c>
      <c r="D2" s="633" t="s">
        <v>603</v>
      </c>
      <c r="E2" s="666" t="s">
        <v>420</v>
      </c>
      <c r="F2" s="620" t="s">
        <v>602</v>
      </c>
      <c r="G2" s="758" t="s">
        <v>601</v>
      </c>
      <c r="H2" s="633" t="s">
        <v>603</v>
      </c>
      <c r="I2" s="666" t="s">
        <v>420</v>
      </c>
      <c r="J2" s="620" t="s">
        <v>602</v>
      </c>
      <c r="K2" s="1263" t="s">
        <v>601</v>
      </c>
      <c r="L2" s="633" t="s">
        <v>603</v>
      </c>
      <c r="M2" s="666" t="s">
        <v>420</v>
      </c>
      <c r="N2" s="620" t="s">
        <v>602</v>
      </c>
      <c r="O2" s="1366" t="s">
        <v>601</v>
      </c>
      <c r="P2" s="633" t="s">
        <v>603</v>
      </c>
      <c r="Q2" s="666" t="s">
        <v>420</v>
      </c>
      <c r="R2" s="214" t="s">
        <v>1539</v>
      </c>
      <c r="S2" s="695"/>
      <c r="T2" s="1493" t="s">
        <v>1541</v>
      </c>
      <c r="U2" s="481"/>
    </row>
    <row r="3" spans="1:21" x14ac:dyDescent="0.2">
      <c r="A3" s="1559" t="s">
        <v>68</v>
      </c>
      <c r="B3" s="1657"/>
      <c r="C3" s="1658"/>
      <c r="D3" s="1658"/>
      <c r="E3" s="1659"/>
      <c r="F3" s="1657"/>
      <c r="G3" s="1658"/>
      <c r="H3" s="1660"/>
      <c r="I3" s="1661"/>
      <c r="J3" s="1657"/>
      <c r="K3" s="1658"/>
      <c r="L3" s="1658"/>
      <c r="M3" s="1659"/>
      <c r="N3" s="1657"/>
      <c r="O3" s="1658"/>
      <c r="P3" s="1658"/>
      <c r="Q3" s="1659"/>
      <c r="R3" s="1494"/>
      <c r="S3" s="1484"/>
      <c r="T3" s="1484"/>
      <c r="U3" s="1484"/>
    </row>
    <row r="4" spans="1:21" s="91" customFormat="1" ht="24" x14ac:dyDescent="0.2">
      <c r="A4" s="640" t="s">
        <v>2204</v>
      </c>
      <c r="B4" s="915"/>
      <c r="C4" s="678"/>
      <c r="D4" s="678"/>
      <c r="E4" s="679"/>
      <c r="F4" s="915"/>
      <c r="G4" s="678"/>
      <c r="H4" s="158"/>
      <c r="I4" s="286"/>
      <c r="J4" s="915"/>
      <c r="K4" s="678"/>
      <c r="L4" s="678"/>
      <c r="M4" s="679"/>
      <c r="N4" s="915"/>
      <c r="O4" s="678"/>
      <c r="P4" s="678"/>
      <c r="Q4" s="679"/>
    </row>
    <row r="5" spans="1:21" s="91" customFormat="1" x14ac:dyDescent="0.2">
      <c r="A5" s="1675" t="s">
        <v>378</v>
      </c>
      <c r="B5" s="915"/>
      <c r="C5" s="678"/>
      <c r="D5" s="678"/>
      <c r="E5" s="679"/>
      <c r="F5" s="915"/>
      <c r="G5" s="678"/>
      <c r="H5" s="338"/>
      <c r="I5" s="286"/>
      <c r="J5" s="678"/>
      <c r="K5" s="678"/>
      <c r="L5" s="678"/>
      <c r="M5" s="679"/>
      <c r="N5" s="915"/>
      <c r="O5" s="678"/>
      <c r="P5" s="678"/>
      <c r="Q5" s="679"/>
    </row>
    <row r="6" spans="1:21" s="91" customFormat="1" ht="13.5" x14ac:dyDescent="0.25">
      <c r="A6" s="1741" t="s">
        <v>2112</v>
      </c>
      <c r="B6" s="915">
        <v>0</v>
      </c>
      <c r="C6" s="678" t="s">
        <v>168</v>
      </c>
      <c r="D6" s="659" t="s">
        <v>1873</v>
      </c>
      <c r="E6" s="679"/>
      <c r="F6" s="915">
        <v>0</v>
      </c>
      <c r="G6" s="678" t="s">
        <v>168</v>
      </c>
      <c r="H6" s="659" t="s">
        <v>1873</v>
      </c>
      <c r="I6" s="286"/>
      <c r="J6" s="850">
        <v>0</v>
      </c>
      <c r="K6" s="678" t="s">
        <v>168</v>
      </c>
      <c r="L6" s="659" t="s">
        <v>1873</v>
      </c>
      <c r="M6" s="679"/>
      <c r="N6" s="915">
        <v>0</v>
      </c>
      <c r="O6" s="678" t="s">
        <v>168</v>
      </c>
      <c r="P6" s="659" t="s">
        <v>1873</v>
      </c>
      <c r="Q6" s="679"/>
    </row>
    <row r="7" spans="1:21" s="91" customFormat="1" ht="13.5" x14ac:dyDescent="0.25">
      <c r="A7" s="1741" t="s">
        <v>2113</v>
      </c>
      <c r="B7" s="2288">
        <v>30462.205000000002</v>
      </c>
      <c r="C7" s="678" t="s">
        <v>168</v>
      </c>
      <c r="D7" s="659" t="s">
        <v>1873</v>
      </c>
      <c r="E7" s="679"/>
      <c r="F7" s="2494">
        <v>34741.062000000005</v>
      </c>
      <c r="G7" s="678" t="s">
        <v>168</v>
      </c>
      <c r="H7" s="659" t="s">
        <v>1873</v>
      </c>
      <c r="I7" s="286"/>
      <c r="J7" s="2288">
        <v>30891.436999999998</v>
      </c>
      <c r="K7" s="678" t="s">
        <v>168</v>
      </c>
      <c r="L7" s="659" t="s">
        <v>1873</v>
      </c>
      <c r="M7" s="679"/>
      <c r="N7" s="915">
        <v>60041.354000000007</v>
      </c>
      <c r="O7" s="678" t="s">
        <v>168</v>
      </c>
      <c r="P7" s="659" t="s">
        <v>1873</v>
      </c>
      <c r="Q7" s="679"/>
    </row>
    <row r="8" spans="1:21" s="91" customFormat="1" ht="13.5" x14ac:dyDescent="0.25">
      <c r="A8" s="641" t="s">
        <v>1035</v>
      </c>
      <c r="B8" s="2294">
        <f>SUM(B6:B7)</f>
        <v>30462.205000000002</v>
      </c>
      <c r="C8" s="678" t="s">
        <v>168</v>
      </c>
      <c r="D8" s="338"/>
      <c r="E8" s="679"/>
      <c r="F8" s="2295">
        <f>SUM(F6:F7)</f>
        <v>34741.062000000005</v>
      </c>
      <c r="G8" s="678" t="s">
        <v>168</v>
      </c>
      <c r="H8" s="338"/>
      <c r="I8" s="286"/>
      <c r="J8" s="2294">
        <f>SUM(J6:J7)</f>
        <v>30891.436999999998</v>
      </c>
      <c r="K8" s="678" t="s">
        <v>168</v>
      </c>
      <c r="L8" s="338"/>
      <c r="M8" s="679"/>
      <c r="N8" s="2295">
        <f>SUM(N6:N7)</f>
        <v>60041.354000000007</v>
      </c>
      <c r="O8" s="678" t="s">
        <v>168</v>
      </c>
      <c r="P8" s="338"/>
      <c r="Q8" s="679"/>
    </row>
    <row r="9" spans="1:21" s="91" customFormat="1" x14ac:dyDescent="0.2">
      <c r="A9" s="1675" t="s">
        <v>213</v>
      </c>
      <c r="B9" s="2030"/>
      <c r="C9" s="678"/>
      <c r="D9" s="338"/>
      <c r="E9" s="679"/>
      <c r="F9" s="915"/>
      <c r="G9" s="678"/>
      <c r="H9" s="338"/>
      <c r="I9" s="286"/>
      <c r="J9" s="2293"/>
      <c r="K9" s="678"/>
      <c r="L9" s="338"/>
      <c r="M9" s="679"/>
      <c r="N9" s="915"/>
      <c r="O9" s="678"/>
      <c r="P9" s="338"/>
      <c r="Q9" s="679"/>
    </row>
    <row r="10" spans="1:21" s="91" customFormat="1" ht="12.75" customHeight="1" x14ac:dyDescent="0.25">
      <c r="A10" s="1741" t="s">
        <v>2112</v>
      </c>
      <c r="B10" s="2288">
        <v>5657.357</v>
      </c>
      <c r="C10" s="678" t="s">
        <v>168</v>
      </c>
      <c r="D10" s="659" t="s">
        <v>1873</v>
      </c>
      <c r="E10" s="679"/>
      <c r="F10" s="915">
        <v>6188.1310000000003</v>
      </c>
      <c r="G10" s="678" t="s">
        <v>168</v>
      </c>
      <c r="H10" s="659" t="s">
        <v>1873</v>
      </c>
      <c r="I10" s="286"/>
      <c r="J10" s="2293">
        <v>6565.2280000000001</v>
      </c>
      <c r="K10" s="678" t="s">
        <v>168</v>
      </c>
      <c r="L10" s="659" t="s">
        <v>1873</v>
      </c>
      <c r="M10" s="679"/>
      <c r="N10" s="915">
        <v>14835.991</v>
      </c>
      <c r="O10" s="678" t="s">
        <v>168</v>
      </c>
      <c r="P10" s="659" t="s">
        <v>1873</v>
      </c>
      <c r="Q10" s="679"/>
    </row>
    <row r="11" spans="1:21" s="91" customFormat="1" ht="12.75" customHeight="1" x14ac:dyDescent="0.25">
      <c r="A11" s="1741" t="s">
        <v>2113</v>
      </c>
      <c r="B11" s="2288">
        <v>30473.577000000001</v>
      </c>
      <c r="C11" s="678" t="s">
        <v>168</v>
      </c>
      <c r="D11" s="659" t="s">
        <v>1873</v>
      </c>
      <c r="E11" s="679"/>
      <c r="F11" s="915">
        <v>32549</v>
      </c>
      <c r="G11" s="678" t="s">
        <v>168</v>
      </c>
      <c r="H11" s="659" t="s">
        <v>1873</v>
      </c>
      <c r="I11" s="286"/>
      <c r="J11" s="2288">
        <v>33122.907000000007</v>
      </c>
      <c r="K11" s="678" t="s">
        <v>168</v>
      </c>
      <c r="L11" s="659" t="s">
        <v>1873</v>
      </c>
      <c r="M11" s="679"/>
      <c r="N11" s="915">
        <v>79436.907000000007</v>
      </c>
      <c r="O11" s="678" t="s">
        <v>168</v>
      </c>
      <c r="P11" s="659" t="s">
        <v>1873</v>
      </c>
      <c r="Q11" s="679"/>
    </row>
    <row r="12" spans="1:21" s="91" customFormat="1" ht="13.5" x14ac:dyDescent="0.25">
      <c r="A12" s="641" t="s">
        <v>1036</v>
      </c>
      <c r="B12" s="2294">
        <f>SUM(B10:B11)</f>
        <v>36130.934000000001</v>
      </c>
      <c r="C12" s="678" t="s">
        <v>168</v>
      </c>
      <c r="D12" s="338"/>
      <c r="E12" s="679"/>
      <c r="F12" s="2295">
        <f>SUM(F10:F11)</f>
        <v>38737.131000000001</v>
      </c>
      <c r="G12" s="678" t="s">
        <v>168</v>
      </c>
      <c r="H12" s="338"/>
      <c r="I12" s="286"/>
      <c r="J12" s="2294">
        <f>SUM(J10:J11)</f>
        <v>39688.135000000009</v>
      </c>
      <c r="K12" s="678" t="s">
        <v>168</v>
      </c>
      <c r="L12" s="338"/>
      <c r="M12" s="679"/>
      <c r="N12" s="2295">
        <f>SUM(N10:N11)</f>
        <v>94272.898000000001</v>
      </c>
      <c r="O12" s="678" t="s">
        <v>168</v>
      </c>
      <c r="P12" s="338"/>
      <c r="Q12" s="679"/>
    </row>
    <row r="13" spans="1:21" s="91" customFormat="1" x14ac:dyDescent="0.2">
      <c r="A13" s="1675" t="s">
        <v>212</v>
      </c>
      <c r="B13" s="2030"/>
      <c r="C13" s="678"/>
      <c r="D13" s="338"/>
      <c r="E13" s="679"/>
      <c r="F13" s="915"/>
      <c r="G13" s="678"/>
      <c r="H13" s="338"/>
      <c r="I13" s="286"/>
      <c r="J13" s="2293"/>
      <c r="K13" s="678"/>
      <c r="L13" s="338"/>
      <c r="M13" s="679"/>
      <c r="N13" s="915"/>
      <c r="O13" s="678"/>
      <c r="P13" s="338"/>
      <c r="Q13" s="679"/>
    </row>
    <row r="14" spans="1:21" s="91" customFormat="1" ht="13.5" x14ac:dyDescent="0.25">
      <c r="A14" s="1741" t="s">
        <v>2112</v>
      </c>
      <c r="B14" s="2288">
        <v>12983.415000000001</v>
      </c>
      <c r="C14" s="678" t="s">
        <v>168</v>
      </c>
      <c r="D14" s="659" t="s">
        <v>1873</v>
      </c>
      <c r="E14" s="679"/>
      <c r="F14" s="915">
        <v>11160.675999999999</v>
      </c>
      <c r="G14" s="678" t="s">
        <v>168</v>
      </c>
      <c r="H14" s="659" t="s">
        <v>1873</v>
      </c>
      <c r="I14" s="286"/>
      <c r="J14" s="2293">
        <v>10550.209000000001</v>
      </c>
      <c r="K14" s="678" t="s">
        <v>168</v>
      </c>
      <c r="L14" s="659" t="s">
        <v>1873</v>
      </c>
      <c r="M14" s="679"/>
      <c r="N14" s="915">
        <v>14355.575999999999</v>
      </c>
      <c r="O14" s="678" t="s">
        <v>168</v>
      </c>
      <c r="P14" s="659" t="s">
        <v>1873</v>
      </c>
      <c r="Q14" s="679"/>
    </row>
    <row r="15" spans="1:21" s="91" customFormat="1" ht="13.5" x14ac:dyDescent="0.25">
      <c r="A15" s="1741" t="s">
        <v>2113</v>
      </c>
      <c r="B15" s="2288">
        <v>117444.337</v>
      </c>
      <c r="C15" s="678" t="s">
        <v>168</v>
      </c>
      <c r="D15" s="659" t="s">
        <v>1873</v>
      </c>
      <c r="E15" s="679"/>
      <c r="F15" s="915">
        <v>118106</v>
      </c>
      <c r="G15" s="678" t="s">
        <v>168</v>
      </c>
      <c r="H15" s="659" t="s">
        <v>1873</v>
      </c>
      <c r="I15" s="286"/>
      <c r="J15" s="2288">
        <v>125956.64000000001</v>
      </c>
      <c r="K15" s="678" t="s">
        <v>168</v>
      </c>
      <c r="L15" s="659" t="s">
        <v>1873</v>
      </c>
      <c r="M15" s="679"/>
      <c r="N15" s="915">
        <v>141984.307</v>
      </c>
      <c r="O15" s="678" t="s">
        <v>168</v>
      </c>
      <c r="P15" s="659" t="s">
        <v>1873</v>
      </c>
      <c r="Q15" s="679"/>
    </row>
    <row r="16" spans="1:21" s="91" customFormat="1" ht="13.5" x14ac:dyDescent="0.25">
      <c r="A16" s="641" t="s">
        <v>1037</v>
      </c>
      <c r="B16" s="2294">
        <f>SUM(B14:B15)</f>
        <v>130427.75200000001</v>
      </c>
      <c r="C16" s="678" t="s">
        <v>168</v>
      </c>
      <c r="D16" s="338"/>
      <c r="E16" s="93"/>
      <c r="F16" s="2295">
        <f>SUM(F14:F15)</f>
        <v>129266.67600000001</v>
      </c>
      <c r="G16" s="678" t="s">
        <v>168</v>
      </c>
      <c r="H16" s="338"/>
      <c r="I16" s="286"/>
      <c r="J16" s="2294">
        <f>SUM(J14:J15)</f>
        <v>136506.84900000002</v>
      </c>
      <c r="K16" s="678" t="s">
        <v>168</v>
      </c>
      <c r="L16" s="338"/>
      <c r="M16" s="93"/>
      <c r="N16" s="2295">
        <f>SUM(N14:N15)</f>
        <v>156339.883</v>
      </c>
      <c r="O16" s="678" t="s">
        <v>168</v>
      </c>
      <c r="P16" s="338"/>
      <c r="Q16" s="93"/>
    </row>
    <row r="17" spans="1:17" s="91" customFormat="1" x14ac:dyDescent="0.2">
      <c r="A17" s="1675" t="s">
        <v>316</v>
      </c>
      <c r="B17" s="2030"/>
      <c r="C17" s="94"/>
      <c r="D17" s="338"/>
      <c r="E17" s="93"/>
      <c r="F17" s="915"/>
      <c r="G17" s="94"/>
      <c r="H17" s="338"/>
      <c r="I17" s="286"/>
      <c r="J17" s="2293"/>
      <c r="K17" s="94"/>
      <c r="L17" s="338"/>
      <c r="M17" s="93"/>
      <c r="N17" s="915"/>
      <c r="O17" s="94"/>
      <c r="P17" s="338"/>
      <c r="Q17" s="93"/>
    </row>
    <row r="18" spans="1:17" s="91" customFormat="1" ht="13.5" x14ac:dyDescent="0.25">
      <c r="A18" s="1741" t="s">
        <v>2112</v>
      </c>
      <c r="B18" s="2288">
        <v>6302.7510000000002</v>
      </c>
      <c r="C18" s="678" t="s">
        <v>168</v>
      </c>
      <c r="D18" s="659" t="s">
        <v>1873</v>
      </c>
      <c r="E18" s="93"/>
      <c r="F18" s="915">
        <v>6044.817</v>
      </c>
      <c r="G18" s="678" t="s">
        <v>168</v>
      </c>
      <c r="H18" s="659" t="s">
        <v>1873</v>
      </c>
      <c r="I18" s="286"/>
      <c r="J18" s="2293">
        <v>6141.0950000000003</v>
      </c>
      <c r="K18" s="678" t="s">
        <v>168</v>
      </c>
      <c r="L18" s="659" t="s">
        <v>1873</v>
      </c>
      <c r="M18" s="93"/>
      <c r="N18" s="915">
        <v>13481.025</v>
      </c>
      <c r="O18" s="678" t="s">
        <v>168</v>
      </c>
      <c r="P18" s="659" t="s">
        <v>1873</v>
      </c>
      <c r="Q18" s="93"/>
    </row>
    <row r="19" spans="1:17" s="91" customFormat="1" ht="13.5" x14ac:dyDescent="0.25">
      <c r="A19" s="1741" t="s">
        <v>2113</v>
      </c>
      <c r="B19" s="2288">
        <v>36809.879999999997</v>
      </c>
      <c r="C19" s="678" t="s">
        <v>168</v>
      </c>
      <c r="D19" s="659" t="s">
        <v>1873</v>
      </c>
      <c r="E19" s="93"/>
      <c r="F19" s="915">
        <v>36523</v>
      </c>
      <c r="G19" s="678" t="s">
        <v>168</v>
      </c>
      <c r="H19" s="659" t="s">
        <v>1873</v>
      </c>
      <c r="I19" s="286"/>
      <c r="J19" s="2288">
        <v>37517.216</v>
      </c>
      <c r="K19" s="678" t="s">
        <v>168</v>
      </c>
      <c r="L19" s="659" t="s">
        <v>1873</v>
      </c>
      <c r="M19" s="93"/>
      <c r="N19" s="915">
        <v>80247.475999999995</v>
      </c>
      <c r="O19" s="678" t="s">
        <v>168</v>
      </c>
      <c r="P19" s="659" t="s">
        <v>1873</v>
      </c>
      <c r="Q19" s="93"/>
    </row>
    <row r="20" spans="1:17" s="91" customFormat="1" ht="13.5" x14ac:dyDescent="0.25">
      <c r="A20" s="641" t="s">
        <v>1038</v>
      </c>
      <c r="B20" s="2294">
        <f>SUM(B18:B19)</f>
        <v>43112.630999999994</v>
      </c>
      <c r="C20" s="678" t="s">
        <v>168</v>
      </c>
      <c r="D20" s="94"/>
      <c r="E20" s="93"/>
      <c r="F20" s="2295">
        <f>SUM(F18:F19)</f>
        <v>42567.817000000003</v>
      </c>
      <c r="G20" s="678" t="s">
        <v>168</v>
      </c>
      <c r="H20" s="338"/>
      <c r="I20" s="286"/>
      <c r="J20" s="2294">
        <f>SUM(J18:J19)</f>
        <v>43658.311000000002</v>
      </c>
      <c r="K20" s="678" t="s">
        <v>168</v>
      </c>
      <c r="L20" s="94"/>
      <c r="M20" s="93"/>
      <c r="N20" s="2295">
        <f>SUM(N18:N19)</f>
        <v>93728.500999999989</v>
      </c>
      <c r="O20" s="678" t="s">
        <v>168</v>
      </c>
      <c r="P20" s="94"/>
      <c r="Q20" s="93"/>
    </row>
    <row r="21" spans="1:17" s="91" customFormat="1" x14ac:dyDescent="0.2">
      <c r="A21" s="641"/>
      <c r="B21" s="2286"/>
      <c r="C21" s="915"/>
      <c r="D21" s="94"/>
      <c r="E21" s="93"/>
      <c r="F21" s="806"/>
      <c r="G21" s="94"/>
      <c r="H21" s="338"/>
      <c r="I21" s="286"/>
      <c r="K21" s="94"/>
      <c r="L21" s="94"/>
      <c r="M21" s="93"/>
      <c r="N21" s="915"/>
      <c r="O21" s="94"/>
      <c r="P21" s="94"/>
      <c r="Q21" s="93"/>
    </row>
    <row r="22" spans="1:17" ht="13.5" x14ac:dyDescent="0.2">
      <c r="A22" s="1669" t="s">
        <v>1039</v>
      </c>
      <c r="B22" s="1564">
        <f>SUM(B8,B12,B16,B20)</f>
        <v>240133.522</v>
      </c>
      <c r="C22" s="1670" t="s">
        <v>207</v>
      </c>
      <c r="D22" s="1670"/>
      <c r="E22" s="1671"/>
      <c r="F22" s="1564">
        <f>SUM(F8,F12,F16,F20)</f>
        <v>245312.68600000002</v>
      </c>
      <c r="G22" s="1670" t="s">
        <v>207</v>
      </c>
      <c r="H22" s="1670"/>
      <c r="I22" s="2259"/>
      <c r="J22" s="1564">
        <f>SUM(J8,J12,J16,J20)</f>
        <v>250744.73200000002</v>
      </c>
      <c r="K22" s="1670" t="s">
        <v>207</v>
      </c>
      <c r="L22" s="1670"/>
      <c r="M22" s="1671"/>
      <c r="N22" s="1564">
        <f>SUM(N8,N12,N16,N20)</f>
        <v>404382.636</v>
      </c>
      <c r="O22" s="1670" t="s">
        <v>207</v>
      </c>
      <c r="P22" s="1670"/>
      <c r="Q22" s="1671"/>
    </row>
    <row r="23" spans="1:17" x14ac:dyDescent="0.2">
      <c r="C23" s="138"/>
      <c r="D23" s="138"/>
      <c r="E23" s="834"/>
      <c r="G23" s="72"/>
      <c r="H23" s="72"/>
      <c r="K23" s="138"/>
      <c r="L23" s="138"/>
      <c r="M23" s="834"/>
      <c r="O23" s="138"/>
      <c r="P23" s="138"/>
      <c r="Q23" s="834"/>
    </row>
    <row r="24" spans="1:17" x14ac:dyDescent="0.2">
      <c r="C24" s="138"/>
      <c r="D24" s="138"/>
      <c r="E24" s="834"/>
      <c r="G24" s="72"/>
      <c r="H24" s="72"/>
      <c r="K24" s="138"/>
      <c r="L24" s="138"/>
      <c r="M24" s="834"/>
      <c r="O24" s="138"/>
      <c r="P24" s="138"/>
      <c r="Q24" s="834"/>
    </row>
    <row r="25" spans="1:17" x14ac:dyDescent="0.2">
      <c r="G25" s="72"/>
      <c r="H25" s="72"/>
    </row>
    <row r="26" spans="1:17" x14ac:dyDescent="0.2">
      <c r="G26" s="72"/>
      <c r="H26" s="72"/>
    </row>
  </sheetData>
  <customSheetViews>
    <customSheetView guid="{9BEC6399-AE85-4D88-8FBA-3674E2F30307}">
      <selection activeCell="A5" sqref="A5"/>
      <pageMargins left="0.7" right="0.7" top="0.75" bottom="0.75" header="0.3" footer="0.3"/>
      <pageSetup orientation="portrait" r:id="rId1"/>
    </customSheetView>
    <customSheetView guid="{0347A67A-6027-4907-965C-6EA2A8295536}">
      <selection activeCell="A5" sqref="A5"/>
      <pageMargins left="0.7" right="0.7" top="0.75" bottom="0.75" header="0.3" footer="0.3"/>
      <pageSetup orientation="portrait" r:id="rId2"/>
    </customSheetView>
    <customSheetView guid="{15CC7F3D-99AB-49C1-AC00-E04D3FE3FBC1}">
      <selection activeCell="E22" sqref="E22"/>
      <pageMargins left="0.7" right="0.7" top="0.75" bottom="0.75" header="0.3" footer="0.3"/>
      <pageSetup orientation="portrait" r:id="rId3"/>
    </customSheetView>
  </customSheetViews>
  <mergeCells count="4">
    <mergeCell ref="F1:I1"/>
    <mergeCell ref="B1:E1"/>
    <mergeCell ref="J1:M1"/>
    <mergeCell ref="N1:Q1"/>
  </mergeCells>
  <phoneticPr fontId="30" type="noConversion"/>
  <pageMargins left="0.7" right="0.7" top="0.75" bottom="0.75" header="0.3" footer="0.3"/>
  <pageSetup orientation="portrait"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sheetPr>
  <dimension ref="A1:V29"/>
  <sheetViews>
    <sheetView workbookViewId="0">
      <selection activeCell="A5" sqref="A5"/>
    </sheetView>
  </sheetViews>
  <sheetFormatPr defaultColWidth="8.85546875" defaultRowHeight="12" x14ac:dyDescent="0.2"/>
  <cols>
    <col min="1" max="1" width="30" style="1" customWidth="1"/>
    <col min="2" max="2" width="11" style="694" bestFit="1" customWidth="1"/>
    <col min="3" max="3" width="9.42578125" style="694" customWidth="1"/>
    <col min="4" max="4" width="12.28515625" style="694" bestFit="1" customWidth="1"/>
    <col min="5" max="5" width="9.42578125" style="332" customWidth="1"/>
    <col min="6" max="6" width="11" style="626" bestFit="1" customWidth="1"/>
    <col min="7" max="7" width="9.42578125" style="505" customWidth="1"/>
    <col min="8" max="8" width="29.7109375" style="505" bestFit="1" customWidth="1"/>
    <col min="9" max="9" width="9.42578125" style="574" customWidth="1"/>
    <col min="10" max="10" width="9.85546875" style="505" customWidth="1"/>
    <col min="11" max="12" width="9.42578125" style="505" customWidth="1"/>
    <col min="13" max="13" width="9.42578125" style="574" customWidth="1"/>
    <col min="14" max="14" width="9.42578125" customWidth="1"/>
    <col min="15" max="15" width="9.85546875" style="505" customWidth="1"/>
    <col min="16" max="17" width="9.42578125" style="505" customWidth="1"/>
    <col min="18" max="18" width="9.42578125" style="574" customWidth="1"/>
  </cols>
  <sheetData>
    <row r="1" spans="1:22" x14ac:dyDescent="0.2">
      <c r="A1" s="114"/>
      <c r="B1" s="2543">
        <v>2003</v>
      </c>
      <c r="C1" s="2544"/>
      <c r="D1" s="2544"/>
      <c r="E1" s="2545"/>
      <c r="F1" s="2543">
        <v>2008</v>
      </c>
      <c r="G1" s="2544"/>
      <c r="H1" s="2544"/>
      <c r="I1" s="2545"/>
      <c r="J1" s="2543">
        <v>2010</v>
      </c>
      <c r="K1" s="2544"/>
      <c r="L1" s="2544"/>
      <c r="M1" s="2545"/>
      <c r="N1" s="9"/>
      <c r="O1" s="2543">
        <v>2015</v>
      </c>
      <c r="P1" s="2544"/>
      <c r="Q1" s="2544"/>
      <c r="R1" s="2545"/>
      <c r="S1" s="65" t="s">
        <v>1542</v>
      </c>
    </row>
    <row r="2" spans="1:22" x14ac:dyDescent="0.2">
      <c r="A2" s="114" t="s">
        <v>604</v>
      </c>
      <c r="B2" s="620" t="s">
        <v>602</v>
      </c>
      <c r="C2" s="758" t="s">
        <v>601</v>
      </c>
      <c r="D2" s="633" t="s">
        <v>603</v>
      </c>
      <c r="E2" s="666" t="s">
        <v>420</v>
      </c>
      <c r="F2" s="620" t="s">
        <v>602</v>
      </c>
      <c r="G2" s="758" t="s">
        <v>601</v>
      </c>
      <c r="H2" s="633" t="s">
        <v>603</v>
      </c>
      <c r="I2" s="666" t="s">
        <v>420</v>
      </c>
      <c r="J2" s="620" t="s">
        <v>602</v>
      </c>
      <c r="K2" s="1263" t="s">
        <v>601</v>
      </c>
      <c r="L2" s="633" t="s">
        <v>603</v>
      </c>
      <c r="M2" s="666" t="s">
        <v>420</v>
      </c>
      <c r="N2" s="9" t="s">
        <v>600</v>
      </c>
      <c r="O2" s="620" t="s">
        <v>602</v>
      </c>
      <c r="P2" s="1366" t="s">
        <v>601</v>
      </c>
      <c r="Q2" s="633" t="s">
        <v>603</v>
      </c>
      <c r="R2" s="666" t="s">
        <v>420</v>
      </c>
      <c r="S2" s="214" t="s">
        <v>1539</v>
      </c>
      <c r="T2" s="695"/>
      <c r="U2" s="1493" t="s">
        <v>1541</v>
      </c>
      <c r="V2" s="481"/>
    </row>
    <row r="3" spans="1:22" x14ac:dyDescent="0.2">
      <c r="A3" s="1467" t="s">
        <v>114</v>
      </c>
      <c r="B3" s="1662"/>
      <c r="C3" s="1662"/>
      <c r="D3" s="1662"/>
      <c r="E3" s="1663"/>
      <c r="F3" s="1664"/>
      <c r="G3" s="1665"/>
      <c r="H3" s="1666"/>
      <c r="I3" s="1667"/>
      <c r="J3" s="1666"/>
      <c r="K3" s="1666"/>
      <c r="L3" s="1666"/>
      <c r="M3" s="1667"/>
      <c r="N3" s="1668"/>
      <c r="O3" s="1666"/>
      <c r="P3" s="1666"/>
      <c r="Q3" s="1666"/>
      <c r="R3" s="1667"/>
      <c r="S3" s="1494"/>
      <c r="T3" s="1484"/>
      <c r="U3" s="1484"/>
      <c r="V3" s="1484"/>
    </row>
    <row r="4" spans="1:22" x14ac:dyDescent="0.2">
      <c r="A4" s="1483" t="s">
        <v>210</v>
      </c>
      <c r="B4" s="686"/>
      <c r="C4" s="686"/>
      <c r="D4" s="686"/>
      <c r="E4" s="358"/>
      <c r="F4" s="628"/>
      <c r="G4" s="551"/>
      <c r="H4" s="551"/>
      <c r="I4" s="577"/>
      <c r="J4" s="551"/>
      <c r="K4" s="551"/>
      <c r="L4" s="551"/>
      <c r="M4" s="577"/>
      <c r="N4" s="168"/>
      <c r="O4" s="551"/>
      <c r="P4" s="551"/>
      <c r="Q4" s="551"/>
      <c r="R4" s="577"/>
    </row>
    <row r="5" spans="1:22" ht="24" x14ac:dyDescent="0.2">
      <c r="A5" s="640" t="s">
        <v>2164</v>
      </c>
      <c r="B5" s="2287"/>
      <c r="F5" s="796"/>
      <c r="G5" s="536"/>
      <c r="H5" s="536"/>
      <c r="I5" s="652"/>
      <c r="J5" s="536"/>
      <c r="K5" s="536"/>
      <c r="L5" s="536"/>
      <c r="M5" s="652"/>
      <c r="N5" s="289"/>
      <c r="O5" s="536"/>
      <c r="P5" s="536"/>
      <c r="Q5" s="536"/>
      <c r="R5" s="652"/>
    </row>
    <row r="6" spans="1:22" x14ac:dyDescent="0.2">
      <c r="A6" s="1675" t="s">
        <v>378</v>
      </c>
      <c r="B6" s="2287"/>
      <c r="C6" s="505"/>
      <c r="F6" s="796"/>
      <c r="G6" s="536"/>
      <c r="H6" s="536"/>
      <c r="I6" s="652"/>
      <c r="J6" s="219"/>
      <c r="K6" s="536"/>
      <c r="L6" s="536"/>
      <c r="M6" s="652"/>
      <c r="N6" s="289"/>
      <c r="O6" s="536"/>
      <c r="P6" s="536"/>
      <c r="Q6" s="536"/>
      <c r="R6" s="652"/>
    </row>
    <row r="7" spans="1:22" s="65" customFormat="1" x14ac:dyDescent="0.2">
      <c r="A7" s="641" t="s">
        <v>1035</v>
      </c>
      <c r="B7" s="2339">
        <v>0</v>
      </c>
      <c r="C7" s="557" t="s">
        <v>163</v>
      </c>
      <c r="D7" s="557" t="s">
        <v>2114</v>
      </c>
      <c r="E7" s="2340"/>
      <c r="F7" s="1828">
        <v>0</v>
      </c>
      <c r="G7" s="557" t="s">
        <v>163</v>
      </c>
      <c r="H7" s="557" t="s">
        <v>2114</v>
      </c>
      <c r="I7" s="1005"/>
      <c r="J7" s="2341">
        <v>0</v>
      </c>
      <c r="K7" s="557" t="s">
        <v>163</v>
      </c>
      <c r="L7" s="557" t="s">
        <v>2114</v>
      </c>
      <c r="M7" s="1005"/>
      <c r="N7" s="1533">
        <v>0</v>
      </c>
      <c r="O7" s="557" t="s">
        <v>163</v>
      </c>
      <c r="P7" s="557" t="s">
        <v>2114</v>
      </c>
      <c r="Q7" s="179"/>
      <c r="R7" s="1005"/>
    </row>
    <row r="8" spans="1:22" x14ac:dyDescent="0.2">
      <c r="A8" s="1675" t="s">
        <v>213</v>
      </c>
      <c r="B8" s="2287"/>
      <c r="C8" s="505"/>
      <c r="D8" s="536"/>
      <c r="F8" s="796"/>
      <c r="H8" s="536"/>
      <c r="I8" s="652"/>
      <c r="J8" s="219"/>
      <c r="L8" s="536"/>
      <c r="M8" s="652"/>
      <c r="N8" s="289"/>
      <c r="P8" s="536"/>
      <c r="Q8" s="536"/>
      <c r="R8" s="652"/>
    </row>
    <row r="9" spans="1:22" x14ac:dyDescent="0.2">
      <c r="A9" s="1386" t="s">
        <v>2109</v>
      </c>
      <c r="B9" s="2288">
        <v>31737.347000000002</v>
      </c>
      <c r="C9" s="505" t="s">
        <v>163</v>
      </c>
      <c r="D9" s="659" t="s">
        <v>2114</v>
      </c>
      <c r="F9" s="796">
        <v>31875.822999999997</v>
      </c>
      <c r="G9" s="505" t="s">
        <v>163</v>
      </c>
      <c r="H9" s="659" t="s">
        <v>2114</v>
      </c>
      <c r="I9" s="652"/>
      <c r="J9" s="219">
        <v>33140.306000000004</v>
      </c>
      <c r="K9" s="505" t="s">
        <v>163</v>
      </c>
      <c r="L9" s="659" t="s">
        <v>2114</v>
      </c>
      <c r="M9" s="652"/>
      <c r="N9" s="289">
        <v>74515.805999999997</v>
      </c>
      <c r="O9" s="505" t="s">
        <v>163</v>
      </c>
      <c r="P9" s="659" t="s">
        <v>2114</v>
      </c>
      <c r="Q9" s="536"/>
      <c r="R9" s="652"/>
    </row>
    <row r="10" spans="1:22" x14ac:dyDescent="0.2">
      <c r="A10" s="577" t="s">
        <v>1040</v>
      </c>
      <c r="B10" s="2288">
        <v>4372.6459999999997</v>
      </c>
      <c r="C10" s="505" t="s">
        <v>163</v>
      </c>
      <c r="D10" s="659" t="s">
        <v>2114</v>
      </c>
      <c r="F10" s="796">
        <v>4548.5349999999999</v>
      </c>
      <c r="G10" s="505" t="s">
        <v>163</v>
      </c>
      <c r="H10" s="659" t="s">
        <v>2114</v>
      </c>
      <c r="I10" s="652"/>
      <c r="J10" s="219">
        <v>4777.4549999999999</v>
      </c>
      <c r="K10" s="505" t="s">
        <v>163</v>
      </c>
      <c r="L10" s="659" t="s">
        <v>2114</v>
      </c>
      <c r="M10" s="652"/>
      <c r="N10" s="289">
        <v>11820.272999999999</v>
      </c>
      <c r="O10" s="505" t="s">
        <v>163</v>
      </c>
      <c r="P10" s="659" t="s">
        <v>2114</v>
      </c>
      <c r="Q10" s="536"/>
      <c r="R10" s="652"/>
    </row>
    <row r="11" spans="1:22" s="65" customFormat="1" x14ac:dyDescent="0.2">
      <c r="A11" s="641" t="s">
        <v>1036</v>
      </c>
      <c r="B11" s="1533">
        <f>SUM(B9:B10)</f>
        <v>36109.993000000002</v>
      </c>
      <c r="C11" s="2342">
        <f>SUM('Res- Garden &amp; Rec'!F9)</f>
        <v>31875.822999999997</v>
      </c>
      <c r="D11" s="557" t="s">
        <v>2114</v>
      </c>
      <c r="E11" s="2340"/>
      <c r="F11" s="1533">
        <f>SUM(F9:F10)</f>
        <v>36424.357999999993</v>
      </c>
      <c r="G11" s="557" t="s">
        <v>163</v>
      </c>
      <c r="H11" s="557" t="s">
        <v>2114</v>
      </c>
      <c r="I11" s="1005"/>
      <c r="J11" s="1533">
        <f>SUM(J9:J10)</f>
        <v>37917.761000000006</v>
      </c>
      <c r="K11" s="557" t="s">
        <v>163</v>
      </c>
      <c r="L11" s="557" t="s">
        <v>2114</v>
      </c>
      <c r="M11" s="1005"/>
      <c r="N11" s="1533">
        <f>SUM(N9:N10)</f>
        <v>86336.078999999998</v>
      </c>
      <c r="O11" s="557" t="s">
        <v>163</v>
      </c>
      <c r="P11" s="557" t="s">
        <v>2114</v>
      </c>
      <c r="Q11" s="179"/>
      <c r="R11" s="1005"/>
    </row>
    <row r="12" spans="1:22" x14ac:dyDescent="0.2">
      <c r="A12" s="1675" t="s">
        <v>212</v>
      </c>
      <c r="B12" s="2287"/>
      <c r="C12" s="505"/>
      <c r="D12" s="536"/>
      <c r="F12" s="796"/>
      <c r="H12" s="536"/>
      <c r="I12" s="652"/>
      <c r="J12" s="219"/>
      <c r="L12" s="536"/>
      <c r="M12" s="652"/>
      <c r="N12" s="289"/>
      <c r="P12" s="536"/>
      <c r="Q12" s="536"/>
      <c r="R12" s="652"/>
    </row>
    <row r="13" spans="1:22" x14ac:dyDescent="0.2">
      <c r="A13" s="1386" t="s">
        <v>1041</v>
      </c>
      <c r="B13" s="2288">
        <v>365588.78699999989</v>
      </c>
      <c r="C13" s="505" t="s">
        <v>163</v>
      </c>
      <c r="D13" s="659" t="s">
        <v>2114</v>
      </c>
      <c r="F13" s="796">
        <v>369111.94999999995</v>
      </c>
      <c r="G13" s="505" t="s">
        <v>163</v>
      </c>
      <c r="H13" s="659" t="s">
        <v>2114</v>
      </c>
      <c r="I13" s="652"/>
      <c r="J13" s="219">
        <v>370760.30300000013</v>
      </c>
      <c r="K13" s="505" t="s">
        <v>163</v>
      </c>
      <c r="L13" s="659" t="s">
        <v>2114</v>
      </c>
      <c r="M13" s="652"/>
      <c r="N13" s="2288">
        <v>411799.81400000001</v>
      </c>
      <c r="O13" s="505" t="s">
        <v>163</v>
      </c>
      <c r="P13" s="659" t="s">
        <v>2114</v>
      </c>
      <c r="Q13" s="536"/>
      <c r="R13" s="652"/>
    </row>
    <row r="14" spans="1:22" x14ac:dyDescent="0.2">
      <c r="A14" s="1386" t="s">
        <v>1042</v>
      </c>
      <c r="B14" s="2288">
        <v>88570.986000000004</v>
      </c>
      <c r="C14" s="505" t="s">
        <v>163</v>
      </c>
      <c r="D14" s="659" t="s">
        <v>2114</v>
      </c>
      <c r="F14" s="796">
        <v>95470.15</v>
      </c>
      <c r="G14" s="505" t="s">
        <v>163</v>
      </c>
      <c r="H14" s="659" t="s">
        <v>2114</v>
      </c>
      <c r="I14" s="652"/>
      <c r="J14" s="219">
        <v>91933.681000000011</v>
      </c>
      <c r="K14" s="505" t="s">
        <v>163</v>
      </c>
      <c r="L14" s="659" t="s">
        <v>2114</v>
      </c>
      <c r="M14" s="652"/>
      <c r="N14" s="289">
        <v>106476.739</v>
      </c>
      <c r="O14" s="505" t="s">
        <v>163</v>
      </c>
      <c r="P14" s="659" t="s">
        <v>2114</v>
      </c>
      <c r="Q14" s="536"/>
      <c r="R14" s="652"/>
    </row>
    <row r="15" spans="1:22" s="65" customFormat="1" x14ac:dyDescent="0.2">
      <c r="A15" s="641" t="s">
        <v>1037</v>
      </c>
      <c r="B15" s="1533">
        <f>SUM(B13:B14)</f>
        <v>454159.77299999993</v>
      </c>
      <c r="C15" s="557" t="s">
        <v>163</v>
      </c>
      <c r="D15" s="557" t="s">
        <v>2114</v>
      </c>
      <c r="E15" s="2340"/>
      <c r="F15" s="1533">
        <f>SUM(F13:F14)</f>
        <v>464582.1</v>
      </c>
      <c r="G15" s="557" t="s">
        <v>163</v>
      </c>
      <c r="H15" s="557" t="s">
        <v>2114</v>
      </c>
      <c r="I15" s="1005"/>
      <c r="J15" s="1533">
        <f>SUM(J13:J14)</f>
        <v>462693.98400000017</v>
      </c>
      <c r="K15" s="557" t="s">
        <v>163</v>
      </c>
      <c r="L15" s="557" t="s">
        <v>2114</v>
      </c>
      <c r="M15" s="1005"/>
      <c r="N15" s="1533">
        <f>SUM(N13:N14)</f>
        <v>518276.55300000001</v>
      </c>
      <c r="O15" s="557" t="s">
        <v>163</v>
      </c>
      <c r="P15" s="557" t="s">
        <v>2114</v>
      </c>
      <c r="Q15" s="179"/>
      <c r="R15" s="1005"/>
    </row>
    <row r="16" spans="1:22" x14ac:dyDescent="0.2">
      <c r="A16" s="1675" t="s">
        <v>316</v>
      </c>
      <c r="B16" s="2289"/>
      <c r="C16" s="536"/>
      <c r="D16" s="536"/>
      <c r="E16" s="325"/>
      <c r="F16" s="796"/>
      <c r="G16" s="536"/>
      <c r="H16" s="536"/>
      <c r="I16" s="652"/>
      <c r="J16" s="219"/>
      <c r="K16" s="536"/>
      <c r="L16" s="536"/>
      <c r="M16" s="652"/>
      <c r="N16" s="289"/>
      <c r="O16" s="536"/>
      <c r="P16" s="536"/>
      <c r="Q16" s="536"/>
      <c r="R16" s="652"/>
    </row>
    <row r="17" spans="1:18" x14ac:dyDescent="0.2">
      <c r="A17" s="1741" t="s">
        <v>2110</v>
      </c>
      <c r="B17" s="2288">
        <v>6438.3630000000003</v>
      </c>
      <c r="C17" s="536" t="s">
        <v>163</v>
      </c>
      <c r="D17" s="659" t="s">
        <v>2114</v>
      </c>
      <c r="E17" s="325"/>
      <c r="F17" s="796">
        <v>5852.51</v>
      </c>
      <c r="G17" s="536" t="s">
        <v>163</v>
      </c>
      <c r="H17" s="659" t="s">
        <v>2114</v>
      </c>
      <c r="I17" s="652"/>
      <c r="J17" s="219">
        <v>5758.0789999999997</v>
      </c>
      <c r="K17" s="536" t="s">
        <v>163</v>
      </c>
      <c r="L17" s="659" t="s">
        <v>2114</v>
      </c>
      <c r="M17" s="652"/>
      <c r="N17" s="2288">
        <v>12568.268</v>
      </c>
      <c r="O17" s="536" t="s">
        <v>163</v>
      </c>
      <c r="P17" s="659" t="s">
        <v>2114</v>
      </c>
      <c r="Q17" s="536"/>
      <c r="R17" s="652"/>
    </row>
    <row r="18" spans="1:18" x14ac:dyDescent="0.2">
      <c r="A18" s="645" t="s">
        <v>1043</v>
      </c>
      <c r="B18" s="2288">
        <v>4188.6360000000004</v>
      </c>
      <c r="C18" s="226" t="s">
        <v>163</v>
      </c>
      <c r="D18" s="659" t="s">
        <v>2114</v>
      </c>
      <c r="E18" s="383"/>
      <c r="F18" s="796">
        <v>4062.9520000000002</v>
      </c>
      <c r="G18" s="226" t="s">
        <v>163</v>
      </c>
      <c r="H18" s="659" t="s">
        <v>2114</v>
      </c>
      <c r="I18" s="761"/>
      <c r="J18" s="210">
        <v>4197.4690000000001</v>
      </c>
      <c r="K18" s="226" t="s">
        <v>163</v>
      </c>
      <c r="L18" s="659" t="s">
        <v>2114</v>
      </c>
      <c r="M18" s="761"/>
      <c r="N18" s="265">
        <v>10516.847</v>
      </c>
      <c r="O18" s="226" t="s">
        <v>163</v>
      </c>
      <c r="P18" s="659" t="s">
        <v>2114</v>
      </c>
      <c r="Q18" s="226"/>
      <c r="R18" s="761"/>
    </row>
    <row r="19" spans="1:18" s="65" customFormat="1" x14ac:dyDescent="0.2">
      <c r="A19" s="641" t="s">
        <v>1038</v>
      </c>
      <c r="B19" s="266">
        <f>SUM(B17:B18)</f>
        <v>10626.999</v>
      </c>
      <c r="C19" s="131" t="s">
        <v>163</v>
      </c>
      <c r="D19" s="557" t="s">
        <v>2114</v>
      </c>
      <c r="E19" s="335"/>
      <c r="F19" s="266">
        <f>SUM(F17:F18)</f>
        <v>9915.4619999999995</v>
      </c>
      <c r="G19" s="131" t="s">
        <v>163</v>
      </c>
      <c r="H19" s="557" t="s">
        <v>2114</v>
      </c>
      <c r="I19" s="832"/>
      <c r="J19" s="266">
        <f>SUM(J17:J18)</f>
        <v>9955.5479999999989</v>
      </c>
      <c r="K19" s="131" t="s">
        <v>163</v>
      </c>
      <c r="L19" s="557" t="s">
        <v>2114</v>
      </c>
      <c r="M19" s="832"/>
      <c r="N19" s="266">
        <f>SUM(N17:N18)</f>
        <v>23085.114999999998</v>
      </c>
      <c r="O19" s="131" t="s">
        <v>163</v>
      </c>
      <c r="P19" s="557" t="s">
        <v>2114</v>
      </c>
      <c r="Q19" s="131"/>
      <c r="R19" s="832"/>
    </row>
    <row r="20" spans="1:18" x14ac:dyDescent="0.2">
      <c r="B20" s="796"/>
      <c r="C20" s="138"/>
      <c r="D20" s="226"/>
      <c r="E20" s="325"/>
      <c r="F20" s="796"/>
      <c r="G20" s="536"/>
      <c r="H20" s="226"/>
      <c r="I20" s="761"/>
      <c r="J20" s="210"/>
      <c r="K20" s="226"/>
      <c r="L20" s="226"/>
      <c r="M20" s="761"/>
      <c r="N20" s="265"/>
      <c r="O20" s="1265"/>
      <c r="P20" s="226"/>
      <c r="Q20" s="226"/>
      <c r="R20" s="761"/>
    </row>
    <row r="21" spans="1:18" ht="13.5" x14ac:dyDescent="0.2">
      <c r="A21" s="1669" t="s">
        <v>1039</v>
      </c>
      <c r="B21" s="2290">
        <f>SUM(B19,B15,B11,B7)</f>
        <v>500896.76499999996</v>
      </c>
      <c r="C21" s="1670" t="s">
        <v>207</v>
      </c>
      <c r="D21" s="1670"/>
      <c r="E21" s="1671"/>
      <c r="F21" s="2290">
        <f>SUM(F19,F15,F11,F7)</f>
        <v>510921.92</v>
      </c>
      <c r="G21" s="1670" t="s">
        <v>207</v>
      </c>
      <c r="H21" s="1672"/>
      <c r="I21" s="1673"/>
      <c r="J21" s="2290">
        <f>SUM(J19,J15,J11,J7)</f>
        <v>510567.29300000018</v>
      </c>
      <c r="K21" s="1670" t="s">
        <v>207</v>
      </c>
      <c r="L21" s="1674"/>
      <c r="M21" s="1673"/>
      <c r="N21" s="2290">
        <f>SUM(N19,N15,N11,N7)</f>
        <v>627697.74700000009</v>
      </c>
      <c r="O21" s="1670" t="s">
        <v>207</v>
      </c>
      <c r="P21" s="1670"/>
      <c r="Q21" s="1674"/>
      <c r="R21" s="1673"/>
    </row>
    <row r="22" spans="1:18" x14ac:dyDescent="0.2">
      <c r="A22" s="162"/>
      <c r="B22" s="2291"/>
      <c r="C22" s="386"/>
      <c r="D22" s="386"/>
      <c r="E22" s="383"/>
      <c r="F22" s="857"/>
      <c r="G22" s="226"/>
      <c r="H22" s="226"/>
      <c r="I22" s="761"/>
      <c r="J22" s="210"/>
      <c r="K22" s="226"/>
      <c r="L22" s="226"/>
      <c r="M22" s="761"/>
      <c r="N22" s="266"/>
      <c r="O22" s="226"/>
      <c r="P22" s="226"/>
      <c r="Q22" s="226"/>
      <c r="R22" s="761"/>
    </row>
    <row r="23" spans="1:18" x14ac:dyDescent="0.2">
      <c r="A23" s="162"/>
      <c r="B23" s="2291"/>
      <c r="C23" s="376"/>
      <c r="D23" s="376"/>
      <c r="E23" s="328"/>
      <c r="F23" s="857"/>
      <c r="G23" s="226"/>
      <c r="H23" s="226"/>
      <c r="I23" s="761"/>
      <c r="J23" s="210"/>
      <c r="K23" s="226"/>
      <c r="L23" s="226"/>
      <c r="M23" s="761"/>
      <c r="N23" s="266"/>
      <c r="O23" s="226"/>
      <c r="P23" s="226"/>
      <c r="Q23" s="226"/>
      <c r="R23" s="761"/>
    </row>
    <row r="24" spans="1:18" x14ac:dyDescent="0.2">
      <c r="B24" s="2289"/>
      <c r="F24" s="796"/>
      <c r="G24" s="536"/>
      <c r="H24" s="536"/>
      <c r="I24" s="652"/>
      <c r="J24" s="219"/>
      <c r="K24" s="536"/>
      <c r="L24" s="536"/>
      <c r="M24" s="652"/>
      <c r="N24" s="289"/>
      <c r="O24" s="536"/>
      <c r="P24" s="536"/>
      <c r="Q24" s="536"/>
      <c r="R24" s="652"/>
    </row>
    <row r="25" spans="1:18" x14ac:dyDescent="0.2">
      <c r="B25" s="875"/>
      <c r="F25" s="1825"/>
      <c r="G25" s="536"/>
      <c r="H25" s="536"/>
      <c r="I25" s="652"/>
      <c r="J25" s="536"/>
      <c r="K25" s="536"/>
      <c r="L25" s="536"/>
      <c r="M25" s="652"/>
      <c r="N25" s="289"/>
      <c r="O25" s="536"/>
      <c r="P25" s="536"/>
      <c r="Q25" s="536"/>
      <c r="R25" s="652"/>
    </row>
    <row r="26" spans="1:18" x14ac:dyDescent="0.2">
      <c r="G26" s="536"/>
      <c r="H26" s="536"/>
      <c r="I26" s="652"/>
      <c r="J26" s="536"/>
      <c r="K26" s="536"/>
      <c r="L26" s="536"/>
      <c r="M26" s="652"/>
      <c r="N26" s="289"/>
      <c r="O26" s="536"/>
      <c r="P26" s="536"/>
      <c r="Q26" s="536"/>
      <c r="R26" s="652"/>
    </row>
    <row r="27" spans="1:18" x14ac:dyDescent="0.2">
      <c r="G27" s="536"/>
      <c r="H27" s="536"/>
      <c r="I27" s="652"/>
      <c r="J27" s="536"/>
      <c r="K27" s="536"/>
      <c r="L27" s="536"/>
      <c r="M27" s="652"/>
      <c r="O27" s="536"/>
      <c r="P27" s="536"/>
      <c r="Q27" s="536"/>
      <c r="R27" s="652"/>
    </row>
    <row r="28" spans="1:18" x14ac:dyDescent="0.2">
      <c r="G28" s="536"/>
      <c r="H28" s="536"/>
      <c r="I28" s="652"/>
      <c r="J28" s="536"/>
      <c r="K28" s="536"/>
      <c r="L28" s="536"/>
      <c r="M28" s="652"/>
      <c r="O28" s="536"/>
      <c r="P28" s="536"/>
      <c r="Q28" s="536"/>
      <c r="R28" s="652"/>
    </row>
    <row r="29" spans="1:18" x14ac:dyDescent="0.2">
      <c r="G29" s="536"/>
      <c r="H29" s="536"/>
      <c r="I29" s="652"/>
      <c r="J29" s="536"/>
      <c r="K29" s="536"/>
      <c r="L29" s="536"/>
      <c r="M29" s="652"/>
      <c r="O29" s="536"/>
      <c r="P29" s="536"/>
      <c r="Q29" s="536"/>
      <c r="R29" s="652"/>
    </row>
  </sheetData>
  <customSheetViews>
    <customSheetView guid="{9BEC6399-AE85-4D88-8FBA-3674E2F30307}">
      <selection activeCell="A5" sqref="A5"/>
      <pageMargins left="0.7" right="0.7" top="0.75" bottom="0.75" header="0.3" footer="0.3"/>
      <pageSetup orientation="portrait" r:id="rId1"/>
    </customSheetView>
    <customSheetView guid="{0347A67A-6027-4907-965C-6EA2A8295536}">
      <selection activeCell="A5" sqref="A5"/>
      <pageMargins left="0.7" right="0.7" top="0.75" bottom="0.75" header="0.3" footer="0.3"/>
      <pageSetup orientation="portrait" r:id="rId2"/>
    </customSheetView>
    <customSheetView guid="{15CC7F3D-99AB-49C1-AC00-E04D3FE3FBC1}">
      <selection activeCell="A5" sqref="A5"/>
      <pageMargins left="0.7" right="0.7" top="0.75" bottom="0.75" header="0.3" footer="0.3"/>
      <pageSetup orientation="portrait" r:id="rId3"/>
    </customSheetView>
  </customSheetViews>
  <mergeCells count="4">
    <mergeCell ref="F1:I1"/>
    <mergeCell ref="B1:E1"/>
    <mergeCell ref="J1:M1"/>
    <mergeCell ref="O1:R1"/>
  </mergeCells>
  <phoneticPr fontId="30" type="noConversion"/>
  <pageMargins left="0.7" right="0.7" top="0.75" bottom="0.75" header="0.3" footer="0.3"/>
  <pageSetup orientation="portrait"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249977111117893"/>
  </sheetPr>
  <dimension ref="A1:R126"/>
  <sheetViews>
    <sheetView topLeftCell="A71" workbookViewId="0">
      <selection activeCell="G23" sqref="G23:Q44"/>
    </sheetView>
  </sheetViews>
  <sheetFormatPr defaultColWidth="8.85546875" defaultRowHeight="12" x14ac:dyDescent="0.2"/>
  <cols>
    <col min="1" max="1" width="67.42578125" style="584" customWidth="1"/>
    <col min="2" max="2" width="12.42578125" style="877" bestFit="1" customWidth="1"/>
    <col min="3" max="3" width="12.7109375" style="901" customWidth="1"/>
    <col min="4" max="4" width="25" style="901" customWidth="1"/>
    <col min="5" max="5" width="10.140625" style="936" bestFit="1" customWidth="1"/>
    <col min="6" max="6" width="14.7109375" style="795" customWidth="1"/>
    <col min="7" max="7" width="16.85546875" style="72" customWidth="1"/>
    <col min="8" max="8" width="26" style="72" bestFit="1" customWidth="1"/>
    <col min="9" max="9" width="7.28515625" style="907" bestFit="1" customWidth="1"/>
    <col min="10" max="10" width="9.42578125" style="645" customWidth="1"/>
    <col min="11" max="11" width="14.7109375" style="795" customWidth="1"/>
    <col min="12" max="12" width="16.85546875" style="72" customWidth="1"/>
    <col min="13" max="13" width="26" style="72" bestFit="1" customWidth="1"/>
    <col min="14" max="14" width="10.42578125" style="909" customWidth="1"/>
  </cols>
  <sheetData>
    <row r="1" spans="1:18" x14ac:dyDescent="0.2">
      <c r="A1" s="613"/>
      <c r="B1" s="2543">
        <v>2003</v>
      </c>
      <c r="C1" s="2544"/>
      <c r="D1" s="2544"/>
      <c r="E1" s="2545"/>
      <c r="F1" s="2543">
        <v>2008</v>
      </c>
      <c r="G1" s="2544"/>
      <c r="H1" s="2544"/>
      <c r="I1" s="2545"/>
      <c r="J1" s="1368" t="s">
        <v>1527</v>
      </c>
      <c r="K1" s="2543">
        <v>2015</v>
      </c>
      <c r="L1" s="2544"/>
      <c r="M1" s="2544"/>
      <c r="N1" s="2545"/>
      <c r="O1" s="65" t="s">
        <v>1542</v>
      </c>
    </row>
    <row r="2" spans="1:18" x14ac:dyDescent="0.2">
      <c r="A2" s="613" t="s">
        <v>604</v>
      </c>
      <c r="B2" s="955" t="s">
        <v>602</v>
      </c>
      <c r="C2" s="1713" t="s">
        <v>601</v>
      </c>
      <c r="D2" s="633" t="s">
        <v>603</v>
      </c>
      <c r="E2" s="913" t="s">
        <v>420</v>
      </c>
      <c r="F2" s="588" t="s">
        <v>602</v>
      </c>
      <c r="G2" s="1713" t="s">
        <v>601</v>
      </c>
      <c r="H2" s="633" t="s">
        <v>603</v>
      </c>
      <c r="I2" s="956" t="s">
        <v>420</v>
      </c>
      <c r="J2" s="1536" t="s">
        <v>600</v>
      </c>
      <c r="K2" s="588" t="s">
        <v>602</v>
      </c>
      <c r="L2" s="1713" t="s">
        <v>601</v>
      </c>
      <c r="M2" s="633" t="s">
        <v>603</v>
      </c>
      <c r="N2" s="913" t="s">
        <v>420</v>
      </c>
      <c r="O2" s="214" t="s">
        <v>1539</v>
      </c>
      <c r="P2" s="695"/>
      <c r="Q2" s="1493" t="s">
        <v>1541</v>
      </c>
      <c r="R2" s="481"/>
    </row>
    <row r="3" spans="1:18" x14ac:dyDescent="0.2">
      <c r="A3" s="1629" t="s">
        <v>1552</v>
      </c>
      <c r="B3" s="1630"/>
      <c r="C3" s="1561"/>
      <c r="D3" s="1562"/>
      <c r="E3" s="1631"/>
      <c r="F3" s="1632"/>
      <c r="G3" s="1561"/>
      <c r="H3" s="1562"/>
      <c r="I3" s="1633"/>
      <c r="J3" s="1537"/>
      <c r="K3" s="1632"/>
      <c r="L3" s="1561"/>
      <c r="M3" s="1562"/>
      <c r="N3" s="1631"/>
      <c r="O3" s="1494"/>
      <c r="P3" s="1484"/>
      <c r="Q3" s="1484"/>
      <c r="R3" s="1484"/>
    </row>
    <row r="4" spans="1:18" s="91" customFormat="1" x14ac:dyDescent="0.2">
      <c r="A4" s="1622" t="s">
        <v>69</v>
      </c>
      <c r="B4" s="1623"/>
      <c r="C4" s="1624"/>
      <c r="D4" s="1625"/>
      <c r="E4" s="1626"/>
      <c r="F4" s="1627"/>
      <c r="G4" s="1624"/>
      <c r="H4" s="1625"/>
      <c r="I4" s="1628"/>
      <c r="J4" s="1635"/>
      <c r="K4" s="1627"/>
      <c r="L4" s="1624"/>
      <c r="M4" s="1625"/>
      <c r="N4" s="1626"/>
      <c r="O4" s="1656"/>
      <c r="P4" s="1656"/>
      <c r="Q4" s="1656"/>
      <c r="R4" s="1656"/>
    </row>
    <row r="5" spans="1:18" x14ac:dyDescent="0.2">
      <c r="B5" s="856"/>
      <c r="C5" s="892"/>
      <c r="D5" s="892"/>
      <c r="E5" s="935"/>
      <c r="F5" s="857"/>
      <c r="G5" s="135"/>
      <c r="H5" s="130"/>
      <c r="I5" s="870"/>
      <c r="J5" s="1536"/>
      <c r="K5" s="857"/>
      <c r="L5" s="135"/>
      <c r="M5" s="130"/>
      <c r="N5" s="632"/>
    </row>
    <row r="6" spans="1:18" x14ac:dyDescent="0.2">
      <c r="A6" s="1478" t="s">
        <v>2190</v>
      </c>
      <c r="B6" s="856"/>
      <c r="C6" s="892"/>
      <c r="D6" s="892"/>
      <c r="E6" s="935"/>
      <c r="F6" s="817"/>
      <c r="G6" s="820"/>
      <c r="H6" s="86"/>
      <c r="I6" s="951"/>
      <c r="K6" s="817"/>
      <c r="L6" s="820"/>
      <c r="M6" s="86"/>
      <c r="N6" s="1639"/>
    </row>
    <row r="7" spans="1:18" x14ac:dyDescent="0.2">
      <c r="A7" s="1483" t="s">
        <v>210</v>
      </c>
      <c r="B7" s="856"/>
      <c r="C7" s="892"/>
      <c r="D7" s="892"/>
      <c r="E7" s="935"/>
      <c r="F7" s="2380"/>
      <c r="G7" s="205"/>
      <c r="H7" s="187"/>
      <c r="I7" s="951"/>
      <c r="K7" s="817"/>
      <c r="L7" s="820"/>
      <c r="M7" s="86"/>
      <c r="N7" s="1639"/>
    </row>
    <row r="8" spans="1:18" x14ac:dyDescent="0.2">
      <c r="A8" s="592" t="s">
        <v>52</v>
      </c>
      <c r="D8" s="892"/>
      <c r="E8" s="935"/>
      <c r="F8" s="2380"/>
      <c r="G8" s="205"/>
      <c r="H8" s="187"/>
      <c r="I8" s="951"/>
      <c r="K8" s="817"/>
      <c r="L8" s="820"/>
      <c r="M8" s="86"/>
      <c r="N8" s="1639"/>
    </row>
    <row r="9" spans="1:18" x14ac:dyDescent="0.2">
      <c r="A9" s="574" t="s">
        <v>949</v>
      </c>
      <c r="B9" s="877">
        <v>4183</v>
      </c>
      <c r="C9" s="901" t="s">
        <v>1424</v>
      </c>
      <c r="D9" s="226" t="s">
        <v>2058</v>
      </c>
      <c r="E9" s="935"/>
      <c r="F9" s="998">
        <v>4441</v>
      </c>
      <c r="G9" s="987" t="s">
        <v>1424</v>
      </c>
      <c r="H9" s="226" t="s">
        <v>2058</v>
      </c>
      <c r="I9" s="870" t="s">
        <v>977</v>
      </c>
      <c r="K9" s="1595">
        <v>3853</v>
      </c>
      <c r="L9" s="893" t="s">
        <v>1424</v>
      </c>
      <c r="M9" s="226" t="s">
        <v>2058</v>
      </c>
      <c r="N9" s="632"/>
    </row>
    <row r="10" spans="1:18" x14ac:dyDescent="0.2">
      <c r="A10" s="574" t="s">
        <v>950</v>
      </c>
      <c r="B10" s="877">
        <v>131</v>
      </c>
      <c r="C10" s="901" t="s">
        <v>1424</v>
      </c>
      <c r="D10" s="226" t="s">
        <v>2058</v>
      </c>
      <c r="E10" s="935"/>
      <c r="F10" s="998">
        <v>1050</v>
      </c>
      <c r="G10" s="987" t="s">
        <v>1424</v>
      </c>
      <c r="H10" s="226" t="s">
        <v>2058</v>
      </c>
      <c r="I10" s="870" t="s">
        <v>978</v>
      </c>
      <c r="K10" s="1595">
        <v>49</v>
      </c>
      <c r="L10" s="893" t="s">
        <v>1424</v>
      </c>
      <c r="M10" s="226" t="s">
        <v>2058</v>
      </c>
      <c r="N10" s="632"/>
    </row>
    <row r="11" spans="1:18" x14ac:dyDescent="0.2">
      <c r="A11" s="574" t="s">
        <v>951</v>
      </c>
      <c r="B11" s="877">
        <v>142</v>
      </c>
      <c r="C11" s="901" t="s">
        <v>1424</v>
      </c>
      <c r="D11" s="226" t="s">
        <v>2058</v>
      </c>
      <c r="E11" s="935"/>
      <c r="F11" s="998">
        <v>59</v>
      </c>
      <c r="G11" s="987" t="s">
        <v>1424</v>
      </c>
      <c r="H11" s="226" t="s">
        <v>2058</v>
      </c>
      <c r="I11" s="870" t="s">
        <v>979</v>
      </c>
      <c r="K11" s="1595">
        <v>9</v>
      </c>
      <c r="L11" s="893" t="s">
        <v>1424</v>
      </c>
      <c r="M11" s="226" t="s">
        <v>2058</v>
      </c>
      <c r="N11" s="632"/>
    </row>
    <row r="12" spans="1:18" x14ac:dyDescent="0.2">
      <c r="A12" s="574" t="s">
        <v>952</v>
      </c>
      <c r="B12" s="877">
        <v>341</v>
      </c>
      <c r="C12" s="901" t="s">
        <v>1424</v>
      </c>
      <c r="D12" s="226" t="s">
        <v>2058</v>
      </c>
      <c r="E12" s="935"/>
      <c r="F12" s="998">
        <v>406</v>
      </c>
      <c r="G12" s="987" t="s">
        <v>1424</v>
      </c>
      <c r="H12" s="226" t="s">
        <v>2058</v>
      </c>
      <c r="I12" s="870" t="s">
        <v>980</v>
      </c>
      <c r="J12" s="645" t="s">
        <v>1016</v>
      </c>
      <c r="K12" s="1595">
        <v>396</v>
      </c>
      <c r="L12" s="893" t="s">
        <v>1424</v>
      </c>
      <c r="M12" s="226" t="s">
        <v>2058</v>
      </c>
      <c r="N12" s="632"/>
    </row>
    <row r="13" spans="1:18" x14ac:dyDescent="0.2">
      <c r="A13" s="574" t="s">
        <v>953</v>
      </c>
      <c r="B13" s="877" t="s">
        <v>1017</v>
      </c>
      <c r="C13" s="901" t="s">
        <v>1517</v>
      </c>
      <c r="D13" s="226" t="s">
        <v>2058</v>
      </c>
      <c r="E13" s="874" t="s">
        <v>2171</v>
      </c>
      <c r="F13" s="998">
        <v>1590309</v>
      </c>
      <c r="G13" s="987" t="s">
        <v>1517</v>
      </c>
      <c r="H13" s="226" t="s">
        <v>2058</v>
      </c>
      <c r="I13" s="951" t="s">
        <v>981</v>
      </c>
      <c r="J13" s="645" t="s">
        <v>1016</v>
      </c>
      <c r="K13" s="1595">
        <v>0</v>
      </c>
      <c r="L13" s="893" t="s">
        <v>1517</v>
      </c>
      <c r="M13" s="226" t="s">
        <v>2065</v>
      </c>
      <c r="N13" s="1639"/>
    </row>
    <row r="14" spans="1:18" ht="24" x14ac:dyDescent="0.2">
      <c r="A14" s="574" t="s">
        <v>954</v>
      </c>
      <c r="B14" s="877">
        <v>417</v>
      </c>
      <c r="C14" s="901" t="s">
        <v>1518</v>
      </c>
      <c r="D14" s="226" t="s">
        <v>2058</v>
      </c>
      <c r="E14" s="935"/>
      <c r="F14" s="998">
        <v>442</v>
      </c>
      <c r="G14" s="987" t="s">
        <v>1518</v>
      </c>
      <c r="H14" s="226" t="s">
        <v>2058</v>
      </c>
      <c r="I14" s="951" t="s">
        <v>982</v>
      </c>
      <c r="K14" s="1595">
        <v>408</v>
      </c>
      <c r="L14" s="893" t="s">
        <v>1518</v>
      </c>
      <c r="M14" s="226" t="s">
        <v>2058</v>
      </c>
      <c r="N14" s="1639"/>
    </row>
    <row r="15" spans="1:18" ht="24" x14ac:dyDescent="0.2">
      <c r="A15" s="574" t="s">
        <v>955</v>
      </c>
      <c r="B15" s="877">
        <v>269</v>
      </c>
      <c r="C15" s="901" t="s">
        <v>1518</v>
      </c>
      <c r="D15" s="226" t="s">
        <v>2058</v>
      </c>
      <c r="E15" s="935"/>
      <c r="F15" s="998">
        <v>205</v>
      </c>
      <c r="G15" s="987" t="s">
        <v>1518</v>
      </c>
      <c r="H15" s="226" t="s">
        <v>2058</v>
      </c>
      <c r="I15" s="951" t="s">
        <v>983</v>
      </c>
      <c r="K15" s="1595">
        <v>188</v>
      </c>
      <c r="L15" s="893" t="s">
        <v>1518</v>
      </c>
      <c r="M15" s="226" t="s">
        <v>2058</v>
      </c>
      <c r="N15" s="1639"/>
    </row>
    <row r="16" spans="1:18" x14ac:dyDescent="0.2">
      <c r="A16" s="574" t="s">
        <v>956</v>
      </c>
      <c r="B16" s="877">
        <v>452</v>
      </c>
      <c r="C16" s="901" t="s">
        <v>1424</v>
      </c>
      <c r="D16" s="226" t="s">
        <v>2058</v>
      </c>
      <c r="E16" s="935"/>
      <c r="F16" s="998">
        <v>820</v>
      </c>
      <c r="G16" s="987" t="s">
        <v>1424</v>
      </c>
      <c r="H16" s="226" t="s">
        <v>2058</v>
      </c>
      <c r="I16" s="951" t="s">
        <v>984</v>
      </c>
      <c r="K16" s="1595">
        <v>1019</v>
      </c>
      <c r="L16" s="893" t="s">
        <v>1424</v>
      </c>
      <c r="M16" s="226" t="s">
        <v>2058</v>
      </c>
      <c r="N16" s="1639"/>
    </row>
    <row r="17" spans="1:14" x14ac:dyDescent="0.2">
      <c r="A17" s="574" t="s">
        <v>957</v>
      </c>
      <c r="B17" s="877">
        <v>3318</v>
      </c>
      <c r="C17" s="901" t="s">
        <v>1424</v>
      </c>
      <c r="D17" s="226" t="s">
        <v>2058</v>
      </c>
      <c r="E17" s="935"/>
      <c r="F17" s="998">
        <v>2561</v>
      </c>
      <c r="G17" s="987" t="s">
        <v>1424</v>
      </c>
      <c r="H17" s="226" t="s">
        <v>2058</v>
      </c>
      <c r="I17" s="951" t="s">
        <v>985</v>
      </c>
      <c r="K17" s="1595">
        <v>2210</v>
      </c>
      <c r="L17" s="893" t="s">
        <v>1424</v>
      </c>
      <c r="M17" s="226" t="s">
        <v>2058</v>
      </c>
      <c r="N17" s="1639"/>
    </row>
    <row r="18" spans="1:14" x14ac:dyDescent="0.2">
      <c r="A18" s="574" t="s">
        <v>958</v>
      </c>
      <c r="B18" s="877">
        <v>20</v>
      </c>
      <c r="C18" s="901" t="s">
        <v>1519</v>
      </c>
      <c r="D18" s="226" t="s">
        <v>2058</v>
      </c>
      <c r="E18" s="935"/>
      <c r="F18" s="998">
        <v>18</v>
      </c>
      <c r="G18" s="987" t="s">
        <v>1519</v>
      </c>
      <c r="H18" s="226" t="s">
        <v>2058</v>
      </c>
      <c r="I18" s="951" t="s">
        <v>986</v>
      </c>
      <c r="K18" s="1595">
        <v>13</v>
      </c>
      <c r="L18" s="893" t="s">
        <v>1519</v>
      </c>
      <c r="M18" s="226" t="s">
        <v>2058</v>
      </c>
      <c r="N18" s="1639"/>
    </row>
    <row r="19" spans="1:14" x14ac:dyDescent="0.2">
      <c r="A19" s="574" t="s">
        <v>959</v>
      </c>
      <c r="B19" s="877">
        <v>237</v>
      </c>
      <c r="C19" s="901" t="s">
        <v>1424</v>
      </c>
      <c r="D19" s="226" t="s">
        <v>2058</v>
      </c>
      <c r="E19" s="935"/>
      <c r="F19" s="998">
        <v>281</v>
      </c>
      <c r="G19" s="987" t="s">
        <v>1424</v>
      </c>
      <c r="H19" s="226" t="s">
        <v>2058</v>
      </c>
      <c r="I19" s="951"/>
      <c r="K19" s="1595">
        <v>205</v>
      </c>
      <c r="L19" s="893" t="s">
        <v>1424</v>
      </c>
      <c r="M19" s="226" t="s">
        <v>2058</v>
      </c>
      <c r="N19" s="1639"/>
    </row>
    <row r="20" spans="1:14" x14ac:dyDescent="0.2">
      <c r="A20" s="574" t="s">
        <v>960</v>
      </c>
      <c r="B20" s="877">
        <v>441</v>
      </c>
      <c r="C20" s="901" t="s">
        <v>1424</v>
      </c>
      <c r="D20" s="226" t="s">
        <v>2058</v>
      </c>
      <c r="E20" s="935"/>
      <c r="F20" s="998">
        <v>522</v>
      </c>
      <c r="G20" s="987" t="s">
        <v>1424</v>
      </c>
      <c r="H20" s="226" t="s">
        <v>2058</v>
      </c>
      <c r="I20" s="951"/>
      <c r="K20" s="1595">
        <v>381</v>
      </c>
      <c r="L20" s="893" t="s">
        <v>1424</v>
      </c>
      <c r="M20" s="226" t="s">
        <v>2058</v>
      </c>
      <c r="N20" s="1639"/>
    </row>
    <row r="21" spans="1:14" x14ac:dyDescent="0.2">
      <c r="A21" s="574" t="s">
        <v>961</v>
      </c>
      <c r="B21" s="877" t="s">
        <v>1017</v>
      </c>
      <c r="C21" s="901" t="s">
        <v>1424</v>
      </c>
      <c r="D21" s="226" t="s">
        <v>2058</v>
      </c>
      <c r="E21" s="949"/>
      <c r="F21" s="998">
        <v>711</v>
      </c>
      <c r="G21" s="987" t="s">
        <v>1424</v>
      </c>
      <c r="H21" s="226" t="s">
        <v>2058</v>
      </c>
      <c r="I21" s="951"/>
      <c r="J21" s="645" t="s">
        <v>1016</v>
      </c>
      <c r="K21" s="1595">
        <v>877</v>
      </c>
      <c r="L21" s="893" t="s">
        <v>1424</v>
      </c>
      <c r="M21" s="226" t="s">
        <v>2058</v>
      </c>
      <c r="N21" s="1639"/>
    </row>
    <row r="22" spans="1:14" ht="12.75" customHeight="1" x14ac:dyDescent="0.2">
      <c r="A22" s="177" t="s">
        <v>968</v>
      </c>
      <c r="B22" s="882">
        <v>4395</v>
      </c>
      <c r="C22" s="893" t="s">
        <v>1424</v>
      </c>
      <c r="D22" s="226" t="s">
        <v>2058</v>
      </c>
      <c r="E22" s="632" t="s">
        <v>993</v>
      </c>
      <c r="F22" s="968">
        <v>6333</v>
      </c>
      <c r="G22" s="987" t="s">
        <v>1424</v>
      </c>
      <c r="H22" s="226" t="s">
        <v>2058</v>
      </c>
      <c r="I22" s="632" t="s">
        <v>993</v>
      </c>
      <c r="J22" s="645" t="s">
        <v>1016</v>
      </c>
      <c r="K22" s="2152">
        <v>0</v>
      </c>
      <c r="L22" s="893" t="s">
        <v>1424</v>
      </c>
      <c r="M22" s="226" t="s">
        <v>2058</v>
      </c>
      <c r="N22" s="632" t="s">
        <v>2068</v>
      </c>
    </row>
    <row r="23" spans="1:14" x14ac:dyDescent="0.2">
      <c r="A23" s="1476" t="s">
        <v>152</v>
      </c>
      <c r="B23" s="856"/>
      <c r="C23" s="892"/>
      <c r="D23" s="892"/>
      <c r="E23" s="935"/>
      <c r="F23" s="2380"/>
      <c r="G23" s="205"/>
      <c r="H23" s="187"/>
      <c r="I23" s="951"/>
      <c r="K23" s="1643"/>
      <c r="L23" s="820"/>
      <c r="M23" s="187"/>
      <c r="N23" s="1639"/>
    </row>
    <row r="24" spans="1:14" s="91" customFormat="1" x14ac:dyDescent="0.2">
      <c r="A24" s="614" t="s">
        <v>943</v>
      </c>
      <c r="B24" s="587">
        <f>SUM(B9:B12,B16:B17,B19:B22)*1000</f>
        <v>13640000</v>
      </c>
      <c r="C24" s="135" t="s">
        <v>4</v>
      </c>
      <c r="D24" s="255"/>
      <c r="E24" s="937"/>
      <c r="F24" s="788">
        <f>SUM(F9:F12,F16:F17,F19:F22)*1000+F13</f>
        <v>18774309</v>
      </c>
      <c r="G24" s="135" t="s">
        <v>4</v>
      </c>
      <c r="H24" s="187"/>
      <c r="I24" s="870"/>
      <c r="J24" s="646"/>
      <c r="K24" s="1600">
        <f>SUM(K9:K12,K16:K17,K19:K22)*1000+K13</f>
        <v>8999000</v>
      </c>
      <c r="L24" s="135" t="s">
        <v>4</v>
      </c>
      <c r="M24" s="187"/>
      <c r="N24" s="632"/>
    </row>
    <row r="25" spans="1:14" s="91" customFormat="1" x14ac:dyDescent="0.2">
      <c r="A25" s="177" t="s">
        <v>682</v>
      </c>
      <c r="B25" s="587">
        <f t="shared" ref="B25" si="0">B24*thermTOTJ</f>
        <v>1437.9015200000003</v>
      </c>
      <c r="C25" s="311" t="s">
        <v>807</v>
      </c>
      <c r="D25" s="255"/>
      <c r="E25" s="937"/>
      <c r="F25" s="788">
        <f>F24*thermTOTJ</f>
        <v>1979.1501061620004</v>
      </c>
      <c r="G25" s="311" t="s">
        <v>807</v>
      </c>
      <c r="H25" s="187"/>
      <c r="I25" s="870"/>
      <c r="J25" s="646"/>
      <c r="K25" s="1600">
        <f>K24*thermTOTJ</f>
        <v>948.65658200000018</v>
      </c>
      <c r="L25" s="311" t="s">
        <v>807</v>
      </c>
      <c r="M25" s="187"/>
      <c r="N25" s="632"/>
    </row>
    <row r="26" spans="1:14" s="91" customFormat="1" ht="13.5" x14ac:dyDescent="0.2">
      <c r="A26" s="614" t="s">
        <v>944</v>
      </c>
      <c r="B26" s="587">
        <f t="shared" ref="B26" si="1">SUM(B14:B15,B18)*1000000</f>
        <v>706000000</v>
      </c>
      <c r="C26" s="536" t="s">
        <v>945</v>
      </c>
      <c r="D26" s="255"/>
      <c r="E26" s="937"/>
      <c r="F26" s="788">
        <f>SUM(F14:F15,F18)*1000000</f>
        <v>665000000</v>
      </c>
      <c r="G26" s="392" t="s">
        <v>945</v>
      </c>
      <c r="H26" s="187"/>
      <c r="I26" s="870"/>
      <c r="J26" s="646"/>
      <c r="K26" s="1600">
        <f>SUM(K14:K15,K18)*1000000</f>
        <v>609000000</v>
      </c>
      <c r="L26" s="536" t="s">
        <v>945</v>
      </c>
      <c r="M26" s="187"/>
      <c r="N26" s="632"/>
    </row>
    <row r="27" spans="1:14" s="91" customFormat="1" x14ac:dyDescent="0.2">
      <c r="A27" s="614" t="s">
        <v>946</v>
      </c>
      <c r="B27" s="587">
        <f t="shared" ref="B27:F27" si="2">B26*ft3TOL*HHVgas/1000000</f>
        <v>764.34585915999992</v>
      </c>
      <c r="C27" s="392" t="s">
        <v>554</v>
      </c>
      <c r="D27" s="255"/>
      <c r="E27" s="874"/>
      <c r="F27" s="587">
        <f t="shared" si="2"/>
        <v>719.95750190000001</v>
      </c>
      <c r="G27" s="392" t="s">
        <v>554</v>
      </c>
      <c r="H27" s="187"/>
      <c r="I27" s="870"/>
      <c r="J27" s="646"/>
      <c r="K27" s="1566">
        <f>K26*ft3TOL*HHVgas/1000000</f>
        <v>659.32950173999996</v>
      </c>
      <c r="L27" s="392" t="s">
        <v>554</v>
      </c>
      <c r="M27" s="187"/>
      <c r="N27" s="632"/>
    </row>
    <row r="28" spans="1:14" s="91" customFormat="1" x14ac:dyDescent="0.2">
      <c r="A28" s="614" t="s">
        <v>947</v>
      </c>
      <c r="B28" s="587">
        <f t="shared" ref="B28" si="3">SUM(B25,B27)</f>
        <v>2202.2473791600005</v>
      </c>
      <c r="C28" s="311" t="s">
        <v>554</v>
      </c>
      <c r="D28" s="255"/>
      <c r="E28" s="937"/>
      <c r="F28" s="788">
        <f>SUM(F25,F27)</f>
        <v>2699.1076080620005</v>
      </c>
      <c r="G28" s="311" t="s">
        <v>554</v>
      </c>
      <c r="H28" s="187"/>
      <c r="I28" s="870"/>
      <c r="J28" s="646"/>
      <c r="K28" s="1600">
        <f>SUM(K25,K27)</f>
        <v>1607.9860837400001</v>
      </c>
      <c r="L28" s="311" t="s">
        <v>554</v>
      </c>
      <c r="M28" s="187"/>
      <c r="N28" s="632"/>
    </row>
    <row r="29" spans="1:14" s="91" customFormat="1" x14ac:dyDescent="0.2">
      <c r="A29" s="614"/>
      <c r="B29" s="788">
        <f>B24*thermTOBtu*10^-6</f>
        <v>1364000</v>
      </c>
      <c r="C29" s="311" t="s">
        <v>2104</v>
      </c>
      <c r="D29" s="255"/>
      <c r="E29" s="937"/>
      <c r="F29" s="788">
        <f>F24*thermTOBtu*10^-6</f>
        <v>1877430.9</v>
      </c>
      <c r="G29" s="311" t="s">
        <v>2104</v>
      </c>
      <c r="H29" s="187"/>
      <c r="I29" s="870"/>
      <c r="J29" s="646"/>
      <c r="K29" s="1600">
        <f>K24*thermTOBtu*10^-6</f>
        <v>899900</v>
      </c>
      <c r="L29" s="311" t="s">
        <v>2104</v>
      </c>
      <c r="M29" s="187"/>
      <c r="N29" s="632"/>
    </row>
    <row r="30" spans="1:14" ht="13.5" x14ac:dyDescent="0.2">
      <c r="A30" s="256" t="s">
        <v>1204</v>
      </c>
      <c r="B30" s="812">
        <f>B29*'Emission Factors'!C112*10^-6+B29*efgas.res.ch4*GWPCH4*10^-6+B29*efgas.res.n2o*GWPN2O*10^-6</f>
        <v>72799.544399999999</v>
      </c>
      <c r="C30" s="865" t="s">
        <v>2169</v>
      </c>
      <c r="D30" s="838"/>
      <c r="E30" s="938"/>
      <c r="F30" s="812">
        <f>F29*'Emission Factors'!C112*10^-6+F29*efgas.res.ch4*GWPCH4*10^-6+F29*efgas.res.n2o*GWPN2O*10^-6</f>
        <v>100202.42973788999</v>
      </c>
      <c r="G30" s="865" t="s">
        <v>2169</v>
      </c>
      <c r="H30" s="131"/>
      <c r="I30" s="895"/>
      <c r="K30" s="812">
        <f>K29*'Emission Factors'!C112*10^-6+K29*efgas.res.ch4*GWPCH4*10^-6+K29*efgas.res.n2o*GWPN2O*10^-6</f>
        <v>48029.552789999994</v>
      </c>
      <c r="L30" s="865" t="s">
        <v>2169</v>
      </c>
      <c r="M30" s="131"/>
      <c r="N30" s="631"/>
    </row>
    <row r="31" spans="1:14" x14ac:dyDescent="0.2">
      <c r="A31" s="113"/>
      <c r="B31" s="856"/>
      <c r="C31" s="892"/>
      <c r="D31" s="892"/>
      <c r="E31" s="935"/>
      <c r="F31" s="2380"/>
      <c r="G31" s="205"/>
      <c r="H31" s="187"/>
      <c r="I31" s="951"/>
      <c r="K31" s="1643"/>
      <c r="L31" s="820"/>
      <c r="M31" s="187"/>
      <c r="N31" s="1639"/>
    </row>
    <row r="32" spans="1:14" x14ac:dyDescent="0.2">
      <c r="A32" s="1478" t="s">
        <v>70</v>
      </c>
      <c r="D32" s="892"/>
      <c r="E32" s="935"/>
      <c r="F32" s="855"/>
      <c r="G32" s="135"/>
      <c r="H32" s="135"/>
      <c r="K32" s="1645"/>
      <c r="L32" s="138"/>
      <c r="M32" s="135"/>
    </row>
    <row r="33" spans="1:14" x14ac:dyDescent="0.2">
      <c r="A33" s="1483" t="s">
        <v>210</v>
      </c>
      <c r="D33" s="892"/>
      <c r="E33" s="935"/>
      <c r="F33" s="788"/>
      <c r="G33" s="135"/>
      <c r="H33" s="135"/>
      <c r="K33" s="1600"/>
      <c r="L33" s="138"/>
      <c r="M33" s="135"/>
    </row>
    <row r="34" spans="1:14" x14ac:dyDescent="0.2">
      <c r="A34" s="574" t="s">
        <v>962</v>
      </c>
      <c r="B34" s="877">
        <v>0</v>
      </c>
      <c r="C34" s="893" t="s">
        <v>1520</v>
      </c>
      <c r="D34" s="226" t="s">
        <v>2058</v>
      </c>
      <c r="E34" s="949"/>
      <c r="F34" s="998">
        <v>2676</v>
      </c>
      <c r="G34" s="987" t="s">
        <v>1520</v>
      </c>
      <c r="H34" s="226" t="s">
        <v>2058</v>
      </c>
      <c r="I34" s="870" t="s">
        <v>987</v>
      </c>
      <c r="J34" s="645" t="s">
        <v>1016</v>
      </c>
      <c r="K34" s="1595">
        <v>2220</v>
      </c>
      <c r="L34" s="893" t="s">
        <v>1520</v>
      </c>
      <c r="M34" s="226" t="s">
        <v>2058</v>
      </c>
      <c r="N34" s="632"/>
    </row>
    <row r="35" spans="1:14" x14ac:dyDescent="0.2">
      <c r="A35" s="574" t="s">
        <v>963</v>
      </c>
      <c r="B35" s="877">
        <v>142</v>
      </c>
      <c r="C35" s="893" t="s">
        <v>1520</v>
      </c>
      <c r="D35" s="226" t="s">
        <v>2058</v>
      </c>
      <c r="E35" s="935"/>
      <c r="F35" s="998">
        <v>154866</v>
      </c>
      <c r="G35" s="987" t="s">
        <v>1520</v>
      </c>
      <c r="H35" s="226" t="s">
        <v>2058</v>
      </c>
      <c r="I35" s="870" t="s">
        <v>988</v>
      </c>
      <c r="J35" s="1636"/>
      <c r="K35" s="1595">
        <v>121</v>
      </c>
      <c r="L35" s="893" t="s">
        <v>1520</v>
      </c>
      <c r="M35" s="226" t="s">
        <v>2058</v>
      </c>
      <c r="N35" s="632"/>
    </row>
    <row r="36" spans="1:14" ht="11.25" customHeight="1" x14ac:dyDescent="0.2">
      <c r="A36" s="574" t="s">
        <v>964</v>
      </c>
      <c r="B36" s="877">
        <v>12552</v>
      </c>
      <c r="C36" s="893" t="s">
        <v>1520</v>
      </c>
      <c r="D36" s="226" t="s">
        <v>2058</v>
      </c>
      <c r="E36" s="935"/>
      <c r="F36" s="998">
        <v>4220</v>
      </c>
      <c r="G36" s="987" t="s">
        <v>1520</v>
      </c>
      <c r="H36" s="226" t="s">
        <v>2058</v>
      </c>
      <c r="I36" s="870" t="s">
        <v>989</v>
      </c>
      <c r="J36" s="1636"/>
      <c r="K36" s="1595">
        <v>4247</v>
      </c>
      <c r="L36" s="893" t="s">
        <v>1520</v>
      </c>
      <c r="M36" s="226" t="s">
        <v>2058</v>
      </c>
      <c r="N36" s="632"/>
    </row>
    <row r="37" spans="1:14" x14ac:dyDescent="0.2">
      <c r="A37" s="1476" t="s">
        <v>152</v>
      </c>
      <c r="B37" s="856"/>
      <c r="C37" s="205"/>
      <c r="D37" s="892"/>
      <c r="E37" s="935"/>
      <c r="F37" s="924"/>
      <c r="G37" s="205"/>
      <c r="H37" s="187"/>
      <c r="I37" s="870"/>
      <c r="J37" s="1636"/>
      <c r="K37" s="1591"/>
      <c r="L37" s="205"/>
      <c r="M37" s="187"/>
      <c r="N37" s="632"/>
    </row>
    <row r="38" spans="1:14" s="369" customFormat="1" x14ac:dyDescent="0.2">
      <c r="A38" s="615" t="s">
        <v>5</v>
      </c>
      <c r="B38" s="587">
        <f t="shared" ref="B38:F38" si="4">SUM(B34:B36)</f>
        <v>12694</v>
      </c>
      <c r="C38" s="932" t="s">
        <v>654</v>
      </c>
      <c r="D38" s="939"/>
      <c r="E38" s="940"/>
      <c r="F38" s="923">
        <f t="shared" si="4"/>
        <v>161762</v>
      </c>
      <c r="G38" s="870" t="s">
        <v>1520</v>
      </c>
      <c r="H38" s="952"/>
      <c r="I38" s="870"/>
      <c r="J38" s="1637"/>
      <c r="K38" s="1646">
        <f>SUM(K34:K36)</f>
        <v>6588</v>
      </c>
      <c r="L38" s="932" t="s">
        <v>654</v>
      </c>
      <c r="M38" s="952"/>
      <c r="N38" s="632"/>
    </row>
    <row r="39" spans="1:14" ht="13.5" x14ac:dyDescent="0.2">
      <c r="A39" s="256" t="s">
        <v>104</v>
      </c>
      <c r="B39" s="271">
        <f>B38*efgdistillate/1000000+B38*efgdistillate.ind.ch4*GWPCH4/1000000+B38*efgdistillate.ind.n2o*GWPN2O/1000000</f>
        <v>130.25508765458216</v>
      </c>
      <c r="C39" s="309" t="s">
        <v>207</v>
      </c>
      <c r="D39" s="554"/>
      <c r="E39" s="941"/>
      <c r="F39" s="271">
        <f>F38*efgdistillate/1000000+F38*efgdistillate.ind.ch4*GWPCH4/1000000+F38*efgdistillate.ind.n2o*GWPN2O/1000000</f>
        <v>1659.8647777832455</v>
      </c>
      <c r="G39" s="309" t="s">
        <v>207</v>
      </c>
      <c r="H39" s="131"/>
      <c r="I39" s="895"/>
      <c r="J39" s="1636"/>
      <c r="K39" s="271">
        <f>K38*efgdistillate/1000000+K38*efgdistillate.ind.ch4*GWPCH4/1000000+K38*efgdistillate.ind.n2o*GWPN2O/1000000</f>
        <v>67.600481918102048</v>
      </c>
      <c r="L39" s="309" t="s">
        <v>207</v>
      </c>
      <c r="M39" s="131"/>
      <c r="N39" s="631"/>
    </row>
    <row r="40" spans="1:14" x14ac:dyDescent="0.2">
      <c r="A40" s="252"/>
      <c r="B40" s="856"/>
      <c r="C40" s="205"/>
      <c r="D40" s="892"/>
      <c r="E40" s="935"/>
      <c r="F40" s="924"/>
      <c r="G40" s="205"/>
      <c r="H40" s="187"/>
      <c r="I40" s="870"/>
      <c r="K40" s="1591"/>
      <c r="L40" s="205"/>
      <c r="M40" s="187"/>
      <c r="N40" s="632"/>
    </row>
    <row r="41" spans="1:14" x14ac:dyDescent="0.2">
      <c r="A41" s="1478" t="s">
        <v>94</v>
      </c>
      <c r="B41" s="856"/>
      <c r="C41" s="892"/>
      <c r="D41" s="892"/>
      <c r="E41" s="935"/>
      <c r="F41" s="855"/>
      <c r="G41" s="135"/>
      <c r="H41" s="135"/>
      <c r="I41" s="889"/>
      <c r="K41" s="1645"/>
      <c r="L41" s="135"/>
      <c r="M41" s="135"/>
      <c r="N41" s="891"/>
    </row>
    <row r="42" spans="1:14" x14ac:dyDescent="0.2">
      <c r="A42" s="1483" t="s">
        <v>210</v>
      </c>
      <c r="B42" s="856"/>
      <c r="C42" s="892"/>
      <c r="D42" s="892"/>
      <c r="E42" s="935"/>
      <c r="F42" s="855"/>
      <c r="G42" s="135"/>
      <c r="H42" s="135"/>
      <c r="I42" s="889"/>
      <c r="K42" s="1645"/>
      <c r="L42" s="135"/>
      <c r="M42" s="135"/>
      <c r="N42" s="891"/>
    </row>
    <row r="43" spans="1:14" x14ac:dyDescent="0.2">
      <c r="A43" s="1634" t="s">
        <v>38</v>
      </c>
      <c r="B43" s="856"/>
      <c r="C43" s="892"/>
      <c r="D43" s="892"/>
      <c r="E43" s="935"/>
      <c r="F43" s="926"/>
      <c r="G43" s="205"/>
      <c r="H43" s="187"/>
      <c r="I43" s="870"/>
      <c r="K43" s="1647"/>
      <c r="L43" s="205"/>
      <c r="M43" s="187"/>
      <c r="N43" s="632"/>
    </row>
    <row r="44" spans="1:14" s="180" customFormat="1" x14ac:dyDescent="0.2">
      <c r="A44" s="574" t="s">
        <v>965</v>
      </c>
      <c r="B44" s="877" t="s">
        <v>1017</v>
      </c>
      <c r="C44" s="893" t="s">
        <v>1520</v>
      </c>
      <c r="D44" s="892"/>
      <c r="E44" s="949"/>
      <c r="F44" s="998">
        <v>100</v>
      </c>
      <c r="G44" s="987" t="s">
        <v>1520</v>
      </c>
      <c r="H44" s="226" t="s">
        <v>2058</v>
      </c>
      <c r="I44" s="951" t="s">
        <v>990</v>
      </c>
      <c r="J44" s="645" t="s">
        <v>1016</v>
      </c>
      <c r="K44" s="1595">
        <v>0</v>
      </c>
      <c r="L44" s="893" t="s">
        <v>1520</v>
      </c>
      <c r="M44" s="226" t="s">
        <v>2065</v>
      </c>
      <c r="N44" s="1639"/>
    </row>
    <row r="45" spans="1:14" s="180" customFormat="1" x14ac:dyDescent="0.2">
      <c r="A45" s="574" t="s">
        <v>966</v>
      </c>
      <c r="B45" s="877">
        <v>800</v>
      </c>
      <c r="C45" s="893" t="s">
        <v>1520</v>
      </c>
      <c r="D45" s="226" t="s">
        <v>2058</v>
      </c>
      <c r="E45" s="935"/>
      <c r="F45" s="998">
        <v>4743</v>
      </c>
      <c r="G45" s="987" t="s">
        <v>1520</v>
      </c>
      <c r="H45" s="226" t="s">
        <v>2058</v>
      </c>
      <c r="I45" s="951" t="s">
        <v>991</v>
      </c>
      <c r="J45" s="645" t="s">
        <v>1016</v>
      </c>
      <c r="K45" s="1595">
        <v>0</v>
      </c>
      <c r="L45" s="893" t="s">
        <v>1520</v>
      </c>
      <c r="M45" s="226" t="s">
        <v>2058</v>
      </c>
      <c r="N45" s="1639"/>
    </row>
    <row r="46" spans="1:14" x14ac:dyDescent="0.2">
      <c r="A46" s="1476" t="s">
        <v>152</v>
      </c>
      <c r="B46" s="856"/>
      <c r="C46" s="205"/>
      <c r="D46" s="892"/>
      <c r="E46" s="935"/>
      <c r="F46" s="924"/>
      <c r="G46" s="205"/>
      <c r="H46" s="187"/>
      <c r="I46" s="951"/>
      <c r="K46" s="1591"/>
      <c r="L46" s="205"/>
      <c r="M46" s="187"/>
      <c r="N46" s="1639"/>
    </row>
    <row r="47" spans="1:14" s="91" customFormat="1" x14ac:dyDescent="0.2">
      <c r="A47" s="614" t="s">
        <v>2078</v>
      </c>
      <c r="B47" s="587">
        <f>SUM(B44:B45)</f>
        <v>800</v>
      </c>
      <c r="C47" s="392" t="s">
        <v>1520</v>
      </c>
      <c r="D47" s="939"/>
      <c r="E47" s="942"/>
      <c r="F47" s="924">
        <f>SUM(F44:F45)</f>
        <v>4843</v>
      </c>
      <c r="G47" s="392" t="s">
        <v>1520</v>
      </c>
      <c r="H47" s="187"/>
      <c r="I47" s="870"/>
      <c r="J47" s="646"/>
      <c r="K47" s="1591">
        <v>0</v>
      </c>
      <c r="L47" s="392" t="s">
        <v>1520</v>
      </c>
      <c r="M47" s="187"/>
      <c r="N47" s="632"/>
    </row>
    <row r="48" spans="1:14" ht="13.5" x14ac:dyDescent="0.2">
      <c r="A48" s="256" t="s">
        <v>684</v>
      </c>
      <c r="B48" s="271">
        <f>B47*efgresidual/1000000+B47*efgresidual.ind.ch4/1000000*GWPCH4+B47*efgresidual.ind.n2o/1000000*GWPN2O</f>
        <v>9.0623935420704971</v>
      </c>
      <c r="C48" s="309" t="s">
        <v>207</v>
      </c>
      <c r="D48" s="943"/>
      <c r="E48" s="944"/>
      <c r="F48" s="271">
        <f>F47*efgresidual/1000000+F47*efgresidual.ind.ch4/1000000*GWPCH4+F47*efgresidual.ind.n2o/1000000*GWPN2O</f>
        <v>54.861464905309262</v>
      </c>
      <c r="G48" s="309" t="s">
        <v>207</v>
      </c>
      <c r="H48" s="131"/>
      <c r="I48" s="895"/>
      <c r="K48" s="271">
        <f>K47*efgresidual/1000000+K47*efgresidual.ind.ch4/1000000*GWPCH4+K47*efgresidual.ind.n2o/1000000*GWPN2O</f>
        <v>0</v>
      </c>
      <c r="L48" s="309" t="s">
        <v>207</v>
      </c>
      <c r="M48" s="131"/>
      <c r="N48" s="631"/>
    </row>
    <row r="49" spans="1:14" x14ac:dyDescent="0.2">
      <c r="A49" s="256"/>
      <c r="B49" s="271"/>
      <c r="C49" s="309"/>
      <c r="D49" s="943"/>
      <c r="E49" s="944"/>
      <c r="F49" s="925"/>
      <c r="G49" s="309"/>
      <c r="H49" s="131"/>
      <c r="I49" s="895"/>
      <c r="K49" s="1648"/>
      <c r="L49" s="309"/>
      <c r="M49" s="131"/>
      <c r="N49" s="631"/>
    </row>
    <row r="50" spans="1:14" x14ac:dyDescent="0.2">
      <c r="A50" s="256" t="s">
        <v>6</v>
      </c>
      <c r="B50" s="271">
        <f>SUM(B47+B38)</f>
        <v>13494</v>
      </c>
      <c r="C50" s="873" t="s">
        <v>1520</v>
      </c>
      <c r="D50" s="554"/>
      <c r="E50" s="941"/>
      <c r="F50" s="271">
        <f>SUM(F47+F38)</f>
        <v>166605</v>
      </c>
      <c r="G50" s="873" t="s">
        <v>1520</v>
      </c>
      <c r="H50" s="131"/>
      <c r="I50" s="895"/>
      <c r="K50" s="1567">
        <f>SUM(K47+K38)</f>
        <v>6588</v>
      </c>
      <c r="L50" s="873" t="s">
        <v>1520</v>
      </c>
      <c r="M50" s="131"/>
      <c r="N50" s="631"/>
    </row>
    <row r="51" spans="1:14" ht="13.5" x14ac:dyDescent="0.2">
      <c r="A51" s="256" t="s">
        <v>7</v>
      </c>
      <c r="B51" s="812">
        <f>B48+B39</f>
        <v>139.31748119665266</v>
      </c>
      <c r="C51" s="865" t="s">
        <v>2169</v>
      </c>
      <c r="D51" s="838"/>
      <c r="E51" s="938"/>
      <c r="F51" s="812">
        <f t="shared" ref="F51" si="5">F48+F39</f>
        <v>1714.7262426885547</v>
      </c>
      <c r="G51" s="865" t="s">
        <v>2169</v>
      </c>
      <c r="H51" s="131"/>
      <c r="I51" s="895"/>
      <c r="K51" s="1644">
        <f>K48+K39</f>
        <v>67.600481918102048</v>
      </c>
      <c r="L51" s="865" t="s">
        <v>2169</v>
      </c>
      <c r="M51" s="131"/>
      <c r="N51" s="631"/>
    </row>
    <row r="52" spans="1:14" x14ac:dyDescent="0.2">
      <c r="B52" s="856"/>
      <c r="C52" s="892"/>
      <c r="D52" s="892"/>
      <c r="E52" s="935"/>
      <c r="F52" s="857"/>
      <c r="G52" s="205"/>
      <c r="H52" s="187"/>
      <c r="I52" s="870"/>
      <c r="K52" s="1588"/>
      <c r="L52" s="205"/>
      <c r="M52" s="187"/>
      <c r="N52" s="632"/>
    </row>
    <row r="53" spans="1:14" ht="12" customHeight="1" x14ac:dyDescent="0.2">
      <c r="A53" s="1478" t="s">
        <v>71</v>
      </c>
      <c r="B53" s="856"/>
      <c r="C53" s="892"/>
      <c r="D53" s="892"/>
      <c r="E53" s="935"/>
      <c r="F53" s="857"/>
      <c r="G53" s="135"/>
      <c r="H53" s="130"/>
      <c r="I53" s="870"/>
      <c r="K53" s="1588"/>
      <c r="L53" s="135"/>
      <c r="M53" s="130"/>
      <c r="N53" s="632"/>
    </row>
    <row r="54" spans="1:14" ht="12" customHeight="1" x14ac:dyDescent="0.2">
      <c r="A54" s="1483" t="s">
        <v>210</v>
      </c>
      <c r="B54" s="856"/>
      <c r="C54" s="892"/>
      <c r="D54" s="892"/>
      <c r="E54" s="935"/>
      <c r="F54" s="857"/>
      <c r="G54" s="135"/>
      <c r="H54" s="130"/>
      <c r="I54" s="870"/>
      <c r="K54" s="1588"/>
      <c r="L54" s="135"/>
      <c r="M54" s="130"/>
      <c r="N54" s="632"/>
    </row>
    <row r="55" spans="1:14" x14ac:dyDescent="0.2">
      <c r="A55" s="592" t="s">
        <v>38</v>
      </c>
      <c r="B55" s="856"/>
      <c r="C55" s="892"/>
      <c r="D55" s="892"/>
      <c r="E55" s="935"/>
      <c r="F55" s="857"/>
      <c r="G55" s="135"/>
      <c r="H55" s="130"/>
      <c r="I55" s="870"/>
      <c r="K55" s="1588"/>
      <c r="L55" s="135"/>
      <c r="M55" s="130"/>
      <c r="N55" s="632"/>
    </row>
    <row r="56" spans="1:14" x14ac:dyDescent="0.2">
      <c r="A56" s="574" t="s">
        <v>1047</v>
      </c>
      <c r="B56" s="877">
        <v>61382</v>
      </c>
      <c r="C56" s="893" t="s">
        <v>1521</v>
      </c>
      <c r="D56" s="226" t="s">
        <v>2058</v>
      </c>
      <c r="E56" s="935"/>
      <c r="F56" s="998">
        <v>56847</v>
      </c>
      <c r="G56" s="987" t="s">
        <v>1521</v>
      </c>
      <c r="H56" s="226" t="s">
        <v>2058</v>
      </c>
      <c r="I56" s="870" t="s">
        <v>1048</v>
      </c>
      <c r="K56" s="1595">
        <v>51278</v>
      </c>
      <c r="L56" s="893" t="s">
        <v>1521</v>
      </c>
      <c r="M56" s="226" t="s">
        <v>2058</v>
      </c>
      <c r="N56" s="632"/>
    </row>
    <row r="57" spans="1:14" x14ac:dyDescent="0.2">
      <c r="A57" s="1483" t="s">
        <v>210</v>
      </c>
      <c r="B57" s="856"/>
      <c r="C57" s="892"/>
      <c r="D57" s="892"/>
      <c r="E57" s="935"/>
      <c r="F57" s="930"/>
      <c r="G57" s="205"/>
      <c r="H57" s="187"/>
      <c r="I57" s="951"/>
      <c r="K57" s="1649"/>
      <c r="L57" s="205"/>
      <c r="M57" s="187"/>
      <c r="N57" s="1639"/>
    </row>
    <row r="58" spans="1:14" x14ac:dyDescent="0.2">
      <c r="A58" s="177" t="s">
        <v>42</v>
      </c>
      <c r="B58" s="856"/>
      <c r="C58" s="892"/>
      <c r="D58" s="892"/>
      <c r="E58" s="935"/>
      <c r="F58" s="930"/>
      <c r="G58" s="205"/>
      <c r="H58" s="187"/>
      <c r="I58" s="951"/>
      <c r="K58" s="1649"/>
      <c r="L58" s="205"/>
      <c r="M58" s="187"/>
      <c r="N58" s="1639"/>
    </row>
    <row r="59" spans="1:14" x14ac:dyDescent="0.2">
      <c r="A59" s="611" t="s">
        <v>39</v>
      </c>
      <c r="B59" s="823">
        <v>46656</v>
      </c>
      <c r="C59" s="392" t="s">
        <v>771</v>
      </c>
      <c r="D59" s="892" t="s">
        <v>2049</v>
      </c>
      <c r="E59" s="935"/>
      <c r="F59" s="857">
        <v>70729</v>
      </c>
      <c r="G59" s="205" t="s">
        <v>771</v>
      </c>
      <c r="H59" s="643" t="s">
        <v>1112</v>
      </c>
      <c r="I59" s="870"/>
      <c r="K59" s="1588">
        <v>0</v>
      </c>
      <c r="L59" s="205" t="s">
        <v>771</v>
      </c>
      <c r="M59" s="226" t="s">
        <v>2058</v>
      </c>
      <c r="N59" s="761" t="s">
        <v>2168</v>
      </c>
    </row>
    <row r="60" spans="1:14" x14ac:dyDescent="0.2">
      <c r="A60" s="1476" t="s">
        <v>152</v>
      </c>
      <c r="B60" s="917"/>
      <c r="C60" s="933"/>
      <c r="D60" s="933"/>
      <c r="E60" s="945"/>
      <c r="F60" s="320"/>
      <c r="G60" s="245"/>
      <c r="H60" s="245"/>
      <c r="I60" s="953"/>
      <c r="K60" s="1498"/>
      <c r="L60" s="245"/>
      <c r="M60" s="245"/>
      <c r="N60" s="1640"/>
    </row>
    <row r="61" spans="1:14" x14ac:dyDescent="0.2">
      <c r="A61" s="177" t="s">
        <v>56</v>
      </c>
      <c r="B61" s="856"/>
      <c r="C61" s="892"/>
      <c r="D61" s="892"/>
      <c r="E61" s="935"/>
      <c r="F61" s="857"/>
      <c r="G61" s="135"/>
      <c r="H61" s="130"/>
      <c r="I61" s="870"/>
      <c r="K61" s="1588"/>
      <c r="L61" s="135"/>
      <c r="M61" s="130"/>
      <c r="N61" s="632"/>
    </row>
    <row r="62" spans="1:14" x14ac:dyDescent="0.2">
      <c r="A62" s="611" t="s">
        <v>221</v>
      </c>
      <c r="B62" s="823">
        <f>B56*tonTOMg</f>
        <v>55684.52276</v>
      </c>
      <c r="C62" s="392" t="s">
        <v>769</v>
      </c>
      <c r="D62" s="892"/>
      <c r="E62" s="935"/>
      <c r="F62" s="857">
        <f>F56*tonTOMg</f>
        <v>51570.461459999999</v>
      </c>
      <c r="G62" s="392" t="s">
        <v>769</v>
      </c>
      <c r="H62" s="130"/>
      <c r="I62" s="870"/>
      <c r="J62" s="646"/>
      <c r="K62" s="1588">
        <f>K56*tonTOMg</f>
        <v>46518.376040000003</v>
      </c>
      <c r="L62" s="392" t="s">
        <v>769</v>
      </c>
      <c r="M62" s="130"/>
      <c r="N62" s="632"/>
    </row>
    <row r="63" spans="1:14" x14ac:dyDescent="0.2">
      <c r="A63" s="611" t="s">
        <v>72</v>
      </c>
      <c r="B63" s="823">
        <f>B59*tonTOMg</f>
        <v>42325.390079999997</v>
      </c>
      <c r="C63" s="392" t="s">
        <v>769</v>
      </c>
      <c r="D63" s="892"/>
      <c r="E63" s="935"/>
      <c r="F63" s="928">
        <f>F59*tonTOMg</f>
        <v>64163.934219999996</v>
      </c>
      <c r="G63" s="392" t="s">
        <v>769</v>
      </c>
      <c r="H63" s="130"/>
      <c r="I63" s="870"/>
      <c r="J63" s="1489"/>
      <c r="K63" s="1650">
        <f>K59*tonTOMg</f>
        <v>0</v>
      </c>
      <c r="L63" s="392" t="s">
        <v>769</v>
      </c>
      <c r="M63" s="130"/>
      <c r="N63" s="632"/>
    </row>
    <row r="64" spans="1:14" x14ac:dyDescent="0.2">
      <c r="A64" s="252" t="s">
        <v>75</v>
      </c>
      <c r="B64" s="823">
        <f>SUM(B62:B63)</f>
        <v>98009.912840000005</v>
      </c>
      <c r="C64" s="392" t="s">
        <v>769</v>
      </c>
      <c r="D64" s="892"/>
      <c r="E64" s="935"/>
      <c r="F64" s="857">
        <f>SUM(F62:F63)</f>
        <v>115734.39567999999</v>
      </c>
      <c r="G64" s="392" t="s">
        <v>769</v>
      </c>
      <c r="H64" s="130"/>
      <c r="I64" s="870"/>
      <c r="J64" s="1489"/>
      <c r="K64" s="1588">
        <f>SUM(K62:K63)</f>
        <v>46518.376040000003</v>
      </c>
      <c r="L64" s="392" t="s">
        <v>769</v>
      </c>
      <c r="M64" s="130"/>
      <c r="N64" s="632"/>
    </row>
    <row r="65" spans="1:14" x14ac:dyDescent="0.2">
      <c r="A65" s="252" t="s">
        <v>104</v>
      </c>
      <c r="B65" s="823"/>
      <c r="C65" s="392"/>
      <c r="D65" s="892"/>
      <c r="E65" s="935"/>
      <c r="F65" s="857"/>
      <c r="G65" s="135"/>
      <c r="H65" s="130"/>
      <c r="I65" s="870"/>
      <c r="J65" s="646"/>
      <c r="K65" s="1588"/>
      <c r="L65" s="135"/>
      <c r="M65" s="130"/>
      <c r="N65" s="632"/>
    </row>
    <row r="66" spans="1:14" ht="13.5" x14ac:dyDescent="0.2">
      <c r="A66" s="611" t="s">
        <v>221</v>
      </c>
      <c r="B66" s="823">
        <f>B62*efcoal/1000</f>
        <v>162597.23877842203</v>
      </c>
      <c r="C66" s="392" t="s">
        <v>279</v>
      </c>
      <c r="D66" s="892"/>
      <c r="E66" s="935"/>
      <c r="F66" s="928">
        <f>F62*efcoal/1000</f>
        <v>150584.29560517671</v>
      </c>
      <c r="G66" s="135" t="s">
        <v>279</v>
      </c>
      <c r="H66" s="130"/>
      <c r="I66" s="870"/>
      <c r="J66" s="646"/>
      <c r="K66" s="1650">
        <f>K62*efcoal/1000</f>
        <v>135832.34840963027</v>
      </c>
      <c r="L66" s="135" t="s">
        <v>279</v>
      </c>
      <c r="M66" s="130"/>
      <c r="N66" s="632"/>
    </row>
    <row r="67" spans="1:14" ht="13.5" x14ac:dyDescent="0.2">
      <c r="A67" s="611" t="s">
        <v>72</v>
      </c>
      <c r="B67" s="823">
        <f>B63*efcoal/1000</f>
        <v>123588.94745114299</v>
      </c>
      <c r="C67" s="392" t="s">
        <v>279</v>
      </c>
      <c r="D67" s="892"/>
      <c r="E67" s="935"/>
      <c r="F67" s="1246">
        <f>F63*efcoal/1000</f>
        <v>187356.8815216026</v>
      </c>
      <c r="G67" s="135" t="s">
        <v>279</v>
      </c>
      <c r="H67" s="130"/>
      <c r="I67" s="870"/>
      <c r="J67" s="1385"/>
      <c r="K67" s="1651">
        <f>K63*efcoal/1000</f>
        <v>0</v>
      </c>
      <c r="L67" s="135" t="s">
        <v>279</v>
      </c>
      <c r="M67" s="130"/>
      <c r="N67" s="632"/>
    </row>
    <row r="68" spans="1:14" ht="13.5" x14ac:dyDescent="0.2">
      <c r="A68" s="256" t="s">
        <v>85</v>
      </c>
      <c r="B68" s="880">
        <f>SUM(B66:B67)</f>
        <v>286186.18622956501</v>
      </c>
      <c r="C68" s="865" t="s">
        <v>948</v>
      </c>
      <c r="D68" s="946"/>
      <c r="E68" s="947"/>
      <c r="F68" s="797">
        <f>SUM(F66:F67)</f>
        <v>337941.17712677934</v>
      </c>
      <c r="G68" s="865" t="s">
        <v>948</v>
      </c>
      <c r="H68" s="131"/>
      <c r="I68" s="895"/>
      <c r="J68" s="646"/>
      <c r="K68" s="1652">
        <f>SUM(K66:K67)</f>
        <v>135832.34840963027</v>
      </c>
      <c r="L68" s="865" t="s">
        <v>948</v>
      </c>
      <c r="M68" s="131"/>
      <c r="N68" s="631"/>
    </row>
    <row r="69" spans="1:14" x14ac:dyDescent="0.2">
      <c r="A69" s="113"/>
      <c r="B69" s="856"/>
      <c r="C69" s="892"/>
      <c r="D69" s="892"/>
      <c r="E69" s="935"/>
      <c r="F69" s="857"/>
      <c r="G69" s="135"/>
      <c r="H69" s="130"/>
      <c r="I69" s="870"/>
      <c r="J69" s="646"/>
      <c r="K69" s="1588"/>
      <c r="L69" s="138"/>
      <c r="M69" s="130"/>
      <c r="N69" s="632"/>
    </row>
    <row r="70" spans="1:14" x14ac:dyDescent="0.2">
      <c r="A70" s="1478" t="s">
        <v>73</v>
      </c>
      <c r="B70" s="856"/>
      <c r="C70" s="892"/>
      <c r="D70" s="892"/>
      <c r="E70" s="935"/>
      <c r="F70" s="857"/>
      <c r="G70" s="135"/>
      <c r="H70" s="130"/>
      <c r="I70" s="870"/>
      <c r="J70" s="646"/>
      <c r="K70" s="1588"/>
      <c r="L70" s="135"/>
      <c r="M70" s="130"/>
      <c r="N70" s="632"/>
    </row>
    <row r="71" spans="1:14" x14ac:dyDescent="0.2">
      <c r="A71" s="1483" t="s">
        <v>210</v>
      </c>
      <c r="B71" s="918"/>
      <c r="D71" s="934"/>
      <c r="E71" s="948"/>
      <c r="F71" s="857"/>
      <c r="G71" s="94"/>
      <c r="H71" s="338"/>
      <c r="I71" s="954"/>
      <c r="J71" s="646"/>
      <c r="K71" s="1588"/>
      <c r="L71" s="94"/>
      <c r="M71" s="338"/>
      <c r="N71" s="1641"/>
    </row>
    <row r="72" spans="1:14" x14ac:dyDescent="0.2">
      <c r="A72" s="177" t="s">
        <v>41</v>
      </c>
      <c r="B72" s="919"/>
      <c r="C72" s="934"/>
      <c r="D72" s="934"/>
      <c r="E72" s="948"/>
      <c r="F72" s="857"/>
      <c r="G72" s="94"/>
      <c r="H72" s="338"/>
      <c r="I72" s="954"/>
      <c r="J72" s="646"/>
      <c r="K72" s="1588"/>
      <c r="L72" s="94"/>
      <c r="M72" s="338"/>
      <c r="N72" s="1641"/>
    </row>
    <row r="73" spans="1:14" x14ac:dyDescent="0.2">
      <c r="A73" s="167" t="s">
        <v>40</v>
      </c>
      <c r="B73" s="920">
        <f>F73*('Ind- Process'!B11/'Ind- Process'!F11)</f>
        <v>6089.0698125947774</v>
      </c>
      <c r="C73" s="487" t="s">
        <v>771</v>
      </c>
      <c r="D73" s="892" t="s">
        <v>2049</v>
      </c>
      <c r="E73" s="948"/>
      <c r="F73" s="930">
        <v>4817</v>
      </c>
      <c r="G73" s="207" t="s">
        <v>771</v>
      </c>
      <c r="H73" s="198" t="s">
        <v>65</v>
      </c>
      <c r="I73" s="954"/>
      <c r="J73" s="646"/>
      <c r="K73" s="1649">
        <f>4817*K62/F62</f>
        <v>4345.1039808609075</v>
      </c>
      <c r="L73" s="207" t="s">
        <v>771</v>
      </c>
      <c r="M73" s="873" t="s">
        <v>2082</v>
      </c>
      <c r="N73" s="1641"/>
    </row>
    <row r="74" spans="1:14" x14ac:dyDescent="0.2">
      <c r="A74" s="616" t="s">
        <v>223</v>
      </c>
      <c r="B74" s="823">
        <v>0</v>
      </c>
      <c r="C74" s="487" t="s">
        <v>771</v>
      </c>
      <c r="D74" s="643" t="s">
        <v>1112</v>
      </c>
      <c r="E74" s="948"/>
      <c r="F74" s="269">
        <v>1313</v>
      </c>
      <c r="G74" s="207" t="s">
        <v>771</v>
      </c>
      <c r="H74" s="312" t="s">
        <v>1112</v>
      </c>
      <c r="I74" s="954"/>
      <c r="J74" s="646" t="s">
        <v>1113</v>
      </c>
      <c r="K74" s="1653">
        <v>0</v>
      </c>
      <c r="L74" s="207" t="s">
        <v>771</v>
      </c>
      <c r="M74" s="226" t="s">
        <v>2058</v>
      </c>
      <c r="N74" s="761" t="s">
        <v>2168</v>
      </c>
    </row>
    <row r="75" spans="1:14" x14ac:dyDescent="0.2">
      <c r="A75" s="1476" t="s">
        <v>152</v>
      </c>
      <c r="B75" s="917"/>
      <c r="C75" s="933"/>
      <c r="D75" s="933"/>
      <c r="E75" s="945"/>
      <c r="F75" s="320"/>
      <c r="G75" s="245"/>
      <c r="H75" s="245"/>
      <c r="I75" s="953"/>
      <c r="J75" s="646"/>
      <c r="K75" s="1498"/>
      <c r="L75" s="245"/>
      <c r="M75" s="245"/>
      <c r="N75" s="1640"/>
    </row>
    <row r="76" spans="1:14" x14ac:dyDescent="0.2">
      <c r="A76" s="177" t="s">
        <v>56</v>
      </c>
      <c r="B76" s="856"/>
      <c r="C76" s="892"/>
      <c r="D76" s="892"/>
      <c r="E76" s="935"/>
      <c r="F76" s="857"/>
      <c r="G76" s="135"/>
      <c r="H76" s="130"/>
      <c r="I76" s="870"/>
      <c r="J76" s="646"/>
      <c r="K76" s="1588"/>
      <c r="L76" s="135"/>
      <c r="M76" s="130"/>
      <c r="N76" s="632"/>
    </row>
    <row r="77" spans="1:14" x14ac:dyDescent="0.2">
      <c r="A77" s="611" t="s">
        <v>221</v>
      </c>
      <c r="B77" s="823">
        <f>B73*tonTOMg</f>
        <v>5523.8823525897305</v>
      </c>
      <c r="C77" s="392" t="s">
        <v>769</v>
      </c>
      <c r="D77" s="892"/>
      <c r="E77" s="935"/>
      <c r="F77" s="857">
        <f>F73*tonTOMg</f>
        <v>4369.8860599999998</v>
      </c>
      <c r="G77" s="392" t="s">
        <v>769</v>
      </c>
      <c r="H77" s="130"/>
      <c r="I77" s="870"/>
      <c r="J77" s="646"/>
      <c r="K77" s="1588">
        <f>K73*tonTOMg</f>
        <v>3941.7914293573981</v>
      </c>
      <c r="L77" s="392" t="s">
        <v>769</v>
      </c>
      <c r="M77" s="130"/>
      <c r="N77" s="632"/>
    </row>
    <row r="78" spans="1:14" x14ac:dyDescent="0.2">
      <c r="A78" s="611" t="s">
        <v>72</v>
      </c>
      <c r="B78" s="823">
        <f>B74*tonTOMg</f>
        <v>0</v>
      </c>
      <c r="C78" s="392" t="s">
        <v>769</v>
      </c>
      <c r="D78" s="892"/>
      <c r="E78" s="935"/>
      <c r="F78" s="929">
        <f>F74*tonTOMg</f>
        <v>1191.12734</v>
      </c>
      <c r="G78" s="392" t="s">
        <v>769</v>
      </c>
      <c r="H78" s="130"/>
      <c r="I78" s="870"/>
      <c r="J78" s="646"/>
      <c r="K78" s="1654">
        <f>K74*tonTOMg</f>
        <v>0</v>
      </c>
      <c r="L78" s="392" t="s">
        <v>769</v>
      </c>
      <c r="M78" s="130"/>
      <c r="N78" s="632"/>
    </row>
    <row r="79" spans="1:14" x14ac:dyDescent="0.2">
      <c r="A79" s="252" t="s">
        <v>76</v>
      </c>
      <c r="B79" s="823">
        <f>SUM(B77:B78)</f>
        <v>5523.8823525897305</v>
      </c>
      <c r="C79" s="392" t="s">
        <v>769</v>
      </c>
      <c r="D79" s="892"/>
      <c r="E79" s="935"/>
      <c r="F79" s="857">
        <f>SUM(F77:F78)</f>
        <v>5561.0133999999998</v>
      </c>
      <c r="G79" s="392" t="s">
        <v>769</v>
      </c>
      <c r="H79" s="130"/>
      <c r="I79" s="870"/>
      <c r="J79" s="646"/>
      <c r="K79" s="1588">
        <f>SUM(K77:K78)</f>
        <v>3941.7914293573981</v>
      </c>
      <c r="L79" s="392" t="s">
        <v>769</v>
      </c>
      <c r="M79" s="130"/>
      <c r="N79" s="632"/>
    </row>
    <row r="80" spans="1:14" x14ac:dyDescent="0.2">
      <c r="A80" s="252" t="s">
        <v>104</v>
      </c>
      <c r="B80" s="823"/>
      <c r="C80" s="536"/>
      <c r="D80" s="892"/>
      <c r="E80" s="935"/>
      <c r="F80" s="857"/>
      <c r="G80" s="135"/>
      <c r="H80" s="130"/>
      <c r="I80" s="870"/>
      <c r="J80" s="646"/>
      <c r="K80" s="1588"/>
      <c r="L80" s="138"/>
      <c r="M80" s="130"/>
      <c r="N80" s="632"/>
    </row>
    <row r="81" spans="1:14" ht="13.5" x14ac:dyDescent="0.2">
      <c r="A81" s="611" t="s">
        <v>221</v>
      </c>
      <c r="B81" s="823">
        <f>B77*efTDF/1000</f>
        <v>14065.812157792063</v>
      </c>
      <c r="C81" s="536" t="s">
        <v>279</v>
      </c>
      <c r="D81" s="892"/>
      <c r="E81" s="935"/>
      <c r="F81" s="857">
        <f>F77*efTDF/1000</f>
        <v>11127.31817</v>
      </c>
      <c r="G81" s="135" t="s">
        <v>279</v>
      </c>
      <c r="H81" s="130"/>
      <c r="I81" s="870"/>
      <c r="J81" s="646"/>
      <c r="K81" s="1588">
        <f>K77*efTDF/1000</f>
        <v>10037.233646828507</v>
      </c>
      <c r="L81" s="138" t="s">
        <v>279</v>
      </c>
      <c r="M81" s="130"/>
      <c r="N81" s="632"/>
    </row>
    <row r="82" spans="1:14" ht="13.5" x14ac:dyDescent="0.2">
      <c r="A82" s="611" t="s">
        <v>72</v>
      </c>
      <c r="B82" s="823">
        <f>B78*efTDF/1000</f>
        <v>0</v>
      </c>
      <c r="C82" s="536" t="s">
        <v>279</v>
      </c>
      <c r="D82" s="892"/>
      <c r="E82" s="935"/>
      <c r="F82" s="857">
        <f>F78*efTDF/1000</f>
        <v>3033.0431300000005</v>
      </c>
      <c r="G82" s="135" t="s">
        <v>279</v>
      </c>
      <c r="H82" s="130"/>
      <c r="I82" s="870"/>
      <c r="K82" s="1588">
        <f>K78*efTDF/1000</f>
        <v>0</v>
      </c>
      <c r="L82" s="138" t="s">
        <v>279</v>
      </c>
      <c r="M82" s="130"/>
      <c r="N82" s="632"/>
    </row>
    <row r="83" spans="1:14" ht="13.5" x14ac:dyDescent="0.2">
      <c r="A83" s="256" t="s">
        <v>84</v>
      </c>
      <c r="B83" s="880">
        <f>SUM(B81:B82)</f>
        <v>14065.812157792063</v>
      </c>
      <c r="C83" s="865" t="s">
        <v>948</v>
      </c>
      <c r="D83" s="946"/>
      <c r="E83" s="947"/>
      <c r="F83" s="797">
        <f>SUM(F81:F82)</f>
        <v>14160.3613</v>
      </c>
      <c r="G83" s="865" t="s">
        <v>948</v>
      </c>
      <c r="H83" s="131"/>
      <c r="I83" s="895"/>
      <c r="K83" s="1652">
        <f>SUM(K81:K82)</f>
        <v>10037.233646828507</v>
      </c>
      <c r="L83" s="865" t="s">
        <v>948</v>
      </c>
      <c r="M83" s="131"/>
      <c r="N83" s="631"/>
    </row>
    <row r="84" spans="1:14" x14ac:dyDescent="0.2">
      <c r="A84" s="256"/>
      <c r="B84" s="880"/>
      <c r="C84" s="865"/>
      <c r="D84" s="946"/>
      <c r="E84" s="947"/>
      <c r="F84" s="797"/>
      <c r="G84" s="865"/>
      <c r="H84" s="131"/>
      <c r="I84" s="895"/>
      <c r="K84" s="1652"/>
      <c r="L84" s="865"/>
      <c r="M84" s="131"/>
      <c r="N84" s="631"/>
    </row>
    <row r="85" spans="1:14" x14ac:dyDescent="0.2">
      <c r="A85" s="1478" t="s">
        <v>2051</v>
      </c>
      <c r="B85" s="880"/>
      <c r="C85" s="865"/>
      <c r="D85" s="946"/>
      <c r="E85" s="947"/>
      <c r="F85" s="797"/>
      <c r="G85" s="865"/>
      <c r="H85" s="131"/>
      <c r="I85" s="895"/>
      <c r="K85" s="1652"/>
      <c r="L85" s="865"/>
      <c r="M85" s="131"/>
      <c r="N85" s="631"/>
    </row>
    <row r="86" spans="1:14" x14ac:dyDescent="0.2">
      <c r="A86" s="256" t="s">
        <v>2052</v>
      </c>
      <c r="B86" s="579">
        <v>0</v>
      </c>
      <c r="C86" s="392" t="s">
        <v>654</v>
      </c>
      <c r="D86" s="226" t="s">
        <v>2058</v>
      </c>
      <c r="E86" s="874" t="s">
        <v>2170</v>
      </c>
      <c r="F86" s="269">
        <v>12023</v>
      </c>
      <c r="G86" s="392" t="s">
        <v>654</v>
      </c>
      <c r="H86" s="226" t="s">
        <v>2058</v>
      </c>
      <c r="I86" s="895"/>
      <c r="J86" s="2351" t="s">
        <v>2170</v>
      </c>
      <c r="K86" s="1653">
        <v>52958</v>
      </c>
      <c r="L86" s="392" t="s">
        <v>654</v>
      </c>
      <c r="M86" s="226" t="s">
        <v>2058</v>
      </c>
      <c r="N86" s="874" t="s">
        <v>2170</v>
      </c>
    </row>
    <row r="87" spans="1:14" x14ac:dyDescent="0.2">
      <c r="A87" s="1476" t="s">
        <v>152</v>
      </c>
      <c r="B87" s="579"/>
      <c r="C87" s="392"/>
      <c r="D87" s="946"/>
      <c r="E87" s="947"/>
      <c r="F87" s="269"/>
      <c r="G87" s="392"/>
      <c r="H87" s="131"/>
      <c r="I87" s="895"/>
      <c r="K87" s="1653"/>
      <c r="L87" s="392"/>
      <c r="M87" s="131"/>
      <c r="N87" s="631"/>
    </row>
    <row r="88" spans="1:14" ht="13.5" x14ac:dyDescent="0.2">
      <c r="A88" s="606" t="s">
        <v>2055</v>
      </c>
      <c r="B88" s="2149">
        <f>B86*efgjetfuel</f>
        <v>0</v>
      </c>
      <c r="C88" s="1127" t="s">
        <v>2053</v>
      </c>
      <c r="D88" s="946"/>
      <c r="E88" s="947"/>
      <c r="F88" s="2149">
        <f>F86*efgjetfuel</f>
        <v>117160246.90828253</v>
      </c>
      <c r="G88" s="1127" t="s">
        <v>2053</v>
      </c>
      <c r="H88" s="131"/>
      <c r="I88" s="895"/>
      <c r="K88" s="2153">
        <f>K86*efgjetfuel</f>
        <v>516058584.0280152</v>
      </c>
      <c r="L88" s="1127" t="s">
        <v>2053</v>
      </c>
      <c r="M88" s="131"/>
      <c r="N88" s="631"/>
    </row>
    <row r="89" spans="1:14" ht="13.5" x14ac:dyDescent="0.2">
      <c r="A89" s="606" t="s">
        <v>2056</v>
      </c>
      <c r="B89" s="269">
        <f>B88*10^-3*10^-3</f>
        <v>0</v>
      </c>
      <c r="C89" s="392" t="s">
        <v>2054</v>
      </c>
      <c r="D89" s="946"/>
      <c r="E89" s="947"/>
      <c r="F89" s="269">
        <f>F88*10^-3*10^-3</f>
        <v>117.16024690828255</v>
      </c>
      <c r="G89" s="392" t="s">
        <v>2054</v>
      </c>
      <c r="H89" s="131"/>
      <c r="I89" s="895"/>
      <c r="K89" s="1653">
        <f>K88*10^-3*10^-3</f>
        <v>516.05858402801516</v>
      </c>
      <c r="L89" s="392" t="s">
        <v>2054</v>
      </c>
      <c r="M89" s="131"/>
      <c r="N89" s="631"/>
    </row>
    <row r="90" spans="1:14" x14ac:dyDescent="0.2">
      <c r="A90" s="177"/>
      <c r="B90" s="856"/>
      <c r="C90" s="892"/>
      <c r="D90" s="892"/>
      <c r="E90" s="935"/>
      <c r="F90" s="857"/>
      <c r="G90" s="207"/>
      <c r="H90" s="130"/>
      <c r="I90" s="870"/>
      <c r="K90" s="1588"/>
      <c r="L90" s="207"/>
      <c r="M90" s="130"/>
      <c r="N90" s="632"/>
    </row>
    <row r="91" spans="1:14" x14ac:dyDescent="0.2">
      <c r="A91" s="1479" t="s">
        <v>2202</v>
      </c>
      <c r="B91" s="1615"/>
      <c r="C91" s="1616"/>
      <c r="D91" s="1616"/>
      <c r="E91" s="1617"/>
      <c r="F91" s="1618"/>
      <c r="G91" s="1619"/>
      <c r="H91" s="1620"/>
      <c r="I91" s="1621"/>
      <c r="J91" s="1594"/>
      <c r="K91" s="1618"/>
      <c r="L91" s="1619"/>
      <c r="M91" s="1620"/>
      <c r="N91" s="1642"/>
    </row>
    <row r="92" spans="1:14" s="91" customFormat="1" x14ac:dyDescent="0.2">
      <c r="A92" s="260"/>
      <c r="B92" s="918"/>
      <c r="C92" s="934"/>
      <c r="D92" s="934"/>
      <c r="E92" s="948"/>
      <c r="F92" s="855"/>
      <c r="G92" s="94"/>
      <c r="H92" s="338"/>
      <c r="I92" s="954"/>
      <c r="J92" s="646"/>
      <c r="K92" s="1645"/>
      <c r="L92" s="94"/>
      <c r="M92" s="338"/>
      <c r="N92" s="1641"/>
    </row>
    <row r="93" spans="1:14" x14ac:dyDescent="0.2">
      <c r="A93" s="1478" t="s">
        <v>214</v>
      </c>
      <c r="B93" s="918"/>
      <c r="C93" s="934"/>
      <c r="D93" s="934"/>
      <c r="E93" s="948"/>
      <c r="F93" s="855"/>
      <c r="G93" s="94"/>
      <c r="H93" s="338"/>
      <c r="I93" s="954"/>
      <c r="K93" s="1645"/>
      <c r="L93" s="94"/>
      <c r="M93" s="338"/>
      <c r="N93" s="1641"/>
    </row>
    <row r="94" spans="1:14" x14ac:dyDescent="0.2">
      <c r="A94" s="1483" t="s">
        <v>210</v>
      </c>
      <c r="B94" s="918"/>
      <c r="C94" s="934"/>
      <c r="D94" s="934"/>
      <c r="E94" s="948"/>
      <c r="F94" s="855"/>
      <c r="G94" s="94"/>
      <c r="H94" s="338"/>
      <c r="I94" s="954"/>
      <c r="K94" s="1645"/>
      <c r="L94" s="94"/>
      <c r="M94" s="338"/>
      <c r="N94" s="1641"/>
    </row>
    <row r="95" spans="1:14" x14ac:dyDescent="0.2">
      <c r="A95" s="177" t="s">
        <v>314</v>
      </c>
      <c r="B95" s="918"/>
      <c r="C95" s="934"/>
      <c r="D95" s="934"/>
      <c r="E95" s="948"/>
      <c r="F95" s="855"/>
      <c r="G95" s="94"/>
      <c r="H95" s="338"/>
      <c r="I95" s="954"/>
      <c r="K95" s="1645"/>
      <c r="L95" s="94"/>
      <c r="M95" s="338"/>
      <c r="N95" s="1641"/>
    </row>
    <row r="96" spans="1:14" x14ac:dyDescent="0.2">
      <c r="A96" s="582" t="s">
        <v>74</v>
      </c>
      <c r="F96" s="788"/>
      <c r="G96" s="135"/>
      <c r="H96" s="130"/>
      <c r="I96" s="870"/>
      <c r="J96" s="1385"/>
      <c r="K96" s="1600"/>
      <c r="L96" s="135"/>
      <c r="M96" s="130"/>
      <c r="N96" s="632"/>
    </row>
    <row r="97" spans="1:14" x14ac:dyDescent="0.2">
      <c r="A97" s="611" t="s">
        <v>116</v>
      </c>
      <c r="B97" s="856">
        <v>107864248</v>
      </c>
      <c r="C97" s="392" t="s">
        <v>620</v>
      </c>
      <c r="D97" s="255" t="s">
        <v>1219</v>
      </c>
      <c r="E97" s="949" t="s">
        <v>1071</v>
      </c>
      <c r="F97" s="788">
        <v>106084334</v>
      </c>
      <c r="G97" s="392" t="s">
        <v>620</v>
      </c>
      <c r="H97" s="72" t="s">
        <v>1220</v>
      </c>
      <c r="I97" s="870" t="s">
        <v>1061</v>
      </c>
      <c r="K97" s="1600">
        <v>95386701</v>
      </c>
      <c r="L97" s="392" t="s">
        <v>620</v>
      </c>
      <c r="M97" s="312" t="s">
        <v>2165</v>
      </c>
      <c r="N97" s="632"/>
    </row>
    <row r="98" spans="1:14" x14ac:dyDescent="0.2">
      <c r="A98" s="1476" t="s">
        <v>152</v>
      </c>
      <c r="B98" s="917"/>
      <c r="C98" s="933"/>
      <c r="D98" s="933"/>
      <c r="E98" s="945"/>
      <c r="F98" s="320"/>
      <c r="G98" s="245"/>
      <c r="H98" s="245"/>
      <c r="I98" s="953"/>
      <c r="K98" s="1498"/>
      <c r="L98" s="245"/>
      <c r="M98" s="245"/>
      <c r="N98" s="1640"/>
    </row>
    <row r="99" spans="1:14" x14ac:dyDescent="0.2">
      <c r="A99" s="113" t="s">
        <v>2180</v>
      </c>
      <c r="B99" s="1653">
        <f>B97*thermTOBtu*10^-6</f>
        <v>10786424.799999999</v>
      </c>
      <c r="C99" s="873" t="s">
        <v>2104</v>
      </c>
      <c r="D99" s="933"/>
      <c r="E99" s="945"/>
      <c r="F99" s="1653">
        <f>F97*thermTOBtu*10^-6</f>
        <v>10608433.4</v>
      </c>
      <c r="G99" s="873" t="s">
        <v>2104</v>
      </c>
      <c r="H99" s="245"/>
      <c r="I99" s="953"/>
      <c r="K99" s="1653">
        <f>K97*thermTOBtu*10^-6</f>
        <v>9538670.0999999996</v>
      </c>
      <c r="L99" s="873" t="s">
        <v>2104</v>
      </c>
      <c r="M99" s="245"/>
      <c r="N99" s="1640"/>
    </row>
    <row r="100" spans="1:14" ht="13.5" x14ac:dyDescent="0.2">
      <c r="A100" s="749" t="s">
        <v>2055</v>
      </c>
      <c r="B100" s="917">
        <f>B99*'Emission Factors'!C112*10^-6+B99*efgas.res.ch4*GWPCH4*10^-6+B99*efgas.res.n2o*GWPN2O*10^-6</f>
        <v>575694.14306807995</v>
      </c>
      <c r="C100" s="865" t="s">
        <v>940</v>
      </c>
      <c r="D100" s="933"/>
      <c r="E100" s="945"/>
      <c r="F100" s="1498">
        <f>F99*'Emission Factors'!C112*10^-6+F99*efgas.res.ch4*GWPCH4*10^-6+F99*efgas.res.n2o*GWPN2O*10^-6</f>
        <v>566194.36826813989</v>
      </c>
      <c r="G100" s="865" t="s">
        <v>940</v>
      </c>
      <c r="H100" s="245"/>
      <c r="I100" s="953"/>
      <c r="K100" s="2283">
        <f>K99*'Emission Factors'!C112*10^-6+K99*efgas.res.ch4*GWPCH4*10^-6+K99*efgas.res.n2o*GWPN2O*10^-6</f>
        <v>509098.85444420995</v>
      </c>
      <c r="L100" s="865" t="s">
        <v>940</v>
      </c>
      <c r="M100" s="245"/>
      <c r="N100" s="1640"/>
    </row>
    <row r="101" spans="1:14" x14ac:dyDescent="0.2">
      <c r="A101" s="251" t="s">
        <v>77</v>
      </c>
      <c r="B101" s="856"/>
      <c r="C101" s="892"/>
      <c r="D101" s="892"/>
      <c r="E101" s="935"/>
      <c r="F101" s="857"/>
      <c r="G101" s="135"/>
      <c r="H101" s="130"/>
      <c r="I101" s="870"/>
      <c r="J101" s="1538"/>
      <c r="K101" s="1568"/>
      <c r="L101" s="135"/>
      <c r="M101" s="130"/>
      <c r="N101" s="632"/>
    </row>
    <row r="102" spans="1:14" x14ac:dyDescent="0.2">
      <c r="A102" s="1483" t="s">
        <v>210</v>
      </c>
      <c r="F102" s="857"/>
      <c r="H102" s="138"/>
      <c r="J102" s="1538"/>
      <c r="K102" s="1588"/>
      <c r="M102" s="135"/>
    </row>
    <row r="103" spans="1:14" x14ac:dyDescent="0.2">
      <c r="A103" s="177" t="s">
        <v>43</v>
      </c>
      <c r="F103" s="857"/>
      <c r="H103" s="138"/>
      <c r="J103" s="1538"/>
      <c r="K103" s="1588"/>
      <c r="M103" s="135"/>
    </row>
    <row r="104" spans="1:14" x14ac:dyDescent="0.2">
      <c r="A104" s="177" t="s">
        <v>110</v>
      </c>
      <c r="B104" s="777">
        <v>2003</v>
      </c>
      <c r="F104" s="795">
        <v>2008</v>
      </c>
      <c r="H104" s="138"/>
      <c r="J104" s="1538"/>
      <c r="K104" s="1645">
        <v>2015</v>
      </c>
      <c r="M104" s="135"/>
    </row>
    <row r="105" spans="1:14" x14ac:dyDescent="0.2">
      <c r="A105" s="252" t="s">
        <v>78</v>
      </c>
      <c r="B105" s="856">
        <v>22656</v>
      </c>
      <c r="C105" s="870" t="s">
        <v>298</v>
      </c>
      <c r="D105" s="870" t="s">
        <v>2049</v>
      </c>
      <c r="E105" s="356"/>
      <c r="F105" s="857">
        <v>34402</v>
      </c>
      <c r="G105" s="135" t="s">
        <v>298</v>
      </c>
      <c r="H105" s="226" t="s">
        <v>2188</v>
      </c>
      <c r="I105" s="870"/>
      <c r="J105" s="1638" t="s">
        <v>1070</v>
      </c>
      <c r="K105" s="1588">
        <v>15852</v>
      </c>
      <c r="L105" s="135" t="s">
        <v>298</v>
      </c>
      <c r="M105" s="226" t="s">
        <v>1818</v>
      </c>
      <c r="N105" s="632"/>
    </row>
    <row r="106" spans="1:14" x14ac:dyDescent="0.2">
      <c r="A106" s="117" t="s">
        <v>1049</v>
      </c>
      <c r="B106" s="921">
        <f>empIndKC03/empIndWA03</f>
        <v>0.36786813791352369</v>
      </c>
      <c r="C106" s="135"/>
      <c r="D106" s="226" t="s">
        <v>1478</v>
      </c>
      <c r="E106" s="874"/>
      <c r="F106" s="921">
        <f>empIndKC08/empIndWA08</f>
        <v>0.37170463100528323</v>
      </c>
      <c r="G106" s="135"/>
      <c r="H106" s="226" t="s">
        <v>1478</v>
      </c>
      <c r="I106" s="870"/>
      <c r="J106" s="1538"/>
      <c r="K106" s="1655">
        <f>cmpIndKC14/empIndWA14</f>
        <v>0.37141329938653111</v>
      </c>
      <c r="L106" s="135"/>
      <c r="M106" s="226"/>
      <c r="N106" s="632"/>
    </row>
    <row r="107" spans="1:14" s="91" customFormat="1" x14ac:dyDescent="0.2">
      <c r="A107" s="1476" t="s">
        <v>152</v>
      </c>
      <c r="B107" s="917"/>
      <c r="C107" s="933"/>
      <c r="D107" s="933"/>
      <c r="E107" s="945"/>
      <c r="F107" s="320"/>
      <c r="G107" s="245"/>
      <c r="H107" s="245"/>
      <c r="I107" s="953"/>
      <c r="J107" s="1489"/>
      <c r="K107" s="1498"/>
      <c r="L107" s="245"/>
      <c r="M107" s="245"/>
      <c r="N107" s="1640"/>
    </row>
    <row r="108" spans="1:14" x14ac:dyDescent="0.2">
      <c r="A108" s="614" t="s">
        <v>2079</v>
      </c>
      <c r="B108" s="857">
        <f>B105*1000</f>
        <v>22656000</v>
      </c>
      <c r="C108" s="392" t="s">
        <v>654</v>
      </c>
      <c r="D108" s="892"/>
      <c r="E108" s="935"/>
      <c r="F108" s="857">
        <f>F105*1000</f>
        <v>34402000</v>
      </c>
      <c r="G108" s="392" t="s">
        <v>654</v>
      </c>
      <c r="H108" s="130"/>
      <c r="I108" s="870"/>
      <c r="J108" s="1538"/>
      <c r="K108" s="1588">
        <f>K105*1000</f>
        <v>15852000</v>
      </c>
      <c r="L108" s="392" t="s">
        <v>654</v>
      </c>
      <c r="M108" s="130"/>
      <c r="N108" s="632"/>
    </row>
    <row r="109" spans="1:14" x14ac:dyDescent="0.2">
      <c r="A109" s="614" t="s">
        <v>1069</v>
      </c>
      <c r="B109" s="857">
        <f>B108*B106</f>
        <v>8334420.5325687928</v>
      </c>
      <c r="C109" s="392" t="s">
        <v>654</v>
      </c>
      <c r="D109" s="892"/>
      <c r="E109" s="935"/>
      <c r="F109" s="857">
        <f>F108*F106</f>
        <v>12787382.715843754</v>
      </c>
      <c r="G109" s="392" t="s">
        <v>654</v>
      </c>
      <c r="H109" s="130"/>
      <c r="I109" s="870"/>
      <c r="J109" s="1538"/>
      <c r="K109" s="1588">
        <f>K108*K106</f>
        <v>5887643.6218752917</v>
      </c>
      <c r="L109" s="392" t="s">
        <v>654</v>
      </c>
      <c r="M109" s="130"/>
      <c r="N109" s="632"/>
    </row>
    <row r="110" spans="1:14" ht="13.5" x14ac:dyDescent="0.2">
      <c r="A110" s="216" t="s">
        <v>112</v>
      </c>
      <c r="B110" s="922">
        <f>B109*efgdistillate/1000000+B109*efgdistillate.ind.ch4*GWPCH4/1000000+B11*efgdistillate.ind.n2o*GWPN2O/1000000</f>
        <v>85262.40914900208</v>
      </c>
      <c r="C110" s="865" t="s">
        <v>940</v>
      </c>
      <c r="D110" s="892"/>
      <c r="E110" s="935"/>
      <c r="F110" s="922">
        <f>F109*efgdistillate/1000000+F109*efgdistillate.ind.ch4*GWPCH4/1000000+F11*efgdistillate.ind.n2o*GWPN2O/1000000</f>
        <v>130816.8950386167</v>
      </c>
      <c r="G110" s="865" t="s">
        <v>940</v>
      </c>
      <c r="H110" s="131"/>
      <c r="I110" s="895"/>
      <c r="J110" s="1538"/>
      <c r="K110" s="922">
        <f>K109*efgdistillate/1000000+K109*efgdistillate.ind.ch4*GWPCH4/1000000+K11*efgdistillate.ind.n2o*GWPN2O/1000000</f>
        <v>60231.500661392398</v>
      </c>
      <c r="L110" s="865" t="s">
        <v>940</v>
      </c>
      <c r="M110" s="131"/>
      <c r="N110" s="631"/>
    </row>
    <row r="111" spans="1:14" x14ac:dyDescent="0.2">
      <c r="A111" s="177"/>
      <c r="B111" s="856"/>
      <c r="C111" s="892"/>
      <c r="D111" s="892"/>
      <c r="E111" s="935"/>
      <c r="F111" s="857"/>
      <c r="G111" s="205"/>
      <c r="H111" s="187"/>
      <c r="I111" s="870"/>
      <c r="J111" s="1538"/>
      <c r="K111" s="857"/>
      <c r="L111" s="205"/>
      <c r="M111" s="187"/>
      <c r="N111" s="632"/>
    </row>
    <row r="112" spans="1:14" x14ac:dyDescent="0.2">
      <c r="A112" s="1604" t="s">
        <v>21</v>
      </c>
      <c r="B112" s="2151">
        <f>B110+B100+B83+B68</f>
        <v>961208.55060443911</v>
      </c>
      <c r="C112" s="2150" t="s">
        <v>163</v>
      </c>
      <c r="D112" s="1980"/>
      <c r="E112" s="1981"/>
      <c r="F112" s="2151">
        <f>F110+F100+F83+F68</f>
        <v>1049112.8017335359</v>
      </c>
      <c r="G112" s="2150" t="s">
        <v>163</v>
      </c>
      <c r="H112" s="1982"/>
      <c r="I112" s="1983"/>
      <c r="J112" s="1984"/>
      <c r="K112" s="2151">
        <f>K110+K100+K83+K68</f>
        <v>715199.93716206111</v>
      </c>
      <c r="L112" s="2150" t="s">
        <v>163</v>
      </c>
      <c r="M112" s="1982"/>
      <c r="N112" s="1985"/>
    </row>
    <row r="113" spans="1:14" x14ac:dyDescent="0.2">
      <c r="A113" s="216"/>
      <c r="B113" s="918"/>
      <c r="C113" s="934"/>
      <c r="D113" s="934"/>
      <c r="E113" s="948"/>
      <c r="F113" s="855"/>
      <c r="G113" s="94"/>
      <c r="H113" s="338"/>
      <c r="I113" s="954"/>
      <c r="J113" s="1538"/>
      <c r="K113" s="855"/>
      <c r="L113" s="94"/>
      <c r="M113" s="338"/>
      <c r="N113" s="1641"/>
    </row>
    <row r="114" spans="1:14" x14ac:dyDescent="0.2">
      <c r="A114" s="216"/>
      <c r="B114" s="856"/>
      <c r="C114" s="892"/>
      <c r="D114" s="892"/>
      <c r="E114" s="935"/>
      <c r="F114" s="788"/>
      <c r="G114" s="135"/>
      <c r="H114" s="130"/>
      <c r="I114" s="870"/>
      <c r="J114" s="646"/>
      <c r="K114" s="788"/>
      <c r="L114" s="135"/>
      <c r="M114" s="130"/>
      <c r="N114" s="632"/>
    </row>
    <row r="115" spans="1:14" x14ac:dyDescent="0.2">
      <c r="A115" s="581"/>
      <c r="F115" s="788"/>
      <c r="G115" s="135"/>
      <c r="H115" s="130"/>
      <c r="I115" s="870"/>
      <c r="J115" s="646"/>
      <c r="K115" s="788"/>
      <c r="L115" s="135"/>
      <c r="M115" s="130"/>
      <c r="N115" s="632"/>
    </row>
    <row r="116" spans="1:14" x14ac:dyDescent="0.2">
      <c r="A116" s="617"/>
      <c r="F116" s="858"/>
      <c r="G116" s="135"/>
      <c r="H116" s="130"/>
      <c r="I116" s="870"/>
      <c r="J116" s="646"/>
      <c r="K116" s="858"/>
      <c r="L116" s="135"/>
      <c r="M116" s="130"/>
      <c r="N116" s="632"/>
    </row>
    <row r="117" spans="1:14" x14ac:dyDescent="0.2">
      <c r="A117" s="618"/>
      <c r="F117" s="931"/>
      <c r="G117" s="267"/>
      <c r="H117" s="187"/>
      <c r="I117" s="870"/>
      <c r="J117" s="646"/>
      <c r="K117" s="931"/>
      <c r="L117" s="267"/>
      <c r="M117" s="187"/>
      <c r="N117" s="632"/>
    </row>
    <row r="118" spans="1:14" x14ac:dyDescent="0.2">
      <c r="A118" s="618"/>
      <c r="F118" s="931"/>
      <c r="G118" s="267"/>
      <c r="H118" s="187"/>
      <c r="I118" s="870"/>
      <c r="J118" s="646"/>
      <c r="K118" s="931"/>
      <c r="L118" s="267"/>
      <c r="M118" s="187"/>
      <c r="N118" s="632"/>
    </row>
    <row r="119" spans="1:14" x14ac:dyDescent="0.2">
      <c r="A119" s="619"/>
      <c r="F119" s="788"/>
      <c r="G119" s="207"/>
      <c r="H119" s="130"/>
      <c r="I119" s="870"/>
      <c r="J119" s="646"/>
      <c r="K119" s="788"/>
      <c r="L119" s="207"/>
      <c r="M119" s="130"/>
      <c r="N119" s="632"/>
    </row>
    <row r="120" spans="1:14" x14ac:dyDescent="0.2">
      <c r="A120" s="252"/>
      <c r="B120" s="856"/>
      <c r="C120" s="892"/>
      <c r="D120" s="892"/>
      <c r="E120" s="935"/>
      <c r="F120" s="855"/>
      <c r="G120" s="135"/>
      <c r="H120" s="135"/>
      <c r="I120" s="889"/>
      <c r="J120" s="646"/>
      <c r="K120" s="855"/>
      <c r="L120" s="135"/>
      <c r="M120" s="135"/>
      <c r="N120" s="891"/>
    </row>
    <row r="121" spans="1:14" x14ac:dyDescent="0.2">
      <c r="A121" s="612"/>
      <c r="B121" s="856"/>
      <c r="C121" s="892"/>
      <c r="D121" s="892"/>
      <c r="E121" s="935"/>
      <c r="F121" s="930"/>
      <c r="G121" s="392"/>
      <c r="H121" s="86"/>
      <c r="I121" s="951"/>
      <c r="J121" s="646"/>
      <c r="K121" s="930"/>
      <c r="L121" s="392"/>
      <c r="M121" s="86"/>
      <c r="N121" s="1639"/>
    </row>
    <row r="122" spans="1:14" x14ac:dyDescent="0.2">
      <c r="G122" s="138"/>
      <c r="H122" s="138"/>
      <c r="L122" s="138"/>
      <c r="M122" s="138"/>
    </row>
    <row r="123" spans="1:14" x14ac:dyDescent="0.2">
      <c r="G123" s="138"/>
      <c r="H123" s="138"/>
      <c r="L123" s="138"/>
      <c r="M123" s="138"/>
    </row>
    <row r="126" spans="1:14" x14ac:dyDescent="0.2">
      <c r="C126" s="907"/>
      <c r="D126" s="907"/>
      <c r="E126" s="950"/>
    </row>
  </sheetData>
  <customSheetViews>
    <customSheetView guid="{9BEC6399-AE85-4D88-8FBA-3674E2F30307}" topLeftCell="A71">
      <selection activeCell="G23" sqref="G23:Q44"/>
      <pageMargins left="0.7" right="0.7" top="0.75" bottom="0.75" header="0.3" footer="0.3"/>
      <pageSetup orientation="portrait" r:id="rId1"/>
    </customSheetView>
    <customSheetView guid="{0347A67A-6027-4907-965C-6EA2A8295536}" topLeftCell="A71">
      <selection activeCell="G23" sqref="G23:Q44"/>
      <pageMargins left="0.7" right="0.7" top="0.75" bottom="0.75" header="0.3" footer="0.3"/>
      <pageSetup orientation="portrait" r:id="rId2"/>
    </customSheetView>
    <customSheetView guid="{15CC7F3D-99AB-49C1-AC00-E04D3FE3FBC1}">
      <selection activeCell="G23" sqref="G23:Q44"/>
      <pageMargins left="0.7" right="0.7" top="0.75" bottom="0.75" header="0.3" footer="0.3"/>
      <pageSetup orientation="portrait" r:id="rId3"/>
    </customSheetView>
  </customSheetViews>
  <mergeCells count="3">
    <mergeCell ref="F1:I1"/>
    <mergeCell ref="B1:E1"/>
    <mergeCell ref="K1:N1"/>
  </mergeCells>
  <phoneticPr fontId="30" type="noConversion"/>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9" tint="-0.249977111117893"/>
  </sheetPr>
  <dimension ref="A1:Q74"/>
  <sheetViews>
    <sheetView topLeftCell="C7" workbookViewId="0">
      <selection activeCell="H38" sqref="H38:H41"/>
    </sheetView>
  </sheetViews>
  <sheetFormatPr defaultColWidth="8.85546875" defaultRowHeight="12" x14ac:dyDescent="0.2"/>
  <cols>
    <col min="1" max="1" width="62.7109375" style="1" customWidth="1"/>
    <col min="2" max="2" width="8.5703125" style="884" bestFit="1" customWidth="1"/>
    <col min="3" max="3" width="18.28515625" style="72" bestFit="1" customWidth="1"/>
    <col min="4" max="4" width="26" style="908" bestFit="1" customWidth="1"/>
    <col min="5" max="5" width="7.28515625" style="950" bestFit="1" customWidth="1"/>
    <col min="6" max="6" width="8.5703125" style="927" bestFit="1" customWidth="1"/>
    <col min="7" max="7" width="20.42578125" style="72" bestFit="1" customWidth="1"/>
    <col min="8" max="8" width="28.140625" style="72" bestFit="1" customWidth="1"/>
    <col min="9" max="9" width="15.7109375" style="909" bestFit="1" customWidth="1"/>
    <col min="10" max="10" width="8.5703125" style="927" bestFit="1" customWidth="1"/>
    <col min="11" max="11" width="20.42578125" style="72" bestFit="1" customWidth="1"/>
    <col min="12" max="12" width="28.140625" style="72" bestFit="1" customWidth="1"/>
    <col min="13" max="13" width="15.7109375" style="909" bestFit="1" customWidth="1"/>
  </cols>
  <sheetData>
    <row r="1" spans="1:17" x14ac:dyDescent="0.2">
      <c r="A1" s="114"/>
      <c r="B1" s="2543">
        <v>2003</v>
      </c>
      <c r="C1" s="2544"/>
      <c r="D1" s="2544"/>
      <c r="E1" s="2545"/>
      <c r="F1" s="2543">
        <v>2008</v>
      </c>
      <c r="G1" s="2544"/>
      <c r="H1" s="2544"/>
      <c r="I1" s="2545"/>
      <c r="J1" s="2543">
        <v>2015</v>
      </c>
      <c r="K1" s="2544"/>
      <c r="L1" s="2544"/>
      <c r="M1" s="2545"/>
      <c r="N1" s="65" t="s">
        <v>1542</v>
      </c>
    </row>
    <row r="2" spans="1:17" x14ac:dyDescent="0.2">
      <c r="A2" s="114" t="s">
        <v>604</v>
      </c>
      <c r="B2" s="209" t="s">
        <v>602</v>
      </c>
      <c r="C2" s="1713" t="s">
        <v>601</v>
      </c>
      <c r="D2" s="633" t="s">
        <v>603</v>
      </c>
      <c r="E2" s="913" t="s">
        <v>420</v>
      </c>
      <c r="F2" s="209" t="s">
        <v>1551</v>
      </c>
      <c r="G2" s="1713" t="s">
        <v>601</v>
      </c>
      <c r="H2" s="633" t="s">
        <v>603</v>
      </c>
      <c r="I2" s="913" t="s">
        <v>420</v>
      </c>
      <c r="J2" s="209" t="s">
        <v>1551</v>
      </c>
      <c r="K2" s="1713" t="s">
        <v>601</v>
      </c>
      <c r="L2" s="633" t="s">
        <v>603</v>
      </c>
      <c r="M2" s="913" t="s">
        <v>420</v>
      </c>
      <c r="N2" s="214" t="s">
        <v>1539</v>
      </c>
      <c r="O2" s="695"/>
      <c r="P2" s="1493" t="s">
        <v>1541</v>
      </c>
      <c r="Q2" s="481"/>
    </row>
    <row r="3" spans="1:17" x14ac:dyDescent="0.2">
      <c r="A3" s="1467" t="s">
        <v>123</v>
      </c>
      <c r="B3" s="1570"/>
      <c r="C3" s="1571"/>
      <c r="D3" s="1571"/>
      <c r="E3" s="1572"/>
      <c r="F3" s="1570"/>
      <c r="G3" s="1571"/>
      <c r="H3" s="1571"/>
      <c r="I3" s="1572"/>
      <c r="J3" s="1570"/>
      <c r="K3" s="1571"/>
      <c r="L3" s="1571"/>
      <c r="M3" s="1572"/>
      <c r="N3" s="1494"/>
      <c r="O3" s="1484"/>
      <c r="P3" s="1484"/>
      <c r="Q3" s="1484"/>
    </row>
    <row r="4" spans="1:17" s="91" customFormat="1" x14ac:dyDescent="0.2">
      <c r="A4" s="260"/>
      <c r="B4" s="957"/>
      <c r="C4" s="840"/>
      <c r="D4" s="973"/>
      <c r="E4" s="974"/>
      <c r="F4" s="964"/>
      <c r="G4" s="840"/>
      <c r="H4" s="840"/>
      <c r="I4" s="974"/>
      <c r="J4" s="964"/>
      <c r="K4" s="840"/>
      <c r="L4" s="840"/>
      <c r="M4" s="974"/>
    </row>
    <row r="5" spans="1:17" s="91" customFormat="1" x14ac:dyDescent="0.2">
      <c r="A5" s="1479" t="s">
        <v>124</v>
      </c>
      <c r="B5" s="1584"/>
      <c r="C5" s="1575"/>
      <c r="D5" s="1585"/>
      <c r="E5" s="1576"/>
      <c r="F5" s="1574"/>
      <c r="G5" s="1575"/>
      <c r="H5" s="1575"/>
      <c r="I5" s="1576"/>
      <c r="J5" s="1574"/>
      <c r="K5" s="1575"/>
      <c r="L5" s="1575"/>
      <c r="M5" s="1576"/>
    </row>
    <row r="6" spans="1:17" x14ac:dyDescent="0.2">
      <c r="A6" s="1483" t="s">
        <v>119</v>
      </c>
      <c r="B6" s="958"/>
      <c r="C6" s="135"/>
      <c r="D6" s="889"/>
      <c r="E6" s="891"/>
      <c r="F6" s="857"/>
      <c r="G6" s="135"/>
      <c r="H6" s="130"/>
      <c r="I6" s="632"/>
      <c r="J6" s="857"/>
      <c r="K6" s="135"/>
      <c r="L6" s="130"/>
      <c r="M6" s="632"/>
    </row>
    <row r="7" spans="1:17" x14ac:dyDescent="0.2">
      <c r="A7" s="177" t="s">
        <v>59</v>
      </c>
      <c r="B7" s="958"/>
      <c r="C7" s="135"/>
      <c r="D7" s="889"/>
      <c r="E7" s="891"/>
      <c r="F7" s="857"/>
      <c r="G7" s="135"/>
      <c r="H7" s="130"/>
      <c r="I7" s="632"/>
      <c r="J7" s="857"/>
      <c r="K7" s="135"/>
      <c r="L7" s="130"/>
      <c r="M7" s="632"/>
    </row>
    <row r="8" spans="1:17" x14ac:dyDescent="0.2">
      <c r="A8" s="117" t="s">
        <v>224</v>
      </c>
      <c r="B8" s="959"/>
      <c r="C8" s="135"/>
      <c r="D8" s="870"/>
      <c r="E8" s="632"/>
      <c r="F8" s="965">
        <v>1.02</v>
      </c>
      <c r="G8" s="135"/>
      <c r="H8" s="187" t="s">
        <v>87</v>
      </c>
      <c r="I8" s="632" t="s">
        <v>88</v>
      </c>
      <c r="J8" s="1586">
        <v>1.02</v>
      </c>
      <c r="K8" s="135"/>
      <c r="L8" s="187" t="s">
        <v>87</v>
      </c>
      <c r="M8" s="632" t="s">
        <v>88</v>
      </c>
    </row>
    <row r="9" spans="1:17" x14ac:dyDescent="0.2">
      <c r="A9" s="611" t="s">
        <v>220</v>
      </c>
      <c r="B9" s="959"/>
      <c r="C9" s="135"/>
      <c r="D9" s="870"/>
      <c r="E9" s="632"/>
      <c r="F9" s="962">
        <v>0.78500000000000003</v>
      </c>
      <c r="G9" s="135"/>
      <c r="H9" s="187" t="s">
        <v>87</v>
      </c>
      <c r="I9" s="632" t="s">
        <v>88</v>
      </c>
      <c r="J9" s="1587">
        <v>0.78500000000000003</v>
      </c>
      <c r="K9" s="135"/>
      <c r="L9" s="187" t="s">
        <v>87</v>
      </c>
      <c r="M9" s="632" t="s">
        <v>88</v>
      </c>
    </row>
    <row r="10" spans="1:17" x14ac:dyDescent="0.2">
      <c r="A10" s="624" t="s">
        <v>183</v>
      </c>
      <c r="B10" s="958"/>
      <c r="C10" s="135"/>
      <c r="D10" s="889"/>
      <c r="E10" s="891"/>
      <c r="F10" s="857"/>
      <c r="G10" s="135"/>
      <c r="H10" s="130"/>
      <c r="I10" s="632"/>
      <c r="J10" s="857"/>
      <c r="K10" s="135"/>
      <c r="L10" s="130"/>
      <c r="M10" s="632"/>
    </row>
    <row r="11" spans="1:17" x14ac:dyDescent="0.2">
      <c r="A11" s="177" t="s">
        <v>1050</v>
      </c>
      <c r="B11" s="856">
        <v>556004</v>
      </c>
      <c r="C11" s="889" t="s">
        <v>1521</v>
      </c>
      <c r="D11" s="226" t="s">
        <v>2217</v>
      </c>
      <c r="E11" s="632" t="s">
        <v>1051</v>
      </c>
      <c r="F11" s="856">
        <v>439849</v>
      </c>
      <c r="G11" s="889" t="s">
        <v>1521</v>
      </c>
      <c r="H11" s="226" t="s">
        <v>2217</v>
      </c>
      <c r="I11" s="632" t="s">
        <v>1051</v>
      </c>
      <c r="J11" s="2152">
        <v>620516</v>
      </c>
      <c r="K11" s="889" t="s">
        <v>1521</v>
      </c>
      <c r="L11" s="226" t="s">
        <v>2058</v>
      </c>
      <c r="M11" s="632"/>
    </row>
    <row r="12" spans="1:17" x14ac:dyDescent="0.2">
      <c r="A12" s="612" t="s">
        <v>222</v>
      </c>
      <c r="B12" s="959"/>
      <c r="C12" s="205"/>
      <c r="D12" s="975"/>
      <c r="E12" s="976"/>
      <c r="F12" s="966">
        <v>0.66169999999999995</v>
      </c>
      <c r="G12" s="205"/>
      <c r="H12" s="975" t="s">
        <v>65</v>
      </c>
      <c r="I12" s="976"/>
      <c r="J12" s="1589">
        <v>0.66169999999999995</v>
      </c>
      <c r="K12" s="205"/>
      <c r="L12" s="975" t="s">
        <v>65</v>
      </c>
      <c r="M12" s="976"/>
    </row>
    <row r="13" spans="1:17" ht="36" x14ac:dyDescent="0.2">
      <c r="A13" s="614" t="s">
        <v>1052</v>
      </c>
      <c r="B13" s="856">
        <v>275941</v>
      </c>
      <c r="C13" s="392" t="s">
        <v>1522</v>
      </c>
      <c r="D13" s="226" t="s">
        <v>2217</v>
      </c>
      <c r="E13" s="976" t="s">
        <v>1053</v>
      </c>
      <c r="F13" s="856">
        <v>362277</v>
      </c>
      <c r="G13" s="392" t="s">
        <v>1522</v>
      </c>
      <c r="H13" s="226" t="s">
        <v>2217</v>
      </c>
      <c r="I13" s="976" t="s">
        <v>1053</v>
      </c>
      <c r="J13" s="2152">
        <v>0</v>
      </c>
      <c r="K13" s="392" t="s">
        <v>1522</v>
      </c>
      <c r="L13" s="870" t="s">
        <v>2067</v>
      </c>
      <c r="M13" s="976"/>
    </row>
    <row r="14" spans="1:17" x14ac:dyDescent="0.2">
      <c r="A14" s="612" t="s">
        <v>60</v>
      </c>
      <c r="B14" s="959"/>
      <c r="C14" s="135"/>
      <c r="D14" s="870"/>
      <c r="E14" s="632"/>
      <c r="F14" s="858">
        <v>0.69020000000000004</v>
      </c>
      <c r="G14" s="135"/>
      <c r="H14" s="130"/>
      <c r="I14" s="632"/>
      <c r="J14" s="1590">
        <v>0.69020000000000004</v>
      </c>
      <c r="K14" s="135"/>
      <c r="L14" s="130"/>
      <c r="M14" s="632"/>
    </row>
    <row r="15" spans="1:17" x14ac:dyDescent="0.2">
      <c r="A15" s="1476" t="s">
        <v>120</v>
      </c>
      <c r="B15" s="960"/>
      <c r="C15" s="131"/>
      <c r="D15" s="895"/>
      <c r="E15" s="631"/>
      <c r="F15" s="320"/>
      <c r="G15" s="131"/>
      <c r="H15" s="131"/>
      <c r="I15" s="631"/>
      <c r="J15" s="320"/>
      <c r="K15" s="131"/>
      <c r="L15" s="131"/>
      <c r="M15" s="631"/>
    </row>
    <row r="16" spans="1:17" x14ac:dyDescent="0.2">
      <c r="A16" s="216" t="s">
        <v>221</v>
      </c>
      <c r="B16" s="960"/>
      <c r="C16" s="131"/>
      <c r="D16" s="895"/>
      <c r="E16" s="631"/>
      <c r="F16" s="320"/>
      <c r="G16" s="131"/>
      <c r="H16" s="131"/>
      <c r="I16" s="631"/>
      <c r="J16" s="320"/>
      <c r="K16" s="131"/>
      <c r="L16" s="131"/>
      <c r="M16" s="631"/>
    </row>
    <row r="17" spans="1:13" x14ac:dyDescent="0.2">
      <c r="A17" s="177" t="s">
        <v>117</v>
      </c>
      <c r="B17" s="857">
        <f>B11*tonTOMg</f>
        <v>504395.70872</v>
      </c>
      <c r="C17" s="205" t="s">
        <v>769</v>
      </c>
      <c r="D17" s="210"/>
      <c r="E17" s="977"/>
      <c r="F17" s="857">
        <f>F11*tonTOMg</f>
        <v>399022.21581999998</v>
      </c>
      <c r="G17" s="205" t="s">
        <v>769</v>
      </c>
      <c r="H17" s="130"/>
      <c r="I17" s="632"/>
      <c r="J17" s="1588">
        <f>J11*tonTOMg</f>
        <v>562919.70487999998</v>
      </c>
      <c r="K17" s="205" t="s">
        <v>769</v>
      </c>
      <c r="L17" s="130"/>
      <c r="M17" s="632"/>
    </row>
    <row r="18" spans="1:13" x14ac:dyDescent="0.2">
      <c r="A18" s="614" t="s">
        <v>2259</v>
      </c>
      <c r="B18" s="961">
        <f>$F$14*$F$9</f>
        <v>0.54180700000000004</v>
      </c>
      <c r="C18" s="205" t="s">
        <v>126</v>
      </c>
      <c r="D18" s="978"/>
      <c r="E18" s="979"/>
      <c r="F18" s="961">
        <f>F14*F9</f>
        <v>0.54180700000000004</v>
      </c>
      <c r="G18" s="205" t="s">
        <v>126</v>
      </c>
      <c r="H18" s="130"/>
      <c r="I18" s="632"/>
      <c r="J18" s="1568">
        <f>J14*J9</f>
        <v>0.54180700000000004</v>
      </c>
      <c r="K18" s="205" t="s">
        <v>126</v>
      </c>
      <c r="L18" s="130"/>
      <c r="M18" s="632"/>
    </row>
    <row r="19" spans="1:13" x14ac:dyDescent="0.2">
      <c r="A19" s="177" t="s">
        <v>128</v>
      </c>
      <c r="B19" s="857"/>
      <c r="C19" s="205"/>
      <c r="D19" s="210"/>
      <c r="E19" s="977"/>
      <c r="F19" s="857"/>
      <c r="G19" s="205"/>
      <c r="H19" s="130"/>
      <c r="I19" s="632"/>
      <c r="J19" s="857"/>
      <c r="K19" s="205"/>
      <c r="L19" s="130"/>
      <c r="M19" s="632"/>
    </row>
    <row r="20" spans="1:13" ht="13.5" x14ac:dyDescent="0.2">
      <c r="A20" s="177" t="s">
        <v>129</v>
      </c>
      <c r="B20" s="857">
        <f>B17*$F$8*B18</f>
        <v>278750.82826954621</v>
      </c>
      <c r="C20" s="135" t="s">
        <v>168</v>
      </c>
      <c r="D20" s="210"/>
      <c r="E20" s="977"/>
      <c r="F20" s="857">
        <f>F17*F8*F18</f>
        <v>220516.89028052246</v>
      </c>
      <c r="G20" s="135" t="s">
        <v>168</v>
      </c>
      <c r="H20" s="130"/>
      <c r="I20" s="632"/>
      <c r="J20" s="1588">
        <f>J17*J8*J18</f>
        <v>311093.71327275655</v>
      </c>
      <c r="K20" s="135" t="s">
        <v>168</v>
      </c>
      <c r="L20" s="130"/>
      <c r="M20" s="632"/>
    </row>
    <row r="21" spans="1:13" x14ac:dyDescent="0.2">
      <c r="A21" s="177" t="s">
        <v>127</v>
      </c>
      <c r="B21" s="857"/>
      <c r="C21" s="135"/>
      <c r="D21" s="210"/>
      <c r="E21" s="977"/>
      <c r="F21" s="857"/>
      <c r="G21" s="135"/>
      <c r="H21" s="130"/>
      <c r="I21" s="632"/>
      <c r="J21" s="857"/>
      <c r="K21" s="135"/>
      <c r="L21" s="130"/>
      <c r="M21" s="632"/>
    </row>
    <row r="22" spans="1:13" x14ac:dyDescent="0.2">
      <c r="A22" s="216" t="s">
        <v>223</v>
      </c>
      <c r="B22" s="857"/>
      <c r="C22" s="205"/>
      <c r="D22" s="210"/>
      <c r="E22" s="977"/>
      <c r="F22" s="857"/>
      <c r="G22" s="205"/>
      <c r="H22" s="130"/>
      <c r="I22" s="632"/>
      <c r="J22" s="857"/>
      <c r="K22" s="205"/>
      <c r="L22" s="130"/>
      <c r="M22" s="632"/>
    </row>
    <row r="23" spans="1:13" x14ac:dyDescent="0.2">
      <c r="A23" s="177" t="s">
        <v>117</v>
      </c>
      <c r="B23" s="924">
        <f>B13*tonTOMg</f>
        <v>250328.15638</v>
      </c>
      <c r="C23" s="205" t="s">
        <v>769</v>
      </c>
      <c r="D23" s="980"/>
      <c r="E23" s="942"/>
      <c r="F23" s="924">
        <f>F13*tonTOMg</f>
        <v>328650.44886</v>
      </c>
      <c r="G23" s="205" t="s">
        <v>769</v>
      </c>
      <c r="H23" s="130"/>
      <c r="I23" s="632"/>
      <c r="J23" s="1591">
        <f>J13*tonTOMg</f>
        <v>0</v>
      </c>
      <c r="K23" s="205" t="s">
        <v>769</v>
      </c>
      <c r="L23" s="130"/>
      <c r="M23" s="632"/>
    </row>
    <row r="24" spans="1:13" x14ac:dyDescent="0.2">
      <c r="A24" s="177" t="s">
        <v>125</v>
      </c>
      <c r="B24" s="962">
        <f>$F$12*$F$9</f>
        <v>0.51943450000000002</v>
      </c>
      <c r="C24" s="205" t="s">
        <v>126</v>
      </c>
      <c r="D24" s="981"/>
      <c r="E24" s="982"/>
      <c r="F24" s="962">
        <f>F12*F9</f>
        <v>0.51943450000000002</v>
      </c>
      <c r="G24" s="205" t="s">
        <v>126</v>
      </c>
      <c r="H24" s="130"/>
      <c r="I24" s="632"/>
      <c r="J24" s="1587">
        <f>J12*J9</f>
        <v>0.51943450000000002</v>
      </c>
      <c r="K24" s="205" t="s">
        <v>126</v>
      </c>
      <c r="L24" s="130"/>
      <c r="M24" s="632"/>
    </row>
    <row r="25" spans="1:13" ht="13.5" x14ac:dyDescent="0.2">
      <c r="A25" s="177" t="s">
        <v>129</v>
      </c>
      <c r="B25" s="924">
        <f>B23*B24*$F$8</f>
        <v>132629.66236007045</v>
      </c>
      <c r="C25" s="135" t="s">
        <v>168</v>
      </c>
      <c r="D25" s="980"/>
      <c r="E25" s="942"/>
      <c r="F25" s="924">
        <f>F23*F24*F8</f>
        <v>174126.62920993706</v>
      </c>
      <c r="G25" s="135" t="s">
        <v>168</v>
      </c>
      <c r="H25" s="130"/>
      <c r="I25" s="632"/>
      <c r="J25" s="1591">
        <f>J23*J24*J8</f>
        <v>0</v>
      </c>
      <c r="K25" s="135" t="s">
        <v>168</v>
      </c>
      <c r="L25" s="130"/>
      <c r="M25" s="632"/>
    </row>
    <row r="26" spans="1:13" ht="13.5" x14ac:dyDescent="0.2">
      <c r="A26" s="216" t="s">
        <v>130</v>
      </c>
      <c r="B26" s="963">
        <f>B25+B20</f>
        <v>411380.49062961666</v>
      </c>
      <c r="C26" s="865" t="s">
        <v>940</v>
      </c>
      <c r="D26" s="983"/>
      <c r="E26" s="984"/>
      <c r="F26" s="963">
        <f>F25+F20</f>
        <v>394643.51949045953</v>
      </c>
      <c r="G26" s="865" t="s">
        <v>940</v>
      </c>
      <c r="H26" s="130"/>
      <c r="I26" s="632"/>
      <c r="J26" s="1592">
        <f>J25+J20</f>
        <v>311093.71327275655</v>
      </c>
      <c r="K26" s="865" t="s">
        <v>940</v>
      </c>
      <c r="L26" s="130"/>
      <c r="M26" s="632"/>
    </row>
    <row r="27" spans="1:13" x14ac:dyDescent="0.2">
      <c r="A27" s="177"/>
      <c r="B27" s="958"/>
      <c r="C27" s="135"/>
      <c r="D27" s="889"/>
      <c r="E27" s="891"/>
      <c r="F27" s="924"/>
      <c r="G27" s="135"/>
      <c r="H27" s="130"/>
      <c r="I27" s="632"/>
      <c r="J27" s="924"/>
      <c r="K27" s="135"/>
      <c r="L27" s="130"/>
      <c r="M27" s="632"/>
    </row>
    <row r="28" spans="1:13" x14ac:dyDescent="0.2">
      <c r="A28" s="1479" t="s">
        <v>121</v>
      </c>
      <c r="B28" s="1581"/>
      <c r="C28" s="1578"/>
      <c r="D28" s="1582"/>
      <c r="E28" s="1583"/>
      <c r="F28" s="1577"/>
      <c r="G28" s="1578"/>
      <c r="H28" s="1579"/>
      <c r="I28" s="1580"/>
      <c r="J28" s="1577"/>
      <c r="K28" s="1578"/>
      <c r="L28" s="1579"/>
      <c r="M28" s="1580"/>
    </row>
    <row r="29" spans="1:13" x14ac:dyDescent="0.2">
      <c r="A29" s="1483" t="s">
        <v>118</v>
      </c>
      <c r="B29" s="958"/>
      <c r="C29" s="135"/>
      <c r="D29" s="889"/>
      <c r="E29" s="891"/>
      <c r="F29" s="916"/>
      <c r="G29" s="135"/>
      <c r="H29" s="130"/>
      <c r="I29" s="632"/>
      <c r="J29" s="924"/>
      <c r="K29" s="135"/>
      <c r="L29" s="130"/>
      <c r="M29" s="632"/>
    </row>
    <row r="30" spans="1:13" x14ac:dyDescent="0.2">
      <c r="A30" s="624" t="s">
        <v>183</v>
      </c>
      <c r="B30" s="958"/>
      <c r="C30" s="135"/>
      <c r="D30" s="889"/>
      <c r="E30" s="891"/>
      <c r="F30" s="916"/>
      <c r="G30" s="135"/>
      <c r="H30" s="130"/>
      <c r="I30" s="632"/>
      <c r="J30" s="924"/>
      <c r="K30" s="135"/>
      <c r="L30" s="130"/>
      <c r="M30" s="632"/>
    </row>
    <row r="31" spans="1:13" x14ac:dyDescent="0.2">
      <c r="A31" s="631" t="s">
        <v>171</v>
      </c>
      <c r="B31" s="959"/>
      <c r="C31" s="255"/>
      <c r="D31" s="870"/>
      <c r="E31" s="632"/>
      <c r="F31" s="967"/>
      <c r="G31" s="255"/>
      <c r="H31" s="187"/>
      <c r="I31" s="632"/>
      <c r="J31" s="1593"/>
      <c r="K31" s="255"/>
      <c r="L31" s="187"/>
      <c r="M31" s="632"/>
    </row>
    <row r="32" spans="1:13" x14ac:dyDescent="0.2">
      <c r="A32" s="177" t="s">
        <v>995</v>
      </c>
      <c r="B32" s="882">
        <v>737184</v>
      </c>
      <c r="C32" s="893" t="s">
        <v>1523</v>
      </c>
      <c r="D32" s="226" t="s">
        <v>2217</v>
      </c>
      <c r="E32" s="891" t="s">
        <v>996</v>
      </c>
      <c r="F32" s="885">
        <v>750929</v>
      </c>
      <c r="G32" s="893" t="s">
        <v>1523</v>
      </c>
      <c r="H32" s="226" t="s">
        <v>2217</v>
      </c>
      <c r="I32" s="891" t="s">
        <v>996</v>
      </c>
      <c r="J32" s="1595">
        <v>670825</v>
      </c>
      <c r="K32" s="392" t="s">
        <v>771</v>
      </c>
      <c r="L32" s="226" t="s">
        <v>2058</v>
      </c>
      <c r="M32" s="891"/>
    </row>
    <row r="33" spans="1:13" x14ac:dyDescent="0.2">
      <c r="A33" s="614" t="s">
        <v>967</v>
      </c>
      <c r="B33" s="882">
        <v>3738</v>
      </c>
      <c r="C33" s="893" t="s">
        <v>1524</v>
      </c>
      <c r="D33" s="226" t="s">
        <v>2217</v>
      </c>
      <c r="E33" s="632" t="s">
        <v>992</v>
      </c>
      <c r="F33" s="885">
        <v>13290</v>
      </c>
      <c r="G33" s="893" t="s">
        <v>1524</v>
      </c>
      <c r="H33" s="226" t="s">
        <v>2217</v>
      </c>
      <c r="I33" s="632" t="s">
        <v>992</v>
      </c>
      <c r="J33" s="1595"/>
      <c r="K33" s="893" t="s">
        <v>1524</v>
      </c>
      <c r="L33" s="226" t="s">
        <v>2058</v>
      </c>
      <c r="M33" s="761" t="s">
        <v>2203</v>
      </c>
    </row>
    <row r="34" spans="1:13" ht="11.25" customHeight="1" x14ac:dyDescent="0.2">
      <c r="A34" s="117" t="s">
        <v>253</v>
      </c>
      <c r="B34" s="860"/>
      <c r="C34" s="135"/>
      <c r="D34" s="900"/>
      <c r="E34" s="356"/>
      <c r="F34" s="969">
        <v>1</v>
      </c>
      <c r="G34" s="135" t="s">
        <v>215</v>
      </c>
      <c r="H34" s="187" t="s">
        <v>87</v>
      </c>
      <c r="I34" s="632" t="s">
        <v>89</v>
      </c>
      <c r="J34" s="1596">
        <v>1</v>
      </c>
      <c r="K34" s="135" t="s">
        <v>215</v>
      </c>
      <c r="L34" s="187" t="s">
        <v>87</v>
      </c>
      <c r="M34" s="632" t="s">
        <v>2172</v>
      </c>
    </row>
    <row r="35" spans="1:13" ht="24" x14ac:dyDescent="0.2">
      <c r="A35" s="117" t="s">
        <v>252</v>
      </c>
      <c r="B35" s="860"/>
      <c r="C35" s="135"/>
      <c r="D35" s="900"/>
      <c r="E35" s="356"/>
      <c r="F35" s="969">
        <v>1.5</v>
      </c>
      <c r="G35" s="135" t="s">
        <v>215</v>
      </c>
      <c r="H35" s="187" t="s">
        <v>87</v>
      </c>
      <c r="I35" s="632" t="s">
        <v>89</v>
      </c>
      <c r="J35" s="1596">
        <v>1.5</v>
      </c>
      <c r="K35" s="135" t="s">
        <v>215</v>
      </c>
      <c r="L35" s="187" t="s">
        <v>87</v>
      </c>
      <c r="M35" s="632" t="s">
        <v>2173</v>
      </c>
    </row>
    <row r="36" spans="1:13" x14ac:dyDescent="0.2">
      <c r="A36" s="631" t="s">
        <v>997</v>
      </c>
      <c r="B36" s="860"/>
      <c r="C36" s="309"/>
      <c r="D36" s="900"/>
      <c r="E36" s="356"/>
      <c r="F36" s="886"/>
      <c r="G36" s="309"/>
      <c r="H36" s="130"/>
      <c r="I36" s="632"/>
      <c r="J36" s="320"/>
      <c r="K36" s="309"/>
      <c r="L36" s="130"/>
      <c r="M36" s="632"/>
    </row>
    <row r="37" spans="1:13" x14ac:dyDescent="0.2">
      <c r="A37" s="614" t="s">
        <v>998</v>
      </c>
      <c r="B37" s="882">
        <v>69722</v>
      </c>
      <c r="C37" s="893" t="s">
        <v>1525</v>
      </c>
      <c r="D37" s="226" t="s">
        <v>2217</v>
      </c>
      <c r="E37" s="632" t="s">
        <v>1002</v>
      </c>
      <c r="F37" s="885">
        <v>72267</v>
      </c>
      <c r="G37" s="893" t="s">
        <v>1525</v>
      </c>
      <c r="H37" s="226" t="s">
        <v>2217</v>
      </c>
      <c r="I37" s="632" t="s">
        <v>1002</v>
      </c>
      <c r="J37" s="1595">
        <v>75424</v>
      </c>
      <c r="K37" s="893" t="s">
        <v>1525</v>
      </c>
      <c r="L37" s="226" t="s">
        <v>2057</v>
      </c>
      <c r="M37" s="632" t="s">
        <v>1002</v>
      </c>
    </row>
    <row r="38" spans="1:13" x14ac:dyDescent="0.2">
      <c r="A38" s="177" t="s">
        <v>999</v>
      </c>
      <c r="B38" s="882">
        <v>46383</v>
      </c>
      <c r="C38" s="893" t="s">
        <v>1525</v>
      </c>
      <c r="D38" s="226" t="s">
        <v>2217</v>
      </c>
      <c r="E38" s="632" t="s">
        <v>1003</v>
      </c>
      <c r="F38" s="885">
        <v>45685</v>
      </c>
      <c r="G38" s="893" t="s">
        <v>1525</v>
      </c>
      <c r="H38" s="226" t="s">
        <v>2217</v>
      </c>
      <c r="I38" s="632" t="s">
        <v>1003</v>
      </c>
      <c r="J38" s="1595">
        <v>41879</v>
      </c>
      <c r="K38" s="893" t="s">
        <v>1525</v>
      </c>
      <c r="L38" s="226" t="s">
        <v>2057</v>
      </c>
      <c r="M38" s="632" t="s">
        <v>1003</v>
      </c>
    </row>
    <row r="39" spans="1:13" x14ac:dyDescent="0.2">
      <c r="A39" s="614" t="s">
        <v>1000</v>
      </c>
      <c r="B39" s="882">
        <v>67426</v>
      </c>
      <c r="C39" s="893" t="s">
        <v>1525</v>
      </c>
      <c r="D39" s="226" t="s">
        <v>2217</v>
      </c>
      <c r="E39" s="632" t="s">
        <v>1004</v>
      </c>
      <c r="F39" s="885">
        <v>69628</v>
      </c>
      <c r="G39" s="893" t="s">
        <v>1525</v>
      </c>
      <c r="H39" s="226" t="s">
        <v>2217</v>
      </c>
      <c r="I39" s="632" t="s">
        <v>1004</v>
      </c>
      <c r="J39" s="1595">
        <v>69710</v>
      </c>
      <c r="K39" s="893" t="s">
        <v>1525</v>
      </c>
      <c r="L39" s="226" t="s">
        <v>2057</v>
      </c>
      <c r="M39" s="632" t="s">
        <v>1004</v>
      </c>
    </row>
    <row r="40" spans="1:13" x14ac:dyDescent="0.2">
      <c r="A40" s="177" t="s">
        <v>1001</v>
      </c>
      <c r="B40" s="882">
        <v>73185</v>
      </c>
      <c r="C40" s="893" t="s">
        <v>1525</v>
      </c>
      <c r="D40" s="226" t="s">
        <v>2217</v>
      </c>
      <c r="E40" s="632" t="s">
        <v>1005</v>
      </c>
      <c r="F40" s="885">
        <v>70167</v>
      </c>
      <c r="G40" s="893" t="s">
        <v>1525</v>
      </c>
      <c r="H40" s="226" t="s">
        <v>2217</v>
      </c>
      <c r="I40" s="632" t="s">
        <v>1005</v>
      </c>
      <c r="J40" s="1595">
        <v>70841</v>
      </c>
      <c r="K40" s="893" t="s">
        <v>1525</v>
      </c>
      <c r="L40" s="226" t="s">
        <v>2057</v>
      </c>
      <c r="M40" s="632" t="s">
        <v>1005</v>
      </c>
    </row>
    <row r="41" spans="1:13" s="72" customFormat="1" x14ac:dyDescent="0.2">
      <c r="A41" s="627" t="s">
        <v>1009</v>
      </c>
      <c r="B41" s="815"/>
      <c r="C41" s="558"/>
      <c r="D41" s="267"/>
      <c r="E41" s="985"/>
      <c r="F41" s="970">
        <f>0.167/0.84</f>
        <v>0.19880952380952382</v>
      </c>
      <c r="G41" s="558" t="s">
        <v>1010</v>
      </c>
      <c r="H41" s="130" t="s">
        <v>2219</v>
      </c>
      <c r="I41" s="761" t="s">
        <v>1012</v>
      </c>
      <c r="J41" s="1597">
        <f>0.167/0.84</f>
        <v>0.19880952380952382</v>
      </c>
      <c r="K41" s="558" t="s">
        <v>1010</v>
      </c>
      <c r="L41" s="130" t="s">
        <v>2219</v>
      </c>
      <c r="M41" s="761" t="s">
        <v>1012</v>
      </c>
    </row>
    <row r="42" spans="1:13" x14ac:dyDescent="0.2">
      <c r="A42" s="625" t="s">
        <v>1011</v>
      </c>
      <c r="B42" s="882"/>
      <c r="C42" s="986"/>
      <c r="D42" s="987"/>
      <c r="E42" s="936"/>
      <c r="F42" s="971">
        <v>0.2</v>
      </c>
      <c r="G42" s="986" t="s">
        <v>886</v>
      </c>
      <c r="H42" s="130" t="s">
        <v>2218</v>
      </c>
      <c r="I42" s="632" t="s">
        <v>1018</v>
      </c>
      <c r="J42" s="1598">
        <v>0.2</v>
      </c>
      <c r="K42" s="986" t="s">
        <v>886</v>
      </c>
      <c r="L42" s="130" t="s">
        <v>2218</v>
      </c>
      <c r="M42" s="632" t="s">
        <v>1018</v>
      </c>
    </row>
    <row r="43" spans="1:13" x14ac:dyDescent="0.2">
      <c r="A43" s="1476" t="s">
        <v>120</v>
      </c>
      <c r="B43" s="883"/>
      <c r="C43" s="131"/>
      <c r="D43" s="896"/>
      <c r="E43" s="988"/>
      <c r="F43" s="320"/>
      <c r="G43" s="131"/>
      <c r="H43" s="131"/>
      <c r="I43" s="631"/>
      <c r="J43" s="320"/>
      <c r="K43" s="131"/>
      <c r="L43" s="131"/>
      <c r="M43" s="631"/>
    </row>
    <row r="44" spans="1:13" x14ac:dyDescent="0.2">
      <c r="A44" s="252" t="s">
        <v>82</v>
      </c>
      <c r="B44" s="860"/>
      <c r="C44" s="135"/>
      <c r="D44" s="900"/>
      <c r="E44" s="356"/>
      <c r="F44" s="972">
        <f>AVERAGE(F34:F35)</f>
        <v>1.25</v>
      </c>
      <c r="G44" s="135" t="s">
        <v>215</v>
      </c>
      <c r="H44" s="130"/>
      <c r="I44" s="632"/>
      <c r="J44" s="1599">
        <f>AVERAGE(J34:J35)</f>
        <v>1.25</v>
      </c>
      <c r="K44" s="135" t="s">
        <v>215</v>
      </c>
      <c r="L44" s="130"/>
      <c r="M44" s="632"/>
    </row>
    <row r="45" spans="1:13" x14ac:dyDescent="0.2">
      <c r="A45" s="606" t="s">
        <v>1006</v>
      </c>
      <c r="B45" s="860"/>
      <c r="C45" s="267"/>
      <c r="D45" s="900"/>
      <c r="E45" s="356"/>
      <c r="F45" s="857"/>
      <c r="G45" s="267"/>
      <c r="H45" s="130"/>
      <c r="I45" s="632"/>
      <c r="J45" s="857"/>
      <c r="K45" s="267"/>
      <c r="L45" s="130"/>
      <c r="M45" s="632"/>
    </row>
    <row r="46" spans="1:13" x14ac:dyDescent="0.2">
      <c r="A46" s="612" t="s">
        <v>169</v>
      </c>
      <c r="B46" s="823">
        <f>B32*tonTOMg</f>
        <v>668758.58111999999</v>
      </c>
      <c r="C46" s="205" t="s">
        <v>769</v>
      </c>
      <c r="D46" s="989"/>
      <c r="E46" s="990"/>
      <c r="F46" s="823">
        <f t="shared" ref="F46:F47" si="0">F32*tonTOMg</f>
        <v>681227.77021999995</v>
      </c>
      <c r="G46" s="205" t="s">
        <v>769</v>
      </c>
      <c r="H46" s="130"/>
      <c r="I46" s="632"/>
      <c r="J46" s="1569">
        <f>J32*tonTOMg</f>
        <v>608559.02350000001</v>
      </c>
      <c r="K46" s="205" t="s">
        <v>769</v>
      </c>
      <c r="L46" s="130"/>
      <c r="M46" s="632"/>
    </row>
    <row r="47" spans="1:13" x14ac:dyDescent="0.2">
      <c r="A47" s="612" t="s">
        <v>170</v>
      </c>
      <c r="B47" s="823">
        <f>B33*tonTOMg</f>
        <v>3391.0388400000002</v>
      </c>
      <c r="C47" s="205" t="s">
        <v>769</v>
      </c>
      <c r="D47" s="989"/>
      <c r="E47" s="990"/>
      <c r="F47" s="823">
        <f t="shared" si="0"/>
        <v>12056.422199999999</v>
      </c>
      <c r="G47" s="205" t="s">
        <v>769</v>
      </c>
      <c r="H47" s="130"/>
      <c r="I47" s="632"/>
      <c r="J47" s="1569"/>
      <c r="K47" s="205" t="s">
        <v>769</v>
      </c>
      <c r="L47" s="226" t="s">
        <v>2058</v>
      </c>
      <c r="M47" s="226" t="s">
        <v>2066</v>
      </c>
    </row>
    <row r="48" spans="1:13" x14ac:dyDescent="0.2">
      <c r="A48" s="606" t="s">
        <v>1007</v>
      </c>
      <c r="B48" s="823">
        <f>SUM(B46:B47)</f>
        <v>672149.61996000004</v>
      </c>
      <c r="C48" s="267" t="s">
        <v>769</v>
      </c>
      <c r="D48" s="989"/>
      <c r="E48" s="990"/>
      <c r="F48" s="823">
        <f>SUM(F46:F47)</f>
        <v>693284.19241999998</v>
      </c>
      <c r="G48" s="267" t="s">
        <v>769</v>
      </c>
      <c r="H48" s="130"/>
      <c r="I48" s="632"/>
      <c r="J48" s="1569">
        <f>SUM(J46:J47)</f>
        <v>608559.02350000001</v>
      </c>
      <c r="K48" s="267" t="s">
        <v>769</v>
      </c>
      <c r="L48" s="130"/>
      <c r="M48" s="632"/>
    </row>
    <row r="49" spans="1:13" ht="13.5" x14ac:dyDescent="0.2">
      <c r="A49" s="606" t="s">
        <v>1008</v>
      </c>
      <c r="B49" s="271">
        <f>B48*$F$44*CO2.C/1000</f>
        <v>3078.5219532432993</v>
      </c>
      <c r="C49" s="309" t="s">
        <v>207</v>
      </c>
      <c r="D49" s="554"/>
      <c r="E49" s="941"/>
      <c r="F49" s="271">
        <f>F48*$F$44*CO2.C/1000</f>
        <v>3175.320706613707</v>
      </c>
      <c r="G49" s="309" t="s">
        <v>207</v>
      </c>
      <c r="H49" s="131"/>
      <c r="I49" s="631"/>
      <c r="J49" s="1567">
        <f>J48*$F$44*CO2.C/1000</f>
        <v>2787.2697656223409</v>
      </c>
      <c r="K49" s="309" t="s">
        <v>207</v>
      </c>
      <c r="L49" s="131"/>
      <c r="M49" s="631"/>
    </row>
    <row r="50" spans="1:13" x14ac:dyDescent="0.2">
      <c r="A50" s="606" t="s">
        <v>1015</v>
      </c>
      <c r="B50" s="860"/>
      <c r="C50" s="267"/>
      <c r="D50" s="900"/>
      <c r="E50" s="356"/>
      <c r="F50" s="788"/>
      <c r="G50" s="267"/>
      <c r="H50" s="130"/>
      <c r="I50" s="632"/>
      <c r="J50" s="788"/>
      <c r="K50" s="267"/>
      <c r="L50" s="130"/>
      <c r="M50" s="632"/>
    </row>
    <row r="51" spans="1:13" x14ac:dyDescent="0.2">
      <c r="A51" s="1205" t="s">
        <v>1311</v>
      </c>
      <c r="B51" s="1207">
        <f>B46*$F$44*CO2.C/1000</f>
        <v>3062.9906084307231</v>
      </c>
      <c r="C51" s="1206" t="s">
        <v>163</v>
      </c>
      <c r="D51" s="900"/>
      <c r="E51" s="356"/>
      <c r="F51" s="1207">
        <f>F46*$F$44*CO2.C/1000</f>
        <v>3120.1009172720437</v>
      </c>
      <c r="G51" s="1206" t="s">
        <v>163</v>
      </c>
      <c r="H51" s="130"/>
      <c r="I51" s="632"/>
      <c r="J51" s="1601">
        <f>J46*$J$44*CO2.C/1000</f>
        <v>2787.2697656223409</v>
      </c>
      <c r="K51" s="1206" t="s">
        <v>163</v>
      </c>
      <c r="L51" s="130"/>
      <c r="M51" s="632"/>
    </row>
    <row r="52" spans="1:13" x14ac:dyDescent="0.2">
      <c r="A52" s="606" t="s">
        <v>1322</v>
      </c>
      <c r="B52" s="823">
        <f>SUM(B37:B40)</f>
        <v>256716</v>
      </c>
      <c r="C52" s="255" t="s">
        <v>771</v>
      </c>
      <c r="D52" s="989"/>
      <c r="E52" s="990"/>
      <c r="F52" s="823">
        <f>SUM(F37:F40)</f>
        <v>257747</v>
      </c>
      <c r="G52" s="255" t="s">
        <v>771</v>
      </c>
      <c r="H52" s="130"/>
      <c r="I52" s="632"/>
      <c r="J52" s="1569">
        <f>SUM(J37:J40)</f>
        <v>257854</v>
      </c>
      <c r="K52" s="255" t="s">
        <v>771</v>
      </c>
      <c r="L52" s="130"/>
      <c r="M52" s="632"/>
    </row>
    <row r="53" spans="1:13" x14ac:dyDescent="0.2">
      <c r="A53" s="1" t="s">
        <v>1323</v>
      </c>
      <c r="B53" s="788">
        <f>B52*tonTOMg</f>
        <v>232887.62088</v>
      </c>
      <c r="C53" s="130" t="s">
        <v>769</v>
      </c>
      <c r="D53" s="311"/>
      <c r="E53" s="937"/>
      <c r="F53" s="788">
        <f>F52*tonTOMg</f>
        <v>233822.92345999999</v>
      </c>
      <c r="G53" s="130" t="s">
        <v>769</v>
      </c>
      <c r="H53" s="135"/>
      <c r="I53" s="891"/>
      <c r="J53" s="1600">
        <f>J52*tonTOMg</f>
        <v>233919.99171999999</v>
      </c>
      <c r="K53" s="130" t="s">
        <v>769</v>
      </c>
      <c r="L53" s="135"/>
      <c r="M53" s="891"/>
    </row>
    <row r="54" spans="1:13" ht="13.5" x14ac:dyDescent="0.2">
      <c r="A54" s="621" t="s">
        <v>1324</v>
      </c>
      <c r="B54" s="818">
        <f>B53*$F$41*(1-$F$42)</f>
        <v>37040.221606628576</v>
      </c>
      <c r="C54" s="309" t="s">
        <v>207</v>
      </c>
      <c r="D54" s="537"/>
      <c r="E54" s="991"/>
      <c r="F54" s="818">
        <f>F53*$F$41*(1-$F$42)</f>
        <v>37188.979255066668</v>
      </c>
      <c r="G54" s="309" t="s">
        <v>207</v>
      </c>
      <c r="H54" s="130" t="s">
        <v>2219</v>
      </c>
      <c r="I54" s="909" t="s">
        <v>1014</v>
      </c>
      <c r="J54" s="1567">
        <f>J53*$J$41*(1-$J$42)</f>
        <v>37204.417730704765</v>
      </c>
      <c r="K54" s="309" t="s">
        <v>207</v>
      </c>
      <c r="L54" s="130" t="s">
        <v>2219</v>
      </c>
      <c r="M54" s="891" t="s">
        <v>1014</v>
      </c>
    </row>
    <row r="55" spans="1:13" x14ac:dyDescent="0.2">
      <c r="A55" s="1" t="s">
        <v>1013</v>
      </c>
      <c r="J55" s="924"/>
      <c r="L55" s="312"/>
      <c r="M55" s="891"/>
    </row>
    <row r="56" spans="1:13" ht="13.5" x14ac:dyDescent="0.2">
      <c r="A56" s="629" t="s">
        <v>1325</v>
      </c>
      <c r="B56" s="1204">
        <f>SUM(B49,B54)</f>
        <v>40118.743559871873</v>
      </c>
      <c r="C56" s="865" t="s">
        <v>940</v>
      </c>
      <c r="D56" s="992"/>
      <c r="E56" s="993"/>
      <c r="F56" s="1204">
        <f>SUM(F49,F54)</f>
        <v>40364.299961680372</v>
      </c>
      <c r="G56" s="865" t="s">
        <v>940</v>
      </c>
      <c r="J56" s="1592">
        <f>SUM(J49,J54)</f>
        <v>39991.687496327104</v>
      </c>
      <c r="K56" s="865" t="s">
        <v>940</v>
      </c>
    </row>
    <row r="57" spans="1:13" x14ac:dyDescent="0.2">
      <c r="K57" s="138"/>
    </row>
    <row r="58" spans="1:13" ht="13.5" x14ac:dyDescent="0.2">
      <c r="A58" s="1604" t="s">
        <v>21</v>
      </c>
      <c r="B58" s="1603">
        <f>B56+B26</f>
        <v>451499.23418948852</v>
      </c>
      <c r="C58" s="2352" t="s">
        <v>207</v>
      </c>
      <c r="D58" s="1606"/>
      <c r="E58" s="1607"/>
      <c r="F58" s="1603">
        <f>F56+F26</f>
        <v>435007.8194521399</v>
      </c>
      <c r="G58" s="2353" t="s">
        <v>207</v>
      </c>
      <c r="H58" s="1605"/>
      <c r="I58" s="1608"/>
      <c r="J58" s="1564">
        <f>J56+J26</f>
        <v>351085.40076908364</v>
      </c>
      <c r="K58" s="1670" t="s">
        <v>207</v>
      </c>
      <c r="L58" s="1609"/>
      <c r="M58" s="1608"/>
    </row>
    <row r="59" spans="1:13" x14ac:dyDescent="0.2">
      <c r="K59" s="138"/>
    </row>
    <row r="61" spans="1:13" x14ac:dyDescent="0.2">
      <c r="B61" s="795"/>
      <c r="D61" s="138"/>
      <c r="E61" s="834"/>
      <c r="F61" s="593"/>
      <c r="I61" s="652"/>
      <c r="J61" s="593"/>
      <c r="M61" s="652"/>
    </row>
    <row r="62" spans="1:13" x14ac:dyDescent="0.2">
      <c r="B62" s="795"/>
      <c r="D62" s="138"/>
      <c r="E62" s="834"/>
      <c r="F62" s="593"/>
      <c r="I62" s="652"/>
      <c r="J62" s="593"/>
      <c r="M62" s="652"/>
    </row>
    <row r="63" spans="1:13" x14ac:dyDescent="0.2">
      <c r="B63" s="795"/>
      <c r="D63" s="138"/>
      <c r="E63" s="834"/>
      <c r="F63" s="593"/>
      <c r="I63" s="652"/>
      <c r="J63" s="593"/>
      <c r="M63" s="652"/>
    </row>
    <row r="64" spans="1:13" x14ac:dyDescent="0.2">
      <c r="B64" s="795"/>
      <c r="D64" s="138"/>
      <c r="E64" s="834"/>
      <c r="F64" s="593"/>
      <c r="I64" s="652"/>
      <c r="J64" s="593"/>
      <c r="M64" s="652"/>
    </row>
    <row r="65" spans="2:13" x14ac:dyDescent="0.2">
      <c r="B65" s="795"/>
      <c r="D65" s="138"/>
      <c r="E65" s="834"/>
      <c r="F65" s="593"/>
      <c r="I65" s="652"/>
      <c r="J65" s="593"/>
      <c r="M65" s="652"/>
    </row>
    <row r="66" spans="2:13" x14ac:dyDescent="0.2">
      <c r="B66" s="795"/>
      <c r="D66" s="138"/>
      <c r="E66" s="834"/>
      <c r="F66" s="593"/>
      <c r="I66" s="652"/>
      <c r="J66" s="593"/>
      <c r="M66" s="652"/>
    </row>
    <row r="67" spans="2:13" x14ac:dyDescent="0.2">
      <c r="B67" s="795"/>
      <c r="D67" s="138"/>
      <c r="E67" s="834"/>
      <c r="F67" s="593"/>
      <c r="I67" s="652"/>
      <c r="J67" s="593"/>
      <c r="M67" s="652"/>
    </row>
    <row r="74" spans="2:13" x14ac:dyDescent="0.2">
      <c r="B74" s="795"/>
      <c r="D74" s="138"/>
      <c r="E74" s="834"/>
      <c r="F74" s="593"/>
      <c r="I74" s="652"/>
      <c r="J74" s="593"/>
      <c r="M74" s="652"/>
    </row>
  </sheetData>
  <customSheetViews>
    <customSheetView guid="{9BEC6399-AE85-4D88-8FBA-3674E2F30307}" topLeftCell="C7">
      <selection activeCell="H38" sqref="H38:H41"/>
      <pageMargins left="0.7" right="0.7" top="0.75" bottom="0.75" header="0.3" footer="0.3"/>
    </customSheetView>
    <customSheetView guid="{0347A67A-6027-4907-965C-6EA2A8295536}" topLeftCell="C7">
      <selection activeCell="H38" sqref="H38:H41"/>
      <pageMargins left="0.7" right="0.7" top="0.75" bottom="0.75" header="0.3" footer="0.3"/>
    </customSheetView>
    <customSheetView guid="{15CC7F3D-99AB-49C1-AC00-E04D3FE3FBC1}">
      <selection activeCell="H38" sqref="H38:H41"/>
      <pageMargins left="0.7" right="0.7" top="0.75" bottom="0.75" header="0.3" footer="0.3"/>
    </customSheetView>
  </customSheetViews>
  <mergeCells count="3">
    <mergeCell ref="F1:I1"/>
    <mergeCell ref="B1:E1"/>
    <mergeCell ref="J1:M1"/>
  </mergeCells>
  <phoneticPr fontId="30" type="noConversion"/>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9" tint="-0.249977111117893"/>
  </sheetPr>
  <dimension ref="A1:V59"/>
  <sheetViews>
    <sheetView workbookViewId="0">
      <selection activeCell="F26" sqref="F26:F27"/>
    </sheetView>
  </sheetViews>
  <sheetFormatPr defaultColWidth="8.85546875" defaultRowHeight="12" x14ac:dyDescent="0.2"/>
  <cols>
    <col min="1" max="1" width="34.5703125" style="1" bestFit="1" customWidth="1"/>
    <col min="2" max="2" width="10.85546875" style="811" bestFit="1" customWidth="1"/>
    <col min="3" max="3" width="7.42578125" style="659" bestFit="1" customWidth="1"/>
    <col min="4" max="4" width="6.7109375" style="659" bestFit="1" customWidth="1"/>
    <col min="5" max="5" width="10.140625" style="584" bestFit="1" customWidth="1"/>
    <col min="6" max="6" width="10.85546875" style="848" bestFit="1" customWidth="1"/>
    <col min="7" max="7" width="8" style="505" bestFit="1" customWidth="1"/>
    <col min="8" max="8" width="16" style="505" customWidth="1"/>
    <col min="9" max="9" width="5.5703125" style="505" bestFit="1" customWidth="1"/>
    <col min="10" max="10" width="9.42578125" style="2302" customWidth="1"/>
    <col min="11" max="12" width="9.42578125" style="505" customWidth="1"/>
    <col min="13" max="13" width="9.42578125" style="574" customWidth="1"/>
    <col min="14" max="14" width="10.85546875" style="848" bestFit="1" customWidth="1"/>
    <col min="15" max="15" width="8" style="505" bestFit="1" customWidth="1"/>
    <col min="16" max="16" width="19.7109375" style="505" customWidth="1"/>
    <col min="17" max="17" width="5.5703125" style="574" bestFit="1" customWidth="1"/>
    <col min="19" max="19" width="11" bestFit="1" customWidth="1"/>
    <col min="20" max="20" width="13.5703125" bestFit="1" customWidth="1"/>
  </cols>
  <sheetData>
    <row r="1" spans="1:22" x14ac:dyDescent="0.2">
      <c r="A1" s="637"/>
      <c r="B1" s="2543">
        <v>2003</v>
      </c>
      <c r="C1" s="2544"/>
      <c r="D1" s="2544"/>
      <c r="E1" s="2545"/>
      <c r="F1" s="2543">
        <v>2008</v>
      </c>
      <c r="G1" s="2544"/>
      <c r="H1" s="2544"/>
      <c r="I1" s="2545"/>
      <c r="J1" s="2543">
        <v>2010</v>
      </c>
      <c r="K1" s="2544"/>
      <c r="L1" s="2544"/>
      <c r="M1" s="2545"/>
      <c r="N1" s="2543">
        <v>2015</v>
      </c>
      <c r="O1" s="2544"/>
      <c r="P1" s="2544"/>
      <c r="Q1" s="2545"/>
      <c r="R1" s="65" t="s">
        <v>1542</v>
      </c>
    </row>
    <row r="2" spans="1:22" x14ac:dyDescent="0.2">
      <c r="A2" s="114" t="s">
        <v>604</v>
      </c>
      <c r="B2" s="620" t="s">
        <v>602</v>
      </c>
      <c r="C2" s="758" t="s">
        <v>601</v>
      </c>
      <c r="D2" s="633" t="s">
        <v>603</v>
      </c>
      <c r="E2" s="666" t="s">
        <v>420</v>
      </c>
      <c r="F2" s="209" t="s">
        <v>602</v>
      </c>
      <c r="G2" s="758" t="s">
        <v>601</v>
      </c>
      <c r="H2" s="633" t="s">
        <v>603</v>
      </c>
      <c r="I2" s="633" t="s">
        <v>420</v>
      </c>
      <c r="J2" s="2281" t="s">
        <v>602</v>
      </c>
      <c r="K2" s="2279" t="s">
        <v>601</v>
      </c>
      <c r="L2" s="2280" t="s">
        <v>603</v>
      </c>
      <c r="M2" s="666" t="s">
        <v>420</v>
      </c>
      <c r="N2" s="209" t="s">
        <v>602</v>
      </c>
      <c r="O2" s="1366" t="s">
        <v>601</v>
      </c>
      <c r="P2" s="633" t="s">
        <v>603</v>
      </c>
      <c r="Q2" s="666" t="s">
        <v>420</v>
      </c>
      <c r="R2" s="214" t="s">
        <v>1539</v>
      </c>
      <c r="S2" s="695"/>
      <c r="T2" s="1493" t="s">
        <v>1541</v>
      </c>
      <c r="U2" s="481"/>
    </row>
    <row r="3" spans="1:22" x14ac:dyDescent="0.2">
      <c r="A3" s="1467" t="s">
        <v>1075</v>
      </c>
      <c r="B3" s="1534"/>
      <c r="C3" s="1468"/>
      <c r="D3" s="1468"/>
      <c r="E3" s="1467"/>
      <c r="F3" s="1535"/>
      <c r="G3" s="1468"/>
      <c r="H3" s="1468"/>
      <c r="I3" s="1468"/>
      <c r="J3" s="2260"/>
      <c r="K3" s="2296"/>
      <c r="L3" s="2296"/>
      <c r="M3" s="2264"/>
      <c r="N3" s="1535"/>
      <c r="O3" s="1468"/>
      <c r="P3" s="1468"/>
      <c r="Q3" s="1467"/>
      <c r="R3" s="1484"/>
      <c r="S3" s="1484"/>
      <c r="T3" s="1484"/>
      <c r="U3" s="1484"/>
    </row>
    <row r="4" spans="1:22" s="91" customFormat="1" x14ac:dyDescent="0.2">
      <c r="A4" s="1482" t="s">
        <v>119</v>
      </c>
      <c r="B4" s="806"/>
      <c r="C4" s="215"/>
      <c r="D4" s="215"/>
      <c r="E4" s="216"/>
      <c r="F4" s="1004"/>
      <c r="G4" s="509"/>
      <c r="H4" s="509"/>
      <c r="I4" s="509"/>
      <c r="J4" s="2261"/>
      <c r="K4" s="668"/>
      <c r="L4" s="668"/>
      <c r="M4" s="670"/>
      <c r="N4" s="1004"/>
      <c r="O4" s="509"/>
      <c r="P4" s="509"/>
      <c r="Q4" s="1539"/>
    </row>
    <row r="5" spans="1:22" s="91" customFormat="1" ht="24" x14ac:dyDescent="0.2">
      <c r="A5" s="640" t="s">
        <v>2204</v>
      </c>
      <c r="B5" s="2303"/>
      <c r="C5" s="657"/>
      <c r="D5" s="657"/>
      <c r="E5" s="640"/>
      <c r="F5" s="2311"/>
      <c r="G5" s="509"/>
      <c r="H5" s="509"/>
      <c r="I5" s="509"/>
      <c r="J5" s="2312"/>
      <c r="K5" s="668"/>
      <c r="L5" s="668"/>
      <c r="M5" s="670"/>
      <c r="N5" s="2311"/>
      <c r="O5" s="509"/>
      <c r="P5" s="509"/>
      <c r="Q5" s="1539"/>
    </row>
    <row r="6" spans="1:22" s="91" customFormat="1" x14ac:dyDescent="0.2">
      <c r="A6" s="638" t="s">
        <v>378</v>
      </c>
      <c r="B6" s="2304"/>
      <c r="C6" s="658"/>
      <c r="D6" s="658"/>
      <c r="E6" s="638"/>
      <c r="F6" s="2311"/>
      <c r="G6" s="658"/>
      <c r="H6" s="509"/>
      <c r="I6" s="509"/>
      <c r="J6" s="2313"/>
      <c r="K6" s="658"/>
      <c r="L6" s="2297"/>
      <c r="M6" s="2266"/>
      <c r="N6" s="2311"/>
      <c r="O6" s="658"/>
      <c r="P6" s="509"/>
      <c r="Q6" s="1539"/>
    </row>
    <row r="7" spans="1:22" s="91" customFormat="1" ht="13.5" x14ac:dyDescent="0.2">
      <c r="A7" s="584" t="s">
        <v>1021</v>
      </c>
      <c r="B7" s="2305">
        <v>5183.8590000000004</v>
      </c>
      <c r="C7" s="659" t="s">
        <v>168</v>
      </c>
      <c r="D7" s="659" t="s">
        <v>1873</v>
      </c>
      <c r="E7" s="584"/>
      <c r="F7" s="2311">
        <v>2679.3969999999999</v>
      </c>
      <c r="G7" s="659" t="s">
        <v>168</v>
      </c>
      <c r="H7" s="659" t="s">
        <v>1873</v>
      </c>
      <c r="I7" s="509"/>
      <c r="J7" s="2313">
        <v>2297.7169999999996</v>
      </c>
      <c r="K7" s="659" t="s">
        <v>168</v>
      </c>
      <c r="L7" s="659" t="s">
        <v>1873</v>
      </c>
      <c r="M7" s="2267"/>
      <c r="N7" s="2311">
        <v>14261.599</v>
      </c>
      <c r="O7" s="659" t="s">
        <v>168</v>
      </c>
      <c r="P7" s="659" t="s">
        <v>1873</v>
      </c>
      <c r="Q7" s="1539"/>
    </row>
    <row r="8" spans="1:22" s="91" customFormat="1" ht="13.5" x14ac:dyDescent="0.2">
      <c r="A8" s="584" t="s">
        <v>1022</v>
      </c>
      <c r="B8" s="2305">
        <v>5562.9260000000004</v>
      </c>
      <c r="C8" s="659" t="s">
        <v>168</v>
      </c>
      <c r="D8" s="659" t="s">
        <v>1873</v>
      </c>
      <c r="E8" s="584"/>
      <c r="F8" s="2311">
        <v>5436.125</v>
      </c>
      <c r="G8" s="659" t="s">
        <v>168</v>
      </c>
      <c r="H8" s="659" t="s">
        <v>1873</v>
      </c>
      <c r="I8" s="509"/>
      <c r="J8" s="2313">
        <v>5677.86</v>
      </c>
      <c r="K8" s="659" t="s">
        <v>168</v>
      </c>
      <c r="L8" s="659" t="s">
        <v>1873</v>
      </c>
      <c r="M8" s="2267"/>
      <c r="N8" s="2311">
        <v>13059.722</v>
      </c>
      <c r="O8" s="659" t="s">
        <v>168</v>
      </c>
      <c r="P8" s="659" t="s">
        <v>1873</v>
      </c>
      <c r="Q8" s="1539"/>
    </row>
    <row r="9" spans="1:22" s="91" customFormat="1" ht="13.5" x14ac:dyDescent="0.2">
      <c r="A9" s="584" t="s">
        <v>1023</v>
      </c>
      <c r="B9" s="2305">
        <v>38739.803</v>
      </c>
      <c r="C9" s="659" t="s">
        <v>168</v>
      </c>
      <c r="D9" s="2364" t="s">
        <v>1873</v>
      </c>
      <c r="E9" s="584"/>
      <c r="F9" s="2311">
        <v>34741.062000000005</v>
      </c>
      <c r="G9" s="659" t="s">
        <v>168</v>
      </c>
      <c r="H9" s="659" t="s">
        <v>1873</v>
      </c>
      <c r="I9" s="509"/>
      <c r="J9" s="2313">
        <v>34133.535000000003</v>
      </c>
      <c r="K9" s="659" t="s">
        <v>168</v>
      </c>
      <c r="L9" s="659" t="s">
        <v>1873</v>
      </c>
      <c r="M9" s="2267"/>
      <c r="N9" s="2311">
        <v>75106.849999999991</v>
      </c>
      <c r="O9" s="659" t="s">
        <v>168</v>
      </c>
      <c r="P9" s="659" t="s">
        <v>1873</v>
      </c>
      <c r="Q9" s="1539"/>
    </row>
    <row r="10" spans="1:22" s="91" customFormat="1" ht="13.5" x14ac:dyDescent="0.2">
      <c r="A10" s="641" t="s">
        <v>1035</v>
      </c>
      <c r="B10" s="2306">
        <f>SUM(B7:B9)</f>
        <v>49486.588000000003</v>
      </c>
      <c r="C10" s="659" t="s">
        <v>168</v>
      </c>
      <c r="D10" s="2363"/>
      <c r="E10" s="583"/>
      <c r="F10" s="2306">
        <f>SUM(F7:F9)</f>
        <v>42856.584000000003</v>
      </c>
      <c r="G10" s="659" t="s">
        <v>168</v>
      </c>
      <c r="H10" s="2363"/>
      <c r="I10" s="509"/>
      <c r="J10" s="2306">
        <f>SUM(J7:J9)</f>
        <v>42109.112000000001</v>
      </c>
      <c r="K10" s="659" t="s">
        <v>168</v>
      </c>
      <c r="L10" s="2363"/>
      <c r="M10" s="2267"/>
      <c r="N10" s="2306">
        <f>SUM(N7:N9)</f>
        <v>102428.17099999999</v>
      </c>
      <c r="O10" s="659" t="s">
        <v>168</v>
      </c>
      <c r="P10" s="2363"/>
      <c r="Q10" s="1539"/>
    </row>
    <row r="11" spans="1:22" s="91" customFormat="1" x14ac:dyDescent="0.2">
      <c r="A11" s="638" t="s">
        <v>213</v>
      </c>
      <c r="B11" s="2304"/>
      <c r="C11" s="659"/>
      <c r="D11" s="2119"/>
      <c r="E11" s="638"/>
      <c r="F11" s="2311"/>
      <c r="G11" s="659"/>
      <c r="H11" s="2119"/>
      <c r="I11" s="509"/>
      <c r="J11" s="2313"/>
      <c r="K11" s="659"/>
      <c r="L11" s="2119"/>
      <c r="M11" s="2267"/>
      <c r="N11" s="2311"/>
      <c r="O11" s="659"/>
      <c r="P11" s="2119"/>
      <c r="Q11" s="1539"/>
    </row>
    <row r="12" spans="1:22" s="91" customFormat="1" ht="13.5" x14ac:dyDescent="0.2">
      <c r="A12" s="584" t="s">
        <v>1024</v>
      </c>
      <c r="B12" s="2305">
        <v>45513.746999999996</v>
      </c>
      <c r="C12" s="659" t="s">
        <v>168</v>
      </c>
      <c r="D12" s="659" t="s">
        <v>1873</v>
      </c>
      <c r="E12" s="584"/>
      <c r="F12" s="2311">
        <v>43898.988000000005</v>
      </c>
      <c r="G12" s="659" t="s">
        <v>168</v>
      </c>
      <c r="H12" s="659" t="s">
        <v>1873</v>
      </c>
      <c r="I12" s="509"/>
      <c r="J12" s="2313">
        <v>46209.691999999995</v>
      </c>
      <c r="K12" s="659" t="s">
        <v>168</v>
      </c>
      <c r="L12" s="659" t="s">
        <v>1873</v>
      </c>
      <c r="M12" s="2267"/>
      <c r="N12" s="2311">
        <v>107610.37000000001</v>
      </c>
      <c r="O12" s="659" t="s">
        <v>168</v>
      </c>
      <c r="P12" s="659" t="s">
        <v>1873</v>
      </c>
      <c r="Q12" s="1539"/>
      <c r="V12" s="91" t="e">
        <f>K11/K12</f>
        <v>#VALUE!</v>
      </c>
    </row>
    <row r="13" spans="1:22" s="91" customFormat="1" ht="13.5" x14ac:dyDescent="0.2">
      <c r="A13" s="584" t="s">
        <v>1025</v>
      </c>
      <c r="B13" s="2305">
        <v>127306.24700000003</v>
      </c>
      <c r="C13" s="659" t="s">
        <v>168</v>
      </c>
      <c r="D13" s="2364" t="s">
        <v>1873</v>
      </c>
      <c r="E13" s="584"/>
      <c r="F13" s="2311">
        <v>137652.17100000003</v>
      </c>
      <c r="G13" s="659" t="s">
        <v>168</v>
      </c>
      <c r="H13" s="659" t="s">
        <v>1873</v>
      </c>
      <c r="I13" s="509"/>
      <c r="J13" s="2313">
        <v>145773.59699999995</v>
      </c>
      <c r="K13" s="659" t="s">
        <v>168</v>
      </c>
      <c r="L13" s="659" t="s">
        <v>1873</v>
      </c>
      <c r="M13" s="2267"/>
      <c r="N13" s="2311">
        <v>333771.62500000012</v>
      </c>
      <c r="O13" s="659" t="s">
        <v>168</v>
      </c>
      <c r="P13" s="659" t="s">
        <v>1873</v>
      </c>
      <c r="Q13" s="1539"/>
    </row>
    <row r="14" spans="1:22" s="91" customFormat="1" ht="13.5" x14ac:dyDescent="0.2">
      <c r="A14" s="584" t="s">
        <v>1026</v>
      </c>
      <c r="B14" s="2305">
        <v>40761.667000000001</v>
      </c>
      <c r="C14" s="659" t="s">
        <v>168</v>
      </c>
      <c r="D14" s="2364" t="s">
        <v>1873</v>
      </c>
      <c r="E14" s="584"/>
      <c r="F14" s="2311">
        <v>44877.281999999999</v>
      </c>
      <c r="G14" s="659" t="s">
        <v>168</v>
      </c>
      <c r="H14" s="659" t="s">
        <v>1873</v>
      </c>
      <c r="I14" s="509"/>
      <c r="J14" s="2313">
        <v>47254.517</v>
      </c>
      <c r="K14" s="659" t="s">
        <v>168</v>
      </c>
      <c r="L14" s="659" t="s">
        <v>1873</v>
      </c>
      <c r="M14" s="2267"/>
      <c r="N14" s="2311">
        <v>105614.845</v>
      </c>
      <c r="O14" s="659" t="s">
        <v>168</v>
      </c>
      <c r="P14" s="659" t="s">
        <v>1873</v>
      </c>
      <c r="Q14" s="1539"/>
    </row>
    <row r="15" spans="1:22" s="91" customFormat="1" ht="13.5" x14ac:dyDescent="0.2">
      <c r="A15" s="584" t="s">
        <v>1027</v>
      </c>
      <c r="B15" s="2305">
        <v>5510.0860000000002</v>
      </c>
      <c r="C15" s="659" t="s">
        <v>168</v>
      </c>
      <c r="D15" s="659" t="s">
        <v>1873</v>
      </c>
      <c r="E15" s="584"/>
      <c r="F15" s="2311">
        <v>5557.8739999999998</v>
      </c>
      <c r="G15" s="659" t="s">
        <v>168</v>
      </c>
      <c r="H15" s="659" t="s">
        <v>1873</v>
      </c>
      <c r="I15" s="509"/>
      <c r="J15" s="2313">
        <v>5733.5450000000001</v>
      </c>
      <c r="K15" s="659" t="s">
        <v>168</v>
      </c>
      <c r="L15" s="659" t="s">
        <v>1873</v>
      </c>
      <c r="M15" s="2267"/>
      <c r="N15" s="2311">
        <v>12900.46</v>
      </c>
      <c r="O15" s="659" t="s">
        <v>168</v>
      </c>
      <c r="P15" s="659" t="s">
        <v>1873</v>
      </c>
      <c r="Q15" s="1539"/>
    </row>
    <row r="16" spans="1:22" s="91" customFormat="1" ht="13.5" x14ac:dyDescent="0.2">
      <c r="A16" s="641" t="s">
        <v>1036</v>
      </c>
      <c r="B16" s="2306">
        <f>SUM(B12:B15)</f>
        <v>219091.74700000003</v>
      </c>
      <c r="C16" s="659" t="s">
        <v>168</v>
      </c>
      <c r="D16" s="659"/>
      <c r="E16" s="583"/>
      <c r="F16" s="2306">
        <f>SUM(F12:F15)</f>
        <v>231986.31500000006</v>
      </c>
      <c r="G16" s="659" t="s">
        <v>168</v>
      </c>
      <c r="H16" s="659"/>
      <c r="I16" s="509"/>
      <c r="J16" s="2306">
        <f>SUM(J12:J15)</f>
        <v>244971.35099999994</v>
      </c>
      <c r="K16" s="659" t="s">
        <v>168</v>
      </c>
      <c r="L16" s="659"/>
      <c r="M16" s="2267"/>
      <c r="N16" s="2306">
        <f>SUM(N12:N15)</f>
        <v>559897.30000000005</v>
      </c>
      <c r="O16" s="659" t="s">
        <v>168</v>
      </c>
      <c r="P16" s="659"/>
      <c r="Q16" s="1539"/>
    </row>
    <row r="17" spans="1:20" s="91" customFormat="1" x14ac:dyDescent="0.2">
      <c r="A17" s="638" t="s">
        <v>212</v>
      </c>
      <c r="B17" s="2304"/>
      <c r="C17" s="659"/>
      <c r="D17" s="873"/>
      <c r="E17" s="638"/>
      <c r="F17" s="2311"/>
      <c r="G17" s="659"/>
      <c r="H17" s="873"/>
      <c r="I17" s="509"/>
      <c r="J17" s="2313"/>
      <c r="K17" s="659"/>
      <c r="L17" s="873"/>
      <c r="M17" s="2300"/>
      <c r="N17" s="2311"/>
      <c r="O17" s="659"/>
      <c r="P17" s="873"/>
      <c r="Q17" s="1539"/>
    </row>
    <row r="18" spans="1:20" s="91" customFormat="1" ht="13.5" x14ac:dyDescent="0.2">
      <c r="A18" s="617" t="s">
        <v>1028</v>
      </c>
      <c r="B18" s="2307">
        <v>62953.968999999997</v>
      </c>
      <c r="C18" s="659" t="s">
        <v>168</v>
      </c>
      <c r="D18" s="2364" t="s">
        <v>1873</v>
      </c>
      <c r="E18" s="617"/>
      <c r="F18" s="2311">
        <v>63332.896999999997</v>
      </c>
      <c r="G18" s="659" t="s">
        <v>168</v>
      </c>
      <c r="H18" s="659" t="s">
        <v>1873</v>
      </c>
      <c r="I18" s="509"/>
      <c r="J18" s="2313">
        <v>66660.683000000005</v>
      </c>
      <c r="K18" s="659" t="s">
        <v>168</v>
      </c>
      <c r="L18" s="659" t="s">
        <v>1873</v>
      </c>
      <c r="M18" s="2267"/>
      <c r="N18" s="2311">
        <v>94172.755999999994</v>
      </c>
      <c r="O18" s="659" t="s">
        <v>168</v>
      </c>
      <c r="P18" s="659" t="s">
        <v>1873</v>
      </c>
      <c r="Q18" s="1539"/>
      <c r="S18" s="2258"/>
      <c r="T18" s="2258"/>
    </row>
    <row r="19" spans="1:20" s="91" customFormat="1" ht="13.5" x14ac:dyDescent="0.2">
      <c r="A19" s="617" t="s">
        <v>1029</v>
      </c>
      <c r="B19" s="2307">
        <v>260573.68800000002</v>
      </c>
      <c r="C19" s="659" t="s">
        <v>168</v>
      </c>
      <c r="D19" s="659" t="s">
        <v>1873</v>
      </c>
      <c r="E19" s="617"/>
      <c r="F19" s="2311">
        <v>248828.19300000006</v>
      </c>
      <c r="G19" s="659" t="s">
        <v>168</v>
      </c>
      <c r="H19" s="659" t="s">
        <v>1873</v>
      </c>
      <c r="I19" s="509"/>
      <c r="J19" s="2313">
        <v>251145.14300000004</v>
      </c>
      <c r="K19" s="659" t="s">
        <v>168</v>
      </c>
      <c r="L19" s="659" t="s">
        <v>1873</v>
      </c>
      <c r="M19" s="2267"/>
      <c r="N19" s="2311">
        <v>309504.728</v>
      </c>
      <c r="O19" s="659" t="s">
        <v>168</v>
      </c>
      <c r="P19" s="659" t="s">
        <v>1873</v>
      </c>
      <c r="Q19" s="1539"/>
      <c r="S19" s="2258"/>
      <c r="T19" s="2258"/>
    </row>
    <row r="20" spans="1:20" s="91" customFormat="1" ht="13.5" x14ac:dyDescent="0.2">
      <c r="A20" s="617" t="s">
        <v>1030</v>
      </c>
      <c r="B20" s="2307">
        <v>101511.06800000001</v>
      </c>
      <c r="C20" s="659" t="s">
        <v>168</v>
      </c>
      <c r="D20" s="659" t="s">
        <v>1873</v>
      </c>
      <c r="E20" s="617"/>
      <c r="F20" s="2311">
        <v>97249.357999999978</v>
      </c>
      <c r="G20" s="659" t="s">
        <v>168</v>
      </c>
      <c r="H20" s="659" t="s">
        <v>1873</v>
      </c>
      <c r="I20" s="509"/>
      <c r="J20" s="2313">
        <v>95805.228000000003</v>
      </c>
      <c r="K20" s="659" t="s">
        <v>168</v>
      </c>
      <c r="L20" s="659" t="s">
        <v>1873</v>
      </c>
      <c r="M20" s="2267"/>
      <c r="N20" s="2311">
        <v>115207.287</v>
      </c>
      <c r="O20" s="659" t="s">
        <v>168</v>
      </c>
      <c r="P20" s="659" t="s">
        <v>1873</v>
      </c>
      <c r="Q20" s="1539"/>
      <c r="S20" s="2258"/>
      <c r="T20" s="2258"/>
    </row>
    <row r="21" spans="1:20" s="91" customFormat="1" ht="13.5" x14ac:dyDescent="0.2">
      <c r="A21" s="617" t="s">
        <v>1031</v>
      </c>
      <c r="B21" s="2307">
        <v>23634.519</v>
      </c>
      <c r="C21" s="137" t="s">
        <v>168</v>
      </c>
      <c r="D21" s="659" t="s">
        <v>1873</v>
      </c>
      <c r="E21" s="617"/>
      <c r="F21" s="2311">
        <v>23918.137999999999</v>
      </c>
      <c r="G21" s="659" t="s">
        <v>168</v>
      </c>
      <c r="H21" s="659" t="s">
        <v>1873</v>
      </c>
      <c r="I21" s="509"/>
      <c r="J21" s="2313">
        <v>25989.952000000001</v>
      </c>
      <c r="K21" s="659" t="s">
        <v>168</v>
      </c>
      <c r="L21" s="659" t="s">
        <v>1873</v>
      </c>
      <c r="M21" s="2267"/>
      <c r="N21" s="2311">
        <v>35004.982000000004</v>
      </c>
      <c r="O21" s="659" t="s">
        <v>168</v>
      </c>
      <c r="P21" s="659" t="s">
        <v>1873</v>
      </c>
      <c r="Q21" s="1539"/>
      <c r="S21" s="2258"/>
      <c r="T21" s="2258"/>
    </row>
    <row r="22" spans="1:20" s="91" customFormat="1" ht="13.5" x14ac:dyDescent="0.2">
      <c r="A22" s="641" t="s">
        <v>1037</v>
      </c>
      <c r="B22" s="2354">
        <f>SUM(B18:B21)</f>
        <v>448673.24400000006</v>
      </c>
      <c r="C22" s="137" t="s">
        <v>168</v>
      </c>
      <c r="D22" s="659"/>
      <c r="E22" s="583"/>
      <c r="F22" s="2306">
        <f>SUM(F18:F21)</f>
        <v>433328.58600000007</v>
      </c>
      <c r="G22" s="659" t="s">
        <v>168</v>
      </c>
      <c r="H22" s="659"/>
      <c r="I22" s="509"/>
      <c r="J22" s="2306">
        <f>SUM(J18:J21)</f>
        <v>439601.00600000005</v>
      </c>
      <c r="K22" s="659" t="s">
        <v>168</v>
      </c>
      <c r="L22" s="659"/>
      <c r="M22" s="2267"/>
      <c r="N22" s="2306">
        <f>SUM(N18:N21)</f>
        <v>553889.75300000003</v>
      </c>
      <c r="O22" s="659" t="s">
        <v>168</v>
      </c>
      <c r="P22" s="659"/>
      <c r="Q22" s="1539"/>
    </row>
    <row r="23" spans="1:20" s="91" customFormat="1" x14ac:dyDescent="0.2">
      <c r="A23" s="638" t="s">
        <v>316</v>
      </c>
      <c r="B23" s="2308"/>
      <c r="C23" s="137"/>
      <c r="D23" s="658"/>
      <c r="E23" s="638"/>
      <c r="F23" s="2308"/>
      <c r="G23" s="659"/>
      <c r="H23" s="658"/>
      <c r="I23" s="509"/>
      <c r="J23" s="2313"/>
      <c r="K23" s="659"/>
      <c r="L23" s="658"/>
      <c r="M23" s="2267"/>
      <c r="N23" s="2311"/>
      <c r="O23" s="659"/>
      <c r="P23" s="658"/>
      <c r="Q23" s="1539"/>
    </row>
    <row r="24" spans="1:20" s="91" customFormat="1" ht="13.5" x14ac:dyDescent="0.2">
      <c r="A24" s="584" t="s">
        <v>1032</v>
      </c>
      <c r="B24" s="2311">
        <v>8899.5740000000005</v>
      </c>
      <c r="C24" s="137" t="s">
        <v>168</v>
      </c>
      <c r="D24" s="659" t="s">
        <v>1873</v>
      </c>
      <c r="E24" s="584"/>
      <c r="F24" s="2311">
        <v>8294.7559999999994</v>
      </c>
      <c r="G24" s="659" t="s">
        <v>168</v>
      </c>
      <c r="H24" s="659" t="s">
        <v>1873</v>
      </c>
      <c r="I24" s="509"/>
      <c r="J24" s="2313">
        <v>9039.634</v>
      </c>
      <c r="K24" s="659" t="s">
        <v>168</v>
      </c>
      <c r="L24" s="659" t="s">
        <v>1873</v>
      </c>
      <c r="M24" s="2267"/>
      <c r="N24" s="2311">
        <v>21639.222000000002</v>
      </c>
      <c r="O24" s="659" t="s">
        <v>168</v>
      </c>
      <c r="P24" s="659" t="s">
        <v>1873</v>
      </c>
      <c r="Q24" s="1539"/>
    </row>
    <row r="25" spans="1:20" s="91" customFormat="1" ht="13.5" x14ac:dyDescent="0.2">
      <c r="A25" s="584" t="s">
        <v>1033</v>
      </c>
      <c r="B25" s="2307">
        <v>64156</v>
      </c>
      <c r="C25" s="137" t="s">
        <v>168</v>
      </c>
      <c r="D25" s="659" t="s">
        <v>1873</v>
      </c>
      <c r="E25" s="584"/>
      <c r="F25" s="2311">
        <v>61038.88700000001</v>
      </c>
      <c r="G25" s="659" t="s">
        <v>168</v>
      </c>
      <c r="H25" s="659" t="s">
        <v>1873</v>
      </c>
      <c r="I25" s="509"/>
      <c r="J25" s="2313">
        <v>62560.316000000013</v>
      </c>
      <c r="K25" s="659" t="s">
        <v>168</v>
      </c>
      <c r="L25" s="659" t="s">
        <v>1873</v>
      </c>
      <c r="M25" s="2267"/>
      <c r="N25" s="2311">
        <v>151818.01200000002</v>
      </c>
      <c r="O25" s="659" t="s">
        <v>168</v>
      </c>
      <c r="P25" s="659" t="s">
        <v>1873</v>
      </c>
      <c r="Q25" s="1539"/>
    </row>
    <row r="26" spans="1:20" s="91" customFormat="1" ht="13.5" x14ac:dyDescent="0.2">
      <c r="A26" s="584" t="s">
        <v>1034</v>
      </c>
      <c r="B26" s="2307">
        <v>33854.648000000001</v>
      </c>
      <c r="C26" s="137" t="s">
        <v>168</v>
      </c>
      <c r="D26" s="659" t="s">
        <v>1873</v>
      </c>
      <c r="E26" s="834"/>
      <c r="F26" s="2311">
        <v>31740</v>
      </c>
      <c r="G26" s="659" t="s">
        <v>168</v>
      </c>
      <c r="H26" s="659" t="s">
        <v>1873</v>
      </c>
      <c r="I26" s="509"/>
      <c r="J26" s="2313">
        <v>32970.423000000003</v>
      </c>
      <c r="K26" s="659" t="s">
        <v>168</v>
      </c>
      <c r="L26" s="659" t="s">
        <v>1873</v>
      </c>
      <c r="M26" s="2267"/>
      <c r="N26" s="2311">
        <v>74686.012999999992</v>
      </c>
      <c r="O26" s="659" t="s">
        <v>168</v>
      </c>
      <c r="P26" s="659" t="s">
        <v>1873</v>
      </c>
      <c r="Q26" s="1539"/>
    </row>
    <row r="27" spans="1:20" s="91" customFormat="1" ht="13.5" x14ac:dyDescent="0.2">
      <c r="A27" s="641" t="s">
        <v>1038</v>
      </c>
      <c r="B27" s="2306">
        <f>SUM(B24:B26)</f>
        <v>106910.22199999999</v>
      </c>
      <c r="C27" s="659" t="s">
        <v>168</v>
      </c>
      <c r="D27" s="179"/>
      <c r="E27" s="1005"/>
      <c r="F27" s="2306">
        <f>SUM(F24:F26)</f>
        <v>101073.64300000001</v>
      </c>
      <c r="G27" s="659" t="s">
        <v>168</v>
      </c>
      <c r="H27" s="509"/>
      <c r="I27" s="509"/>
      <c r="J27" s="2306">
        <f>SUM(J24:J26)</f>
        <v>104570.37300000002</v>
      </c>
      <c r="K27" s="659" t="s">
        <v>168</v>
      </c>
      <c r="L27" s="2298"/>
      <c r="M27" s="2267"/>
      <c r="N27" s="2306">
        <f>SUM(N24:N26)</f>
        <v>248143.24700000003</v>
      </c>
      <c r="O27" s="659" t="s">
        <v>168</v>
      </c>
      <c r="P27" s="509"/>
      <c r="Q27" s="1539"/>
    </row>
    <row r="28" spans="1:20" s="91" customFormat="1" x14ac:dyDescent="0.2">
      <c r="A28" s="162"/>
      <c r="B28" s="2309"/>
      <c r="C28" s="312"/>
      <c r="D28" s="132"/>
      <c r="E28" s="824"/>
      <c r="F28" s="2311"/>
      <c r="G28" s="643"/>
      <c r="H28" s="643"/>
      <c r="I28" s="643"/>
      <c r="J28" s="2312"/>
      <c r="K28" s="668"/>
      <c r="L28" s="668"/>
      <c r="M28" s="670"/>
      <c r="N28" s="2311"/>
      <c r="O28" s="643"/>
      <c r="P28" s="643"/>
      <c r="Q28" s="1540"/>
    </row>
    <row r="29" spans="1:20" ht="13.5" x14ac:dyDescent="0.2">
      <c r="A29" s="1503" t="s">
        <v>21</v>
      </c>
      <c r="B29" s="2310">
        <f>SUM(B27,B22,B16,B10)</f>
        <v>824161.80099999998</v>
      </c>
      <c r="C29" s="1511" t="s">
        <v>207</v>
      </c>
      <c r="D29" s="1542"/>
      <c r="E29" s="1543"/>
      <c r="F29" s="2310">
        <f>SUM(F27,F22,F16,F10)</f>
        <v>809245.12800000014</v>
      </c>
      <c r="G29" s="1511" t="s">
        <v>207</v>
      </c>
      <c r="H29" s="1544"/>
      <c r="I29" s="1544"/>
      <c r="J29" s="2310">
        <f>SUM(J27,J22,J16,J10)</f>
        <v>831251.84199999995</v>
      </c>
      <c r="K29" s="1511" t="s">
        <v>207</v>
      </c>
      <c r="L29" s="2299"/>
      <c r="M29" s="2265"/>
      <c r="N29" s="2310">
        <f>SUM(N27,N22,N16,N10)</f>
        <v>1464358.4710000001</v>
      </c>
      <c r="O29" s="1511" t="s">
        <v>207</v>
      </c>
      <c r="P29" s="1545"/>
      <c r="Q29" s="1546"/>
    </row>
    <row r="30" spans="1:20" x14ac:dyDescent="0.2">
      <c r="A30" s="177"/>
      <c r="B30" s="2311"/>
      <c r="C30" s="225"/>
      <c r="D30" s="225"/>
      <c r="E30" s="177"/>
      <c r="F30" s="2307"/>
      <c r="G30" s="628"/>
      <c r="H30" s="628"/>
      <c r="I30" s="628"/>
      <c r="J30" s="2314"/>
      <c r="K30" s="551"/>
      <c r="L30" s="551"/>
      <c r="M30" s="577"/>
      <c r="N30" s="2307"/>
      <c r="O30" s="628"/>
      <c r="P30" s="628"/>
      <c r="Q30" s="692"/>
    </row>
    <row r="31" spans="1:20" x14ac:dyDescent="0.2">
      <c r="A31" s="177"/>
      <c r="B31" s="2311"/>
      <c r="C31" s="225"/>
      <c r="D31" s="225"/>
      <c r="E31" s="177"/>
      <c r="F31" s="2307"/>
      <c r="G31" s="628"/>
      <c r="H31" s="628"/>
      <c r="I31" s="628"/>
      <c r="J31" s="2314"/>
      <c r="K31" s="551"/>
      <c r="L31" s="551"/>
      <c r="M31" s="577"/>
      <c r="N31" s="2307"/>
      <c r="O31" s="628"/>
      <c r="P31" s="628"/>
      <c r="Q31" s="692"/>
    </row>
    <row r="32" spans="1:20" x14ac:dyDescent="0.2">
      <c r="A32" s="177"/>
      <c r="B32" s="2311"/>
      <c r="C32" s="225"/>
      <c r="D32" s="225"/>
      <c r="E32" s="177"/>
      <c r="F32" s="2307"/>
      <c r="G32" s="628"/>
      <c r="H32" s="628"/>
      <c r="I32" s="628"/>
      <c r="J32" s="2301"/>
      <c r="K32" s="551"/>
      <c r="L32" s="551"/>
      <c r="M32" s="577"/>
      <c r="N32" s="587"/>
      <c r="O32" s="628"/>
      <c r="P32" s="628"/>
      <c r="Q32" s="692"/>
    </row>
    <row r="33" spans="1:17" x14ac:dyDescent="0.2">
      <c r="A33" s="216"/>
      <c r="B33" s="806"/>
      <c r="C33" s="215"/>
      <c r="D33" s="215"/>
      <c r="E33" s="216"/>
      <c r="F33" s="2307"/>
      <c r="G33" s="628"/>
      <c r="H33" s="628"/>
      <c r="I33" s="628"/>
      <c r="J33" s="2301"/>
      <c r="K33" s="551"/>
      <c r="L33" s="551"/>
      <c r="M33" s="577"/>
      <c r="N33" s="587"/>
      <c r="O33" s="628"/>
      <c r="P33" s="628"/>
      <c r="Q33" s="692"/>
    </row>
    <row r="34" spans="1:17" x14ac:dyDescent="0.2">
      <c r="A34" s="177"/>
      <c r="B34" s="808"/>
      <c r="C34" s="225"/>
      <c r="D34" s="225"/>
      <c r="E34" s="177"/>
      <c r="F34" s="2307"/>
      <c r="G34" s="628"/>
      <c r="H34" s="628"/>
      <c r="I34" s="628"/>
      <c r="J34" s="2301"/>
      <c r="K34" s="551"/>
      <c r="L34" s="551"/>
      <c r="M34" s="577"/>
      <c r="N34" s="587"/>
      <c r="O34" s="628"/>
      <c r="P34" s="628"/>
      <c r="Q34" s="692"/>
    </row>
    <row r="35" spans="1:17" x14ac:dyDescent="0.2">
      <c r="A35" s="260"/>
      <c r="B35" s="806"/>
      <c r="C35" s="261"/>
      <c r="D35" s="261"/>
      <c r="E35" s="260"/>
      <c r="F35" s="587"/>
      <c r="G35" s="628"/>
      <c r="H35" s="628"/>
      <c r="I35" s="628"/>
      <c r="J35" s="2301"/>
      <c r="K35" s="551"/>
      <c r="L35" s="551"/>
      <c r="M35" s="577"/>
      <c r="N35" s="587"/>
      <c r="O35" s="628"/>
      <c r="P35" s="628"/>
      <c r="Q35" s="692"/>
    </row>
    <row r="36" spans="1:17" x14ac:dyDescent="0.2">
      <c r="A36" s="216"/>
      <c r="B36" s="806"/>
      <c r="C36" s="215"/>
      <c r="D36" s="215"/>
      <c r="E36" s="216"/>
      <c r="F36" s="587"/>
      <c r="G36" s="628"/>
      <c r="H36" s="628"/>
      <c r="I36" s="628"/>
      <c r="J36" s="2301"/>
      <c r="K36" s="551"/>
      <c r="L36" s="551"/>
      <c r="M36" s="577"/>
      <c r="N36" s="587"/>
      <c r="O36" s="628"/>
      <c r="P36" s="628"/>
      <c r="Q36" s="692"/>
    </row>
    <row r="37" spans="1:17" x14ac:dyDescent="0.2">
      <c r="A37" s="252"/>
      <c r="B37" s="998"/>
      <c r="C37" s="272"/>
      <c r="D37" s="272"/>
      <c r="E37" s="252"/>
      <c r="F37" s="587"/>
      <c r="G37" s="628"/>
      <c r="H37" s="628"/>
      <c r="I37" s="628"/>
      <c r="J37" s="2301"/>
      <c r="K37" s="551"/>
      <c r="L37" s="551"/>
      <c r="M37" s="577"/>
      <c r="N37" s="587"/>
      <c r="O37" s="628"/>
      <c r="P37" s="628"/>
      <c r="Q37" s="692"/>
    </row>
    <row r="38" spans="1:17" x14ac:dyDescent="0.2">
      <c r="A38" s="192"/>
      <c r="B38" s="999"/>
      <c r="C38" s="223"/>
      <c r="D38" s="223"/>
      <c r="E38" s="192"/>
      <c r="F38" s="587"/>
      <c r="G38" s="628"/>
      <c r="H38" s="628"/>
      <c r="I38" s="628"/>
      <c r="J38" s="2301"/>
      <c r="K38" s="551"/>
      <c r="L38" s="551"/>
      <c r="M38" s="577"/>
      <c r="N38" s="587"/>
      <c r="O38" s="628"/>
      <c r="P38" s="628"/>
      <c r="Q38" s="692"/>
    </row>
    <row r="39" spans="1:17" x14ac:dyDescent="0.2">
      <c r="A39" s="611"/>
      <c r="B39" s="1000"/>
      <c r="C39" s="273"/>
      <c r="D39" s="273"/>
      <c r="E39" s="611"/>
      <c r="F39" s="587"/>
      <c r="G39" s="628"/>
      <c r="H39" s="628"/>
      <c r="I39" s="628"/>
      <c r="J39" s="2301"/>
      <c r="K39" s="551"/>
      <c r="L39" s="551"/>
      <c r="M39" s="577"/>
      <c r="N39" s="587"/>
      <c r="O39" s="628"/>
      <c r="P39" s="628"/>
      <c r="Q39" s="692"/>
    </row>
    <row r="40" spans="1:17" x14ac:dyDescent="0.2">
      <c r="A40" s="612"/>
      <c r="B40" s="1001"/>
      <c r="C40" s="275"/>
      <c r="D40" s="275"/>
      <c r="E40" s="612"/>
      <c r="F40" s="587"/>
      <c r="G40" s="628"/>
      <c r="H40" s="628"/>
      <c r="I40" s="628"/>
      <c r="J40" s="2301"/>
      <c r="K40" s="551"/>
      <c r="L40" s="551"/>
      <c r="M40" s="577"/>
      <c r="N40" s="587"/>
      <c r="O40" s="628"/>
      <c r="P40" s="628"/>
      <c r="Q40" s="692"/>
    </row>
    <row r="41" spans="1:17" x14ac:dyDescent="0.2">
      <c r="A41" s="612"/>
      <c r="B41" s="1001"/>
      <c r="C41" s="275"/>
      <c r="D41" s="275"/>
      <c r="E41" s="612"/>
      <c r="F41" s="587"/>
      <c r="G41" s="628"/>
      <c r="H41" s="628"/>
      <c r="I41" s="628"/>
      <c r="J41" s="2262"/>
      <c r="K41" s="572"/>
      <c r="L41" s="572"/>
      <c r="M41" s="586"/>
      <c r="N41" s="587"/>
      <c r="O41" s="628"/>
      <c r="P41" s="628"/>
      <c r="Q41" s="692"/>
    </row>
    <row r="42" spans="1:17" ht="11.25" customHeight="1" x14ac:dyDescent="0.2">
      <c r="A42" s="117"/>
      <c r="B42" s="1002"/>
      <c r="C42" s="276"/>
      <c r="D42" s="276"/>
      <c r="E42" s="117"/>
      <c r="F42" s="587"/>
      <c r="G42" s="628"/>
      <c r="H42" s="628"/>
      <c r="I42" s="628"/>
      <c r="J42" s="2263"/>
      <c r="K42" s="215"/>
      <c r="L42" s="215"/>
      <c r="M42" s="216"/>
      <c r="N42" s="587"/>
      <c r="O42" s="628"/>
      <c r="P42" s="628"/>
      <c r="Q42" s="692"/>
    </row>
    <row r="43" spans="1:17" x14ac:dyDescent="0.2">
      <c r="A43" s="117"/>
      <c r="B43" s="1002"/>
      <c r="C43" s="276"/>
      <c r="D43" s="276"/>
      <c r="E43" s="117"/>
      <c r="F43" s="587"/>
      <c r="G43" s="628"/>
      <c r="H43" s="628"/>
      <c r="I43" s="628"/>
      <c r="J43" s="2301"/>
      <c r="K43" s="551"/>
      <c r="L43" s="551"/>
      <c r="M43" s="577"/>
      <c r="N43" s="587"/>
      <c r="O43" s="628"/>
      <c r="P43" s="628"/>
      <c r="Q43" s="692"/>
    </row>
    <row r="44" spans="1:17" x14ac:dyDescent="0.2">
      <c r="A44" s="117"/>
      <c r="B44" s="1002"/>
      <c r="C44" s="276"/>
      <c r="D44" s="276"/>
      <c r="E44" s="117"/>
      <c r="F44" s="587"/>
      <c r="G44" s="628"/>
      <c r="H44" s="628"/>
      <c r="I44" s="628"/>
      <c r="J44" s="2301"/>
      <c r="K44" s="551"/>
      <c r="L44" s="551"/>
      <c r="M44" s="577"/>
      <c r="N44" s="587"/>
      <c r="O44" s="628"/>
      <c r="P44" s="628"/>
      <c r="Q44" s="692"/>
    </row>
    <row r="45" spans="1:17" x14ac:dyDescent="0.2">
      <c r="A45" s="216"/>
      <c r="B45" s="806"/>
      <c r="C45" s="215"/>
      <c r="D45" s="215"/>
      <c r="E45" s="216"/>
      <c r="F45" s="806"/>
      <c r="G45" s="600"/>
      <c r="H45" s="600"/>
      <c r="I45" s="600"/>
      <c r="J45" s="2301"/>
      <c r="K45" s="551"/>
      <c r="L45" s="551"/>
      <c r="M45" s="577"/>
      <c r="N45" s="806"/>
      <c r="O45" s="600"/>
      <c r="P45" s="600"/>
      <c r="Q45" s="1541"/>
    </row>
    <row r="46" spans="1:17" x14ac:dyDescent="0.2">
      <c r="A46" s="252"/>
      <c r="B46" s="998"/>
      <c r="C46" s="272"/>
      <c r="D46" s="272"/>
      <c r="E46" s="252"/>
      <c r="F46" s="587"/>
      <c r="G46" s="628"/>
      <c r="H46" s="628"/>
      <c r="I46" s="628"/>
      <c r="J46" s="2301"/>
      <c r="K46" s="551"/>
      <c r="L46" s="551"/>
      <c r="M46" s="577"/>
      <c r="N46" s="587"/>
      <c r="O46" s="628"/>
      <c r="P46" s="628"/>
      <c r="Q46" s="692"/>
    </row>
    <row r="47" spans="1:17" x14ac:dyDescent="0.2">
      <c r="A47" s="252"/>
      <c r="B47" s="998"/>
      <c r="C47" s="272"/>
      <c r="D47" s="272"/>
      <c r="E47" s="252"/>
      <c r="F47" s="587"/>
      <c r="G47" s="628"/>
      <c r="H47" s="628"/>
      <c r="I47" s="628"/>
      <c r="N47" s="587"/>
      <c r="O47" s="628"/>
      <c r="P47" s="628"/>
      <c r="Q47" s="692"/>
    </row>
    <row r="48" spans="1:17" x14ac:dyDescent="0.2">
      <c r="A48" s="612"/>
      <c r="B48" s="1001"/>
      <c r="C48" s="275"/>
      <c r="D48" s="275"/>
      <c r="E48" s="612"/>
      <c r="F48" s="587"/>
      <c r="G48" s="628"/>
      <c r="H48" s="628"/>
      <c r="I48" s="628"/>
      <c r="N48" s="587"/>
      <c r="O48" s="628"/>
      <c r="P48" s="628"/>
      <c r="Q48" s="692"/>
    </row>
    <row r="49" spans="1:17" x14ac:dyDescent="0.2">
      <c r="A49" s="612"/>
      <c r="B49" s="1001"/>
      <c r="C49" s="275"/>
      <c r="D49" s="275"/>
      <c r="E49" s="612"/>
      <c r="F49" s="587"/>
      <c r="G49" s="628"/>
      <c r="H49" s="628"/>
      <c r="I49" s="628"/>
      <c r="N49" s="587"/>
      <c r="O49" s="628"/>
      <c r="P49" s="628"/>
      <c r="Q49" s="692"/>
    </row>
    <row r="50" spans="1:17" x14ac:dyDescent="0.2">
      <c r="A50" s="252"/>
      <c r="B50" s="998"/>
      <c r="C50" s="272"/>
      <c r="D50" s="272"/>
      <c r="E50" s="252"/>
      <c r="F50" s="587"/>
      <c r="G50" s="628"/>
      <c r="H50" s="628"/>
      <c r="I50" s="628"/>
      <c r="N50" s="587"/>
      <c r="O50" s="628"/>
      <c r="P50" s="628"/>
      <c r="Q50" s="692"/>
    </row>
    <row r="51" spans="1:17" x14ac:dyDescent="0.2">
      <c r="A51" s="256"/>
      <c r="B51" s="878"/>
      <c r="C51" s="277"/>
      <c r="D51" s="277"/>
      <c r="E51" s="256"/>
      <c r="F51" s="271"/>
      <c r="G51" s="321"/>
      <c r="H51" s="321"/>
      <c r="I51" s="321"/>
      <c r="N51" s="271"/>
      <c r="O51" s="321"/>
      <c r="P51" s="321"/>
      <c r="Q51" s="1285"/>
    </row>
    <row r="52" spans="1:17" x14ac:dyDescent="0.2">
      <c r="A52" s="252"/>
      <c r="B52" s="998"/>
      <c r="C52" s="272"/>
      <c r="D52" s="272"/>
      <c r="E52" s="252"/>
      <c r="F52" s="587"/>
      <c r="G52" s="628"/>
      <c r="H52" s="628"/>
      <c r="I52" s="628"/>
      <c r="N52" s="587"/>
      <c r="O52" s="628"/>
      <c r="P52" s="628"/>
      <c r="Q52" s="692"/>
    </row>
    <row r="53" spans="1:17" x14ac:dyDescent="0.2">
      <c r="A53" s="117"/>
      <c r="B53" s="1002"/>
      <c r="C53" s="276"/>
      <c r="D53" s="276"/>
      <c r="E53" s="117"/>
      <c r="F53" s="843"/>
      <c r="G53" s="551"/>
      <c r="H53" s="551"/>
      <c r="I53" s="551"/>
      <c r="N53" s="843"/>
      <c r="O53" s="551"/>
      <c r="P53" s="551"/>
      <c r="Q53" s="577"/>
    </row>
    <row r="54" spans="1:17" x14ac:dyDescent="0.2">
      <c r="A54" s="122"/>
      <c r="B54" s="1003"/>
      <c r="C54" s="279"/>
      <c r="D54" s="279"/>
      <c r="E54" s="122"/>
      <c r="F54" s="587"/>
      <c r="G54" s="628"/>
      <c r="H54" s="628"/>
      <c r="I54" s="628"/>
      <c r="N54" s="587"/>
      <c r="O54" s="628"/>
      <c r="P54" s="628"/>
      <c r="Q54" s="692"/>
    </row>
    <row r="55" spans="1:17" x14ac:dyDescent="0.2">
      <c r="A55" s="122"/>
      <c r="B55" s="1003"/>
      <c r="C55" s="279"/>
      <c r="D55" s="279"/>
      <c r="E55" s="122"/>
      <c r="F55" s="587"/>
      <c r="G55" s="628"/>
      <c r="H55" s="628"/>
      <c r="I55" s="628"/>
      <c r="N55" s="587"/>
      <c r="O55" s="628"/>
      <c r="P55" s="628"/>
      <c r="Q55" s="692"/>
    </row>
    <row r="56" spans="1:17" x14ac:dyDescent="0.2">
      <c r="A56" s="122"/>
      <c r="B56" s="1003"/>
      <c r="C56" s="279"/>
      <c r="D56" s="279"/>
      <c r="E56" s="122"/>
      <c r="F56" s="843"/>
      <c r="G56" s="551"/>
      <c r="H56" s="551"/>
      <c r="I56" s="551"/>
      <c r="N56" s="843"/>
      <c r="O56" s="551"/>
      <c r="P56" s="551"/>
      <c r="Q56" s="577"/>
    </row>
    <row r="57" spans="1:17" x14ac:dyDescent="0.2">
      <c r="A57" s="122"/>
      <c r="B57" s="1003"/>
      <c r="C57" s="279"/>
      <c r="D57" s="279"/>
      <c r="E57" s="122"/>
      <c r="F57" s="843"/>
      <c r="G57" s="551"/>
      <c r="H57" s="551"/>
      <c r="I57" s="551"/>
      <c r="N57" s="843"/>
      <c r="O57" s="551"/>
      <c r="P57" s="551"/>
      <c r="Q57" s="577"/>
    </row>
    <row r="58" spans="1:17" x14ac:dyDescent="0.2">
      <c r="A58" s="117"/>
      <c r="B58" s="1002"/>
      <c r="C58" s="276"/>
      <c r="D58" s="276"/>
      <c r="E58" s="117"/>
      <c r="F58" s="843"/>
      <c r="G58" s="551"/>
      <c r="H58" s="551"/>
      <c r="I58" s="551"/>
      <c r="N58" s="843"/>
      <c r="O58" s="551"/>
      <c r="P58" s="551"/>
      <c r="Q58" s="577"/>
    </row>
    <row r="59" spans="1:17" x14ac:dyDescent="0.2">
      <c r="A59" s="88"/>
      <c r="B59" s="788"/>
      <c r="C59" s="137"/>
      <c r="D59" s="137"/>
      <c r="E59" s="617"/>
      <c r="F59" s="843"/>
      <c r="G59" s="551"/>
      <c r="H59" s="551"/>
      <c r="I59" s="551"/>
      <c r="N59" s="843"/>
      <c r="O59" s="551"/>
      <c r="P59" s="551"/>
      <c r="Q59" s="577"/>
    </row>
  </sheetData>
  <customSheetViews>
    <customSheetView guid="{9BEC6399-AE85-4D88-8FBA-3674E2F30307}">
      <selection activeCell="F26" sqref="F26:F27"/>
      <pageMargins left="0.7" right="0.7" top="0.75" bottom="0.75" header="0.3" footer="0.3"/>
      <pageSetup orientation="portrait" r:id="rId1"/>
    </customSheetView>
    <customSheetView guid="{0347A67A-6027-4907-965C-6EA2A8295536}">
      <selection activeCell="F26" sqref="F26:F27"/>
      <pageMargins left="0.7" right="0.7" top="0.75" bottom="0.75" header="0.3" footer="0.3"/>
      <pageSetup orientation="portrait" r:id="rId2"/>
    </customSheetView>
    <customSheetView guid="{15CC7F3D-99AB-49C1-AC00-E04D3FE3FBC1}">
      <selection activeCell="F26" sqref="F26:F27"/>
      <pageMargins left="0.7" right="0.7" top="0.75" bottom="0.75" header="0.3" footer="0.3"/>
      <pageSetup orientation="portrait" r:id="rId3"/>
    </customSheetView>
  </customSheetViews>
  <mergeCells count="4">
    <mergeCell ref="F1:I1"/>
    <mergeCell ref="B1:E1"/>
    <mergeCell ref="N1:Q1"/>
    <mergeCell ref="J1:M1"/>
  </mergeCells>
  <phoneticPr fontId="30" type="noConversion"/>
  <pageMargins left="0.7" right="0.7" top="0.75" bottom="0.75" header="0.3" footer="0.3"/>
  <pageSetup orientation="portrait" r:id="rId4"/>
  <legacy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9" tint="-0.249977111117893"/>
  </sheetPr>
  <dimension ref="A1:Q47"/>
  <sheetViews>
    <sheetView tabSelected="1" workbookViewId="0">
      <selection activeCell="J26" sqref="J26"/>
    </sheetView>
  </sheetViews>
  <sheetFormatPr defaultColWidth="8.85546875" defaultRowHeight="12" x14ac:dyDescent="0.2"/>
  <cols>
    <col min="1" max="1" width="40.7109375" style="1" bestFit="1" customWidth="1"/>
    <col min="2" max="2" width="16.5703125" style="848" bestFit="1" customWidth="1"/>
    <col min="3" max="3" width="9" style="505" bestFit="1" customWidth="1"/>
    <col min="4" max="4" width="26.5703125" style="505" bestFit="1" customWidth="1"/>
    <col min="5" max="5" width="28.42578125" style="574" bestFit="1" customWidth="1"/>
    <col min="6" max="6" width="10.85546875" style="848" bestFit="1" customWidth="1"/>
    <col min="7" max="7" width="9" style="481" bestFit="1" customWidth="1"/>
    <col min="8" max="8" width="23.140625" style="481" bestFit="1" customWidth="1"/>
    <col min="9" max="9" width="15.7109375" style="332" bestFit="1" customWidth="1"/>
    <col min="10" max="12" width="15.7109375" style="694" customWidth="1"/>
    <col min="13" max="13" width="15.7109375" style="332" customWidth="1"/>
  </cols>
  <sheetData>
    <row r="1" spans="1:17" x14ac:dyDescent="0.2">
      <c r="A1" s="114"/>
      <c r="B1" s="2543">
        <v>2003</v>
      </c>
      <c r="C1" s="2544"/>
      <c r="D1" s="2544"/>
      <c r="E1" s="2545"/>
      <c r="F1" s="2543">
        <v>2008</v>
      </c>
      <c r="G1" s="2544"/>
      <c r="H1" s="2544"/>
      <c r="I1" s="2545"/>
      <c r="J1" s="2543">
        <v>2015</v>
      </c>
      <c r="K1" s="2544"/>
      <c r="L1" s="2544"/>
      <c r="M1" s="2545"/>
      <c r="N1" s="65" t="s">
        <v>1542</v>
      </c>
    </row>
    <row r="2" spans="1:17" x14ac:dyDescent="0.2">
      <c r="A2" s="114" t="s">
        <v>604</v>
      </c>
      <c r="B2" s="209" t="s">
        <v>602</v>
      </c>
      <c r="C2" s="1366" t="s">
        <v>601</v>
      </c>
      <c r="D2" s="633" t="s">
        <v>603</v>
      </c>
      <c r="E2" s="666" t="s">
        <v>420</v>
      </c>
      <c r="F2" s="209" t="s">
        <v>602</v>
      </c>
      <c r="G2" s="1366" t="s">
        <v>601</v>
      </c>
      <c r="H2" s="633" t="s">
        <v>603</v>
      </c>
      <c r="I2" s="666" t="s">
        <v>420</v>
      </c>
      <c r="J2" s="633" t="s">
        <v>602</v>
      </c>
      <c r="K2" s="633" t="s">
        <v>601</v>
      </c>
      <c r="L2" s="633" t="s">
        <v>603</v>
      </c>
      <c r="M2" s="666" t="s">
        <v>420</v>
      </c>
      <c r="N2" s="214" t="s">
        <v>1539</v>
      </c>
      <c r="O2" s="695"/>
      <c r="P2" s="1493" t="s">
        <v>1541</v>
      </c>
      <c r="Q2" s="481"/>
    </row>
    <row r="3" spans="1:17" x14ac:dyDescent="0.2">
      <c r="A3" s="1559" t="s">
        <v>1549</v>
      </c>
      <c r="B3" s="1557"/>
      <c r="C3" s="1558"/>
      <c r="D3" s="1562"/>
      <c r="E3" s="1563"/>
      <c r="F3" s="1557"/>
      <c r="G3" s="1558"/>
      <c r="H3" s="1562"/>
      <c r="I3" s="1563"/>
      <c r="J3" s="1562"/>
      <c r="K3" s="1562"/>
      <c r="L3" s="1562"/>
      <c r="M3" s="1563"/>
      <c r="N3" s="1557"/>
      <c r="O3" s="1558"/>
      <c r="P3" s="1562"/>
      <c r="Q3" s="1563"/>
    </row>
    <row r="4" spans="1:17" x14ac:dyDescent="0.2">
      <c r="A4" s="1479" t="s">
        <v>1198</v>
      </c>
      <c r="B4" s="1573"/>
      <c r="C4" s="1480"/>
      <c r="D4" s="1480"/>
      <c r="E4" s="1479"/>
      <c r="F4" s="1573"/>
      <c r="G4" s="1480"/>
      <c r="H4" s="1480"/>
      <c r="I4" s="1495"/>
      <c r="J4" s="1840"/>
      <c r="K4" s="1840"/>
      <c r="L4" s="1840"/>
      <c r="M4" s="1495"/>
    </row>
    <row r="5" spans="1:17" x14ac:dyDescent="0.2">
      <c r="A5" s="1483" t="s">
        <v>119</v>
      </c>
      <c r="B5" s="843"/>
      <c r="C5" s="551"/>
      <c r="D5" s="551"/>
      <c r="E5" s="577"/>
      <c r="F5" s="843"/>
      <c r="G5" s="569"/>
      <c r="H5" s="551"/>
      <c r="I5" s="358"/>
      <c r="J5" s="686"/>
      <c r="K5" s="686"/>
      <c r="L5" s="686"/>
      <c r="M5" s="358"/>
    </row>
    <row r="6" spans="1:17" ht="13.5" x14ac:dyDescent="0.2">
      <c r="A6" s="113" t="s">
        <v>2177</v>
      </c>
      <c r="B6" s="2361">
        <v>99700000</v>
      </c>
      <c r="C6" s="551" t="s">
        <v>1548</v>
      </c>
      <c r="D6" s="505" t="s">
        <v>2151</v>
      </c>
      <c r="E6" s="2359" t="s">
        <v>2196</v>
      </c>
      <c r="F6" s="777">
        <v>141200000</v>
      </c>
      <c r="G6" s="481" t="s">
        <v>2174</v>
      </c>
      <c r="H6" s="505" t="s">
        <v>2151</v>
      </c>
      <c r="I6" s="2359" t="s">
        <v>2197</v>
      </c>
      <c r="J6" s="2361">
        <v>166200000</v>
      </c>
      <c r="K6" s="505" t="s">
        <v>2174</v>
      </c>
      <c r="L6" s="505" t="s">
        <v>2151</v>
      </c>
      <c r="M6" s="2359" t="s">
        <v>2198</v>
      </c>
    </row>
    <row r="7" spans="1:17" x14ac:dyDescent="0.2">
      <c r="A7" s="1476" t="s">
        <v>120</v>
      </c>
      <c r="B7" s="777"/>
      <c r="F7" s="777"/>
      <c r="H7" s="505"/>
      <c r="I7" s="574"/>
      <c r="J7" s="587"/>
      <c r="K7" s="481"/>
      <c r="L7" s="481"/>
    </row>
    <row r="8" spans="1:17" ht="13.5" x14ac:dyDescent="0.2">
      <c r="A8" s="614" t="s">
        <v>2178</v>
      </c>
      <c r="B8" s="1567">
        <f>B6*(popKC05/popUS05)*(popKC03/popKC05)</f>
        <v>596593.38709801272</v>
      </c>
      <c r="C8" s="572" t="s">
        <v>207</v>
      </c>
      <c r="D8" s="2360" t="s">
        <v>2175</v>
      </c>
      <c r="F8" s="1567">
        <f>F6*(popKC09/popUS09)*(popKC10/popKC09)</f>
        <v>891316.79177528946</v>
      </c>
      <c r="G8" s="572" t="s">
        <v>207</v>
      </c>
      <c r="H8" s="2360" t="s">
        <v>2175</v>
      </c>
      <c r="I8" s="574"/>
      <c r="J8" s="1567">
        <f>popKC15/popUS15*J6*(popKC14/popKC15)</f>
        <v>1044781.8119416891</v>
      </c>
      <c r="K8" s="572" t="s">
        <v>207</v>
      </c>
      <c r="L8" s="481"/>
      <c r="M8" s="994" t="s">
        <v>2175</v>
      </c>
    </row>
    <row r="9" spans="1:17" x14ac:dyDescent="0.2">
      <c r="A9" s="614"/>
      <c r="B9" s="777"/>
      <c r="F9" s="777"/>
      <c r="J9" s="777"/>
      <c r="K9" s="481"/>
      <c r="L9" s="481"/>
    </row>
    <row r="10" spans="1:17" ht="13.5" x14ac:dyDescent="0.25">
      <c r="A10" s="1479" t="s">
        <v>1191</v>
      </c>
      <c r="B10" s="1573"/>
      <c r="C10" s="1480"/>
      <c r="D10" s="1480"/>
      <c r="E10" s="1479"/>
      <c r="F10" s="1573"/>
      <c r="G10" s="1480"/>
      <c r="H10" s="1480"/>
      <c r="I10" s="1495"/>
      <c r="J10" s="1573"/>
      <c r="K10" s="1839"/>
      <c r="L10" s="1839"/>
      <c r="M10" s="1495"/>
    </row>
    <row r="11" spans="1:17" x14ac:dyDescent="0.2">
      <c r="A11" s="177"/>
      <c r="B11" s="825"/>
      <c r="C11" s="261"/>
      <c r="D11" s="261"/>
      <c r="E11" s="260"/>
      <c r="F11" s="825"/>
      <c r="G11" s="261"/>
      <c r="H11" s="261"/>
      <c r="I11" s="339"/>
      <c r="J11" s="825"/>
      <c r="K11" s="261"/>
      <c r="L11" s="261"/>
      <c r="M11" s="339"/>
    </row>
    <row r="12" spans="1:17" x14ac:dyDescent="0.2">
      <c r="A12" s="251" t="s">
        <v>288</v>
      </c>
      <c r="B12" s="843"/>
      <c r="C12" s="551"/>
      <c r="D12" s="551"/>
      <c r="E12" s="577"/>
      <c r="F12" s="857"/>
      <c r="G12" s="551"/>
      <c r="H12" s="569"/>
      <c r="I12" s="328"/>
      <c r="J12" s="857"/>
      <c r="K12" s="551"/>
      <c r="L12" s="569"/>
      <c r="M12" s="328"/>
    </row>
    <row r="13" spans="1:17" x14ac:dyDescent="0.2">
      <c r="A13" s="1483" t="s">
        <v>119</v>
      </c>
      <c r="B13" s="843"/>
      <c r="C13" s="551"/>
      <c r="D13" s="551"/>
      <c r="E13" s="577"/>
      <c r="F13" s="857"/>
      <c r="G13" s="551"/>
      <c r="H13" s="569"/>
      <c r="I13" s="328"/>
      <c r="J13" s="857"/>
      <c r="K13" s="551"/>
      <c r="L13" s="569"/>
      <c r="M13" s="328"/>
    </row>
    <row r="14" spans="1:17" ht="13.5" x14ac:dyDescent="0.2">
      <c r="A14" s="177" t="s">
        <v>83</v>
      </c>
      <c r="B14" s="843"/>
      <c r="C14" s="551"/>
      <c r="D14" s="551"/>
      <c r="E14" s="577"/>
      <c r="F14" s="961">
        <v>0</v>
      </c>
      <c r="G14" s="551" t="s">
        <v>2199</v>
      </c>
      <c r="H14" s="569" t="s">
        <v>1989</v>
      </c>
      <c r="I14" s="328"/>
      <c r="J14" s="961">
        <v>0.12285699999999999</v>
      </c>
      <c r="K14" s="551" t="s">
        <v>2199</v>
      </c>
      <c r="L14" s="569" t="s">
        <v>1988</v>
      </c>
      <c r="M14" s="328"/>
    </row>
    <row r="15" spans="1:17" ht="13.5" x14ac:dyDescent="0.2">
      <c r="A15" s="113" t="s">
        <v>287</v>
      </c>
      <c r="B15" s="787">
        <f>(F15+J15)/2</f>
        <v>135.42736832822592</v>
      </c>
      <c r="C15" s="551" t="s">
        <v>2200</v>
      </c>
      <c r="D15" s="551"/>
      <c r="E15" s="577" t="s">
        <v>2179</v>
      </c>
      <c r="F15" s="2356">
        <f>F14*MgTOton*2000</f>
        <v>0</v>
      </c>
      <c r="G15" s="551" t="s">
        <v>2200</v>
      </c>
      <c r="I15" s="571"/>
      <c r="J15" s="2356">
        <f>J14*MgTOton*2000</f>
        <v>270.85473665645185</v>
      </c>
      <c r="K15" s="551" t="s">
        <v>2200</v>
      </c>
      <c r="L15" s="686"/>
      <c r="M15" s="571"/>
    </row>
    <row r="16" spans="1:17" x14ac:dyDescent="0.2">
      <c r="A16" s="747" t="s">
        <v>288</v>
      </c>
      <c r="B16" s="995"/>
      <c r="C16" s="572"/>
      <c r="D16" s="572"/>
      <c r="E16" s="586"/>
      <c r="G16" s="551"/>
      <c r="H16" s="569"/>
      <c r="I16" s="328"/>
      <c r="J16" s="848"/>
      <c r="K16" s="551"/>
      <c r="L16" s="569"/>
      <c r="M16" s="328"/>
    </row>
    <row r="17" spans="1:13" x14ac:dyDescent="0.2">
      <c r="A17" s="1476" t="s">
        <v>120</v>
      </c>
      <c r="B17" s="996"/>
      <c r="C17" s="215"/>
      <c r="D17" s="215"/>
      <c r="E17" s="216"/>
      <c r="F17" s="862"/>
      <c r="G17" s="215"/>
      <c r="H17" s="215"/>
      <c r="I17" s="333"/>
      <c r="J17" s="862"/>
      <c r="K17" s="215"/>
      <c r="L17" s="215"/>
      <c r="M17" s="333"/>
    </row>
    <row r="18" spans="1:13" ht="13.5" x14ac:dyDescent="0.2">
      <c r="A18" s="177" t="s">
        <v>56</v>
      </c>
      <c r="B18" s="1568">
        <f>B15*lbTOMg</f>
        <v>6.1429854273683283E-2</v>
      </c>
      <c r="C18" s="551" t="s">
        <v>2199</v>
      </c>
      <c r="D18" s="215"/>
      <c r="E18" s="216"/>
      <c r="F18" s="961">
        <f>F15*lbTOMg</f>
        <v>0</v>
      </c>
      <c r="G18" s="551" t="s">
        <v>2199</v>
      </c>
      <c r="H18" s="215"/>
      <c r="I18" s="333"/>
      <c r="J18" s="1568">
        <f>J15*lbTOMg</f>
        <v>0.12285970854736657</v>
      </c>
      <c r="K18" s="551" t="s">
        <v>2199</v>
      </c>
      <c r="L18" s="215"/>
      <c r="M18" s="333"/>
    </row>
    <row r="19" spans="1:13" ht="13.5" x14ac:dyDescent="0.2">
      <c r="A19" s="1127" t="s">
        <v>57</v>
      </c>
      <c r="B19" s="1566">
        <f>B18*GWPSF6</f>
        <v>1468.1735171410305</v>
      </c>
      <c r="C19" s="551" t="s">
        <v>2102</v>
      </c>
      <c r="D19" s="314"/>
      <c r="E19" s="571" t="s">
        <v>1115</v>
      </c>
      <c r="F19" s="1567">
        <f>F18*GWPSF6</f>
        <v>0</v>
      </c>
      <c r="G19" s="551" t="s">
        <v>2102</v>
      </c>
      <c r="H19" s="314"/>
      <c r="I19" s="324"/>
      <c r="J19" s="1566">
        <f>J18*GWPSF6</f>
        <v>2936.347034282061</v>
      </c>
      <c r="K19" s="551" t="s">
        <v>2102</v>
      </c>
      <c r="L19" s="314"/>
      <c r="M19" s="324"/>
    </row>
    <row r="20" spans="1:13" x14ac:dyDescent="0.2">
      <c r="A20" s="251" t="s">
        <v>1114</v>
      </c>
      <c r="B20" s="845"/>
      <c r="C20" s="569"/>
      <c r="D20" s="569"/>
      <c r="E20" s="571"/>
      <c r="F20" s="857"/>
      <c r="G20" s="695"/>
      <c r="H20" s="569"/>
      <c r="I20" s="328"/>
      <c r="J20" s="857"/>
      <c r="K20" s="695"/>
      <c r="L20" s="569"/>
      <c r="M20" s="328"/>
    </row>
    <row r="21" spans="1:13" x14ac:dyDescent="0.2">
      <c r="A21" s="1483" t="s">
        <v>119</v>
      </c>
      <c r="B21" s="587"/>
      <c r="C21" s="569"/>
      <c r="D21" s="569"/>
      <c r="E21" s="571"/>
      <c r="F21" s="823"/>
      <c r="G21" s="744"/>
      <c r="I21" s="328"/>
      <c r="J21" s="823"/>
      <c r="K21" s="744"/>
      <c r="L21" s="687"/>
      <c r="M21" s="328"/>
    </row>
    <row r="22" spans="1:13" ht="13.5" x14ac:dyDescent="0.2">
      <c r="A22" s="113" t="s">
        <v>287</v>
      </c>
      <c r="B22" s="587">
        <v>99095</v>
      </c>
      <c r="C22" s="569" t="s">
        <v>1550</v>
      </c>
      <c r="D22" s="551" t="s">
        <v>881</v>
      </c>
      <c r="E22" s="571"/>
      <c r="F22" s="2355">
        <v>1.93</v>
      </c>
      <c r="G22" s="551" t="s">
        <v>2199</v>
      </c>
      <c r="H22" s="481" t="s">
        <v>1986</v>
      </c>
      <c r="I22" s="358" t="s">
        <v>2195</v>
      </c>
      <c r="J22" s="2355">
        <v>1.26</v>
      </c>
      <c r="K22" s="551" t="s">
        <v>2199</v>
      </c>
      <c r="L22" s="687" t="s">
        <v>1987</v>
      </c>
      <c r="M22" s="358" t="s">
        <v>2195</v>
      </c>
    </row>
    <row r="23" spans="1:13" x14ac:dyDescent="0.2">
      <c r="A23" s="614" t="s">
        <v>2436</v>
      </c>
      <c r="B23" s="997">
        <f>1/8</f>
        <v>0.125</v>
      </c>
      <c r="C23" s="569"/>
      <c r="E23" s="2359" t="s">
        <v>2103</v>
      </c>
      <c r="F23" s="997">
        <f>1/8</f>
        <v>0.125</v>
      </c>
      <c r="G23" s="569"/>
      <c r="H23" s="505"/>
      <c r="I23" s="2359" t="s">
        <v>2103</v>
      </c>
      <c r="J23" s="997">
        <f>1/8</f>
        <v>0.125</v>
      </c>
      <c r="K23" s="569"/>
      <c r="L23" s="505"/>
      <c r="M23" s="2359" t="s">
        <v>2103</v>
      </c>
    </row>
    <row r="24" spans="1:13" ht="13.5" x14ac:dyDescent="0.2">
      <c r="A24" s="614" t="s">
        <v>2435</v>
      </c>
      <c r="B24" s="587">
        <f>B22*B23*tonTOMg</f>
        <v>11237.1252625</v>
      </c>
      <c r="C24" s="551" t="s">
        <v>168</v>
      </c>
      <c r="D24" s="551"/>
      <c r="E24" s="571"/>
      <c r="F24" s="587">
        <f>F22*F23*GWPSF6</f>
        <v>5765.875</v>
      </c>
      <c r="G24" s="551" t="s">
        <v>168</v>
      </c>
      <c r="I24" s="358"/>
      <c r="J24" s="587">
        <f>J22*J23*GWPSF6</f>
        <v>3764.25</v>
      </c>
      <c r="K24" s="551" t="s">
        <v>168</v>
      </c>
      <c r="L24" s="687"/>
      <c r="M24" s="358"/>
    </row>
    <row r="25" spans="1:13" x14ac:dyDescent="0.2">
      <c r="B25" s="777"/>
      <c r="C25" s="569"/>
      <c r="D25" s="569"/>
      <c r="E25" s="571"/>
      <c r="H25" s="569"/>
      <c r="I25" s="328"/>
      <c r="L25" s="569"/>
      <c r="M25" s="328"/>
    </row>
    <row r="26" spans="1:13" ht="13.5" x14ac:dyDescent="0.2">
      <c r="A26" s="1503" t="s">
        <v>21</v>
      </c>
      <c r="B26" s="1555">
        <f>SUM(B24,B19)+B8</f>
        <v>609298.68587765377</v>
      </c>
      <c r="C26" s="1556" t="s">
        <v>207</v>
      </c>
      <c r="D26" s="1551"/>
      <c r="E26" s="1552"/>
      <c r="F26" s="1555">
        <f>SUM(F24,F19)+F8</f>
        <v>897082.66677528946</v>
      </c>
      <c r="G26" s="1556" t="s">
        <v>207</v>
      </c>
      <c r="H26" s="1553"/>
      <c r="I26" s="1554"/>
      <c r="J26" s="1555">
        <f>SUM(J24,J19)+J8</f>
        <v>1051482.4089759712</v>
      </c>
      <c r="K26" s="1556" t="s">
        <v>207</v>
      </c>
      <c r="L26" s="1553"/>
      <c r="M26" s="1554"/>
    </row>
    <row r="27" spans="1:13" x14ac:dyDescent="0.2">
      <c r="A27" s="117"/>
      <c r="B27" s="843"/>
      <c r="C27" s="551"/>
      <c r="D27" s="551"/>
      <c r="E27" s="577"/>
      <c r="F27" s="843"/>
      <c r="G27" s="569"/>
      <c r="H27" s="551"/>
      <c r="I27" s="358"/>
      <c r="J27" s="686"/>
      <c r="K27" s="686"/>
      <c r="L27" s="686"/>
      <c r="M27" s="358"/>
    </row>
    <row r="28" spans="1:13" x14ac:dyDescent="0.2">
      <c r="A28" s="122"/>
      <c r="B28" s="587"/>
      <c r="C28" s="628"/>
      <c r="D28" s="628"/>
      <c r="E28" s="692"/>
      <c r="F28" s="843"/>
      <c r="G28" s="569"/>
      <c r="H28" s="551"/>
      <c r="I28" s="358"/>
      <c r="J28" s="686"/>
      <c r="K28" s="686"/>
      <c r="L28" s="686"/>
      <c r="M28" s="358"/>
    </row>
    <row r="38" spans="1:1" x14ac:dyDescent="0.2">
      <c r="A38" s="614"/>
    </row>
    <row r="39" spans="1:1" x14ac:dyDescent="0.2">
      <c r="A39" s="614"/>
    </row>
    <row r="40" spans="1:1" x14ac:dyDescent="0.2">
      <c r="A40" s="614"/>
    </row>
    <row r="41" spans="1:1" x14ac:dyDescent="0.2">
      <c r="A41" s="614"/>
    </row>
    <row r="42" spans="1:1" x14ac:dyDescent="0.2">
      <c r="A42" s="614"/>
    </row>
    <row r="43" spans="1:1" x14ac:dyDescent="0.2">
      <c r="A43" s="614"/>
    </row>
    <row r="44" spans="1:1" x14ac:dyDescent="0.2">
      <c r="A44" s="614"/>
    </row>
    <row r="45" spans="1:1" x14ac:dyDescent="0.2">
      <c r="A45" s="614"/>
    </row>
    <row r="46" spans="1:1" x14ac:dyDescent="0.2">
      <c r="A46" s="614"/>
    </row>
    <row r="47" spans="1:1" x14ac:dyDescent="0.2">
      <c r="A47" s="614"/>
    </row>
  </sheetData>
  <customSheetViews>
    <customSheetView guid="{9BEC6399-AE85-4D88-8FBA-3674E2F30307}">
      <selection activeCell="J26" sqref="J26"/>
      <pageMargins left="0.7" right="0.7" top="0.75" bottom="0.75" header="0.3" footer="0.3"/>
      <pageSetup orientation="portrait" r:id="rId1"/>
    </customSheetView>
    <customSheetView guid="{0347A67A-6027-4907-965C-6EA2A8295536}" topLeftCell="F1">
      <selection activeCell="L15" sqref="L15"/>
      <pageMargins left="0.7" right="0.7" top="0.75" bottom="0.75" header="0.3" footer="0.3"/>
      <pageSetup orientation="portrait" r:id="rId2"/>
    </customSheetView>
    <customSheetView guid="{15CC7F3D-99AB-49C1-AC00-E04D3FE3FBC1}">
      <selection activeCell="L15" sqref="L15"/>
      <pageMargins left="0.7" right="0.7" top="0.75" bottom="0.75" header="0.3" footer="0.3"/>
      <pageSetup orientation="portrait" r:id="rId3"/>
    </customSheetView>
  </customSheetViews>
  <mergeCells count="3">
    <mergeCell ref="B1:E1"/>
    <mergeCell ref="F1:I1"/>
    <mergeCell ref="J1:M1"/>
  </mergeCells>
  <phoneticPr fontId="30" type="noConversion"/>
  <pageMargins left="0.7" right="0.7" top="0.75" bottom="0.75" header="0.3" footer="0.3"/>
  <pageSetup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sheetPr>
  <dimension ref="A1:T97"/>
  <sheetViews>
    <sheetView workbookViewId="0">
      <pane xSplit="1" topLeftCell="B1" activePane="topRight" state="frozen"/>
      <selection pane="topRight" activeCell="D19" sqref="D19"/>
    </sheetView>
  </sheetViews>
  <sheetFormatPr defaultColWidth="9.7109375" defaultRowHeight="12" x14ac:dyDescent="0.2"/>
  <cols>
    <col min="1" max="1" width="44" style="116" customWidth="1"/>
    <col min="2" max="2" width="13.5703125" style="777" bestFit="1" customWidth="1"/>
    <col min="3" max="3" width="9.7109375" style="423"/>
    <col min="4" max="4" width="23.85546875" style="423" bestFit="1" customWidth="1"/>
    <col min="5" max="5" width="25.5703125" style="574" bestFit="1" customWidth="1"/>
    <col min="6" max="6" width="15.5703125" style="795" bestFit="1" customWidth="1"/>
    <col min="7" max="7" width="9.7109375" style="5"/>
    <col min="8" max="8" width="28" style="169" bestFit="1" customWidth="1"/>
    <col min="9" max="9" width="22.28515625" style="607" customWidth="1"/>
    <col min="10" max="10" width="15.5703125" style="590" customWidth="1"/>
    <col min="11" max="11" width="11" style="590" customWidth="1"/>
    <col min="12" max="12" width="25.140625" style="590" customWidth="1"/>
    <col min="13" max="13" width="22.140625" style="607" customWidth="1"/>
    <col min="14" max="14" width="9.7109375" style="1490"/>
    <col min="15" max="15" width="22.28515625" style="626" customWidth="1"/>
    <col min="16" max="17" width="14.85546875" style="626" customWidth="1"/>
    <col min="18" max="18" width="47.5703125" style="1280" customWidth="1"/>
  </cols>
  <sheetData>
    <row r="1" spans="1:18" s="9" customFormat="1" x14ac:dyDescent="0.2">
      <c r="A1" s="114"/>
      <c r="B1" s="2543">
        <v>2003</v>
      </c>
      <c r="C1" s="2548"/>
      <c r="D1" s="2548"/>
      <c r="E1" s="2549"/>
      <c r="F1" s="2543">
        <v>2008</v>
      </c>
      <c r="G1" s="2546"/>
      <c r="H1" s="2546"/>
      <c r="I1" s="2547"/>
      <c r="J1" s="2543">
        <v>2010</v>
      </c>
      <c r="K1" s="2546"/>
      <c r="L1" s="2546"/>
      <c r="M1" s="2547"/>
      <c r="N1" s="1486" t="s">
        <v>1553</v>
      </c>
      <c r="O1" s="2550">
        <v>2015</v>
      </c>
      <c r="P1" s="2551"/>
      <c r="Q1" s="2551"/>
      <c r="R1" s="2552"/>
    </row>
    <row r="2" spans="1:18" s="9" customFormat="1" x14ac:dyDescent="0.2">
      <c r="A2" s="114" t="s">
        <v>604</v>
      </c>
      <c r="B2" s="603" t="s">
        <v>602</v>
      </c>
      <c r="C2" s="758" t="s">
        <v>601</v>
      </c>
      <c r="D2" s="758" t="s">
        <v>603</v>
      </c>
      <c r="E2" s="759" t="s">
        <v>420</v>
      </c>
      <c r="F2" s="758" t="s">
        <v>602</v>
      </c>
      <c r="G2" s="758" t="s">
        <v>601</v>
      </c>
      <c r="H2" s="633" t="s">
        <v>603</v>
      </c>
      <c r="I2" s="666" t="s">
        <v>420</v>
      </c>
      <c r="J2" s="1263" t="s">
        <v>602</v>
      </c>
      <c r="K2" s="1263" t="s">
        <v>601</v>
      </c>
      <c r="L2" s="633" t="s">
        <v>603</v>
      </c>
      <c r="M2" s="666" t="s">
        <v>420</v>
      </c>
      <c r="N2" s="1486" t="s">
        <v>600</v>
      </c>
      <c r="O2" s="603" t="s">
        <v>602</v>
      </c>
      <c r="P2" s="603" t="s">
        <v>601</v>
      </c>
      <c r="Q2" s="603" t="s">
        <v>603</v>
      </c>
      <c r="R2" s="1274" t="s">
        <v>420</v>
      </c>
    </row>
    <row r="3" spans="1:18" s="634" customFormat="1" x14ac:dyDescent="0.2">
      <c r="A3" s="203" t="s">
        <v>318</v>
      </c>
      <c r="B3" s="786"/>
      <c r="C3" s="647"/>
      <c r="D3" s="647"/>
      <c r="E3" s="746"/>
      <c r="F3" s="805"/>
      <c r="G3" s="204"/>
      <c r="H3" s="345"/>
      <c r="I3" s="689"/>
      <c r="J3" s="1267"/>
      <c r="K3" s="1267"/>
      <c r="L3" s="1267"/>
      <c r="M3" s="689"/>
      <c r="N3" s="1691"/>
      <c r="O3" s="1275"/>
      <c r="P3" s="1275"/>
      <c r="Q3" s="1275"/>
      <c r="R3" s="1276"/>
    </row>
    <row r="4" spans="1:18" s="168" customFormat="1" x14ac:dyDescent="0.2">
      <c r="A4" s="1482" t="s">
        <v>210</v>
      </c>
      <c r="B4" s="587"/>
      <c r="C4" s="224"/>
      <c r="D4" s="224"/>
      <c r="E4" s="577"/>
      <c r="F4" s="788"/>
      <c r="G4" s="67"/>
      <c r="H4" s="200"/>
      <c r="I4" s="571"/>
      <c r="J4" s="569"/>
      <c r="K4" s="569"/>
      <c r="L4" s="569"/>
      <c r="M4" s="571"/>
      <c r="N4" s="1487"/>
      <c r="O4" s="628"/>
      <c r="P4" s="628"/>
      <c r="Q4" s="628"/>
      <c r="R4" s="692"/>
    </row>
    <row r="5" spans="1:18" s="168" customFormat="1" x14ac:dyDescent="0.2">
      <c r="A5" s="177" t="s">
        <v>211</v>
      </c>
      <c r="B5" s="587"/>
      <c r="C5" s="224"/>
      <c r="D5" s="224"/>
      <c r="E5" s="577"/>
      <c r="F5" s="788"/>
      <c r="G5" s="67"/>
      <c r="H5" s="200"/>
      <c r="I5" s="571"/>
      <c r="J5" s="569"/>
      <c r="K5" s="569"/>
      <c r="L5" s="569"/>
      <c r="M5" s="571"/>
      <c r="N5" s="1487"/>
      <c r="O5" s="628"/>
      <c r="P5" s="628"/>
      <c r="Q5" s="628"/>
      <c r="R5" s="692"/>
    </row>
    <row r="6" spans="1:18" s="168" customFormat="1" x14ac:dyDescent="0.2">
      <c r="A6" s="167" t="s">
        <v>136</v>
      </c>
      <c r="B6" s="587"/>
      <c r="C6" s="224"/>
      <c r="D6" s="224"/>
      <c r="E6" s="577"/>
      <c r="F6" s="788"/>
      <c r="G6" s="67"/>
      <c r="H6" s="200"/>
      <c r="I6" s="571"/>
      <c r="J6" s="1351"/>
      <c r="K6" s="569"/>
      <c r="L6" s="569"/>
      <c r="M6" s="571"/>
      <c r="N6" s="1487"/>
      <c r="O6" s="628"/>
      <c r="P6" s="628"/>
      <c r="Q6" s="628"/>
      <c r="R6" s="692"/>
    </row>
    <row r="7" spans="1:18" s="168" customFormat="1" x14ac:dyDescent="0.2">
      <c r="A7" s="739" t="s">
        <v>247</v>
      </c>
      <c r="B7" s="1565">
        <v>26853863.857298039</v>
      </c>
      <c r="C7" s="628" t="s">
        <v>757</v>
      </c>
      <c r="D7" s="2428" t="s">
        <v>2081</v>
      </c>
      <c r="E7" s="692" t="s">
        <v>2309</v>
      </c>
      <c r="F7" s="1565">
        <v>29644648.64168825</v>
      </c>
      <c r="G7" s="628" t="s">
        <v>757</v>
      </c>
      <c r="H7" s="2428" t="s">
        <v>2081</v>
      </c>
      <c r="I7" s="692" t="s">
        <v>2302</v>
      </c>
      <c r="J7" s="2427">
        <v>28463383.305635605</v>
      </c>
      <c r="K7" s="628" t="s">
        <v>757</v>
      </c>
      <c r="L7" s="2428" t="s">
        <v>2081</v>
      </c>
      <c r="M7" s="692" t="s">
        <v>2283</v>
      </c>
      <c r="N7" s="1487"/>
      <c r="O7" s="1565">
        <v>29644648.64168825</v>
      </c>
      <c r="P7" s="628" t="s">
        <v>757</v>
      </c>
      <c r="Q7" s="628" t="s">
        <v>2081</v>
      </c>
      <c r="R7" s="692" t="s">
        <v>2278</v>
      </c>
    </row>
    <row r="8" spans="1:18" s="168" customFormat="1" x14ac:dyDescent="0.2">
      <c r="A8" s="739" t="s">
        <v>248</v>
      </c>
      <c r="B8" s="1565">
        <v>6709335.8014309946</v>
      </c>
      <c r="C8" s="628" t="s">
        <v>757</v>
      </c>
      <c r="D8" s="2428"/>
      <c r="E8" s="692" t="s">
        <v>2310</v>
      </c>
      <c r="F8" s="1565">
        <v>7589916.2060248218</v>
      </c>
      <c r="G8" s="628" t="s">
        <v>757</v>
      </c>
      <c r="H8" s="2428"/>
      <c r="I8" s="692" t="s">
        <v>2303</v>
      </c>
      <c r="J8" s="2427">
        <v>7184601.7909836043</v>
      </c>
      <c r="K8" s="628" t="s">
        <v>757</v>
      </c>
      <c r="L8" s="2428"/>
      <c r="M8" s="692" t="s">
        <v>2284</v>
      </c>
      <c r="N8" s="1487"/>
      <c r="O8" s="1565">
        <v>7589916.2060248218</v>
      </c>
      <c r="P8" s="628" t="s">
        <v>757</v>
      </c>
      <c r="Q8" s="628"/>
      <c r="R8" s="692" t="s">
        <v>2279</v>
      </c>
    </row>
    <row r="9" spans="1:18" s="168" customFormat="1" x14ac:dyDescent="0.2">
      <c r="A9" s="739" t="s">
        <v>249</v>
      </c>
      <c r="B9" s="1565">
        <v>3161768.9972545337</v>
      </c>
      <c r="C9" s="628" t="s">
        <v>757</v>
      </c>
      <c r="D9" s="2428"/>
      <c r="E9" s="692" t="s">
        <v>2311</v>
      </c>
      <c r="F9" s="1565">
        <v>3641454.6037253658</v>
      </c>
      <c r="G9" s="628" t="s">
        <v>757</v>
      </c>
      <c r="H9" s="2428"/>
      <c r="I9" s="692" t="s">
        <v>2304</v>
      </c>
      <c r="J9" s="2427">
        <v>3396037.9386834661</v>
      </c>
      <c r="K9" s="628" t="s">
        <v>757</v>
      </c>
      <c r="L9" s="2428"/>
      <c r="M9" s="692" t="s">
        <v>2285</v>
      </c>
      <c r="N9" s="1487"/>
      <c r="O9" s="1565">
        <v>3641454.6037253658</v>
      </c>
      <c r="P9" s="628" t="s">
        <v>757</v>
      </c>
      <c r="Q9" s="628"/>
      <c r="R9" s="692" t="s">
        <v>2280</v>
      </c>
    </row>
    <row r="10" spans="1:18" s="168" customFormat="1" x14ac:dyDescent="0.2">
      <c r="A10" s="2436" t="s">
        <v>2313</v>
      </c>
      <c r="B10" s="1565">
        <f>SUM(B7:B9)</f>
        <v>36724968.655983567</v>
      </c>
      <c r="C10" s="628" t="s">
        <v>757</v>
      </c>
      <c r="D10" s="2428"/>
      <c r="E10" s="692"/>
      <c r="F10" s="1565">
        <f>SUM(F7:F9)</f>
        <v>40876019.451438434</v>
      </c>
      <c r="G10" s="628" t="s">
        <v>757</v>
      </c>
      <c r="H10" s="2428"/>
      <c r="I10" s="692"/>
      <c r="J10" s="2427">
        <f>SUM(J7:J9)</f>
        <v>39044023.035302676</v>
      </c>
      <c r="K10" s="628" t="s">
        <v>757</v>
      </c>
      <c r="L10" s="2428"/>
      <c r="M10" s="692"/>
      <c r="N10" s="1487"/>
      <c r="O10" s="1565">
        <f>SUM(O7:O9)</f>
        <v>40876019.451438434</v>
      </c>
      <c r="P10" s="628" t="s">
        <v>757</v>
      </c>
      <c r="Q10" s="628"/>
      <c r="R10" s="692"/>
    </row>
    <row r="11" spans="1:18" s="168" customFormat="1" x14ac:dyDescent="0.2">
      <c r="A11" s="2424" t="s">
        <v>2262</v>
      </c>
      <c r="B11" s="1565">
        <v>290</v>
      </c>
      <c r="C11" s="628"/>
      <c r="D11" s="2428"/>
      <c r="E11" s="692"/>
      <c r="F11" s="1565">
        <v>290</v>
      </c>
      <c r="G11" s="628"/>
      <c r="H11" s="2428"/>
      <c r="I11" s="692"/>
      <c r="J11" s="1695">
        <v>290</v>
      </c>
      <c r="K11" s="628"/>
      <c r="L11" s="2428"/>
      <c r="M11" s="692"/>
      <c r="N11" s="1487"/>
      <c r="O11" s="1565">
        <v>290</v>
      </c>
      <c r="P11" s="628"/>
      <c r="Q11" s="628"/>
      <c r="R11" s="692"/>
    </row>
    <row r="12" spans="1:18" s="168" customFormat="1" ht="13.5" x14ac:dyDescent="0.2">
      <c r="A12" s="2424" t="s">
        <v>2260</v>
      </c>
      <c r="B12" s="1565">
        <f>B10/F10*F12</f>
        <v>4420853.0802463824</v>
      </c>
      <c r="C12" s="628" t="s">
        <v>2288</v>
      </c>
      <c r="D12" s="2428"/>
      <c r="E12" s="692" t="s">
        <v>2312</v>
      </c>
      <c r="F12" s="1565">
        <v>4920545.4249083539</v>
      </c>
      <c r="G12" s="628" t="s">
        <v>2288</v>
      </c>
      <c r="H12" s="2428"/>
      <c r="I12" s="692" t="s">
        <v>2305</v>
      </c>
      <c r="J12" s="2427">
        <v>4867420.5778079936</v>
      </c>
      <c r="K12" s="628" t="s">
        <v>2288</v>
      </c>
      <c r="L12" s="2428"/>
      <c r="M12" s="692" t="s">
        <v>2286</v>
      </c>
      <c r="N12" s="1487"/>
      <c r="O12" s="1565">
        <v>4815582.5725452872</v>
      </c>
      <c r="P12" s="628" t="s">
        <v>2288</v>
      </c>
      <c r="Q12" s="628"/>
      <c r="R12" s="692" t="s">
        <v>2276</v>
      </c>
    </row>
    <row r="13" spans="1:18" s="168" customFormat="1" ht="13.5" x14ac:dyDescent="0.2">
      <c r="A13" s="2424" t="s">
        <v>2261</v>
      </c>
      <c r="B13" s="1565">
        <f>B10/F10*F13</f>
        <v>24104.738992428818</v>
      </c>
      <c r="C13" s="628" t="s">
        <v>2288</v>
      </c>
      <c r="D13" s="2428"/>
      <c r="E13" s="692" t="s">
        <v>2312</v>
      </c>
      <c r="F13" s="1565">
        <v>26829.315748533169</v>
      </c>
      <c r="G13" s="628" t="s">
        <v>2288</v>
      </c>
      <c r="H13" s="2428"/>
      <c r="I13" s="692" t="s">
        <v>2306</v>
      </c>
      <c r="J13" s="2427">
        <v>26207.250058256264</v>
      </c>
      <c r="K13" s="628" t="s">
        <v>2288</v>
      </c>
      <c r="L13" s="2428"/>
      <c r="M13" s="692" t="s">
        <v>2287</v>
      </c>
      <c r="N13" s="1487"/>
      <c r="O13" s="1565">
        <v>24436.078117790417</v>
      </c>
      <c r="P13" s="628" t="s">
        <v>2288</v>
      </c>
      <c r="Q13" s="628"/>
      <c r="R13" s="692" t="s">
        <v>2277</v>
      </c>
    </row>
    <row r="14" spans="1:18" s="208" customFormat="1" ht="13.5" x14ac:dyDescent="0.2">
      <c r="A14" s="315" t="s">
        <v>1200</v>
      </c>
      <c r="B14" s="2437">
        <f>SUM(B12:B13)</f>
        <v>4444957.8192388108</v>
      </c>
      <c r="C14" s="604" t="s">
        <v>1020</v>
      </c>
      <c r="D14" s="639"/>
      <c r="E14" s="1277" t="s">
        <v>2314</v>
      </c>
      <c r="F14" s="790">
        <f>SUM(F12:F13)</f>
        <v>4947374.7406568872</v>
      </c>
      <c r="G14" s="604" t="s">
        <v>1020</v>
      </c>
      <c r="H14" s="639"/>
      <c r="I14" s="1277"/>
      <c r="J14" s="790">
        <f>SUM(J12:J13)</f>
        <v>4893627.8278662497</v>
      </c>
      <c r="K14" s="604" t="s">
        <v>1020</v>
      </c>
      <c r="L14" s="639"/>
      <c r="M14" s="1277"/>
      <c r="N14" s="1488"/>
      <c r="O14" s="790">
        <f>SUM(O12:O13)</f>
        <v>4840018.6506630778</v>
      </c>
      <c r="P14" s="604" t="s">
        <v>1020</v>
      </c>
      <c r="Q14" s="639"/>
      <c r="R14" s="1277"/>
    </row>
    <row r="15" spans="1:18" s="208" customFormat="1" x14ac:dyDescent="0.2">
      <c r="A15" s="740"/>
      <c r="B15" s="1355"/>
      <c r="C15" s="487"/>
      <c r="D15" s="695"/>
      <c r="E15" s="672"/>
      <c r="F15" s="2507"/>
      <c r="G15" s="321"/>
      <c r="H15" s="225"/>
      <c r="I15" s="614"/>
      <c r="J15" s="691"/>
      <c r="K15" s="691"/>
      <c r="L15" s="691"/>
      <c r="M15" s="614"/>
      <c r="N15" s="1488"/>
      <c r="O15" s="639"/>
      <c r="P15" s="639"/>
      <c r="Q15" s="639"/>
      <c r="R15" s="1277"/>
    </row>
    <row r="16" spans="1:18" s="634" customFormat="1" x14ac:dyDescent="0.2">
      <c r="A16" s="203" t="s">
        <v>44</v>
      </c>
      <c r="B16" s="786"/>
      <c r="C16" s="647"/>
      <c r="D16" s="688"/>
      <c r="E16" s="746"/>
      <c r="F16" s="805"/>
      <c r="G16" s="204"/>
      <c r="H16" s="681"/>
      <c r="I16" s="689"/>
      <c r="J16" s="1267"/>
      <c r="K16" s="1267"/>
      <c r="L16" s="1267"/>
      <c r="M16" s="689"/>
      <c r="N16" s="1691"/>
      <c r="O16" s="1275"/>
      <c r="P16" s="1275"/>
      <c r="Q16" s="1275"/>
      <c r="R16" s="1276"/>
    </row>
    <row r="17" spans="1:18" s="168" customFormat="1" x14ac:dyDescent="0.2">
      <c r="A17" s="1482" t="s">
        <v>210</v>
      </c>
      <c r="B17" s="587"/>
      <c r="C17" s="224"/>
      <c r="D17" s="551"/>
      <c r="E17" s="577"/>
      <c r="F17" s="788"/>
      <c r="G17" s="67"/>
      <c r="H17" s="295"/>
      <c r="I17" s="571"/>
      <c r="J17" s="569"/>
      <c r="K17" s="569"/>
      <c r="L17" s="569"/>
      <c r="M17" s="571"/>
      <c r="N17" s="1487"/>
      <c r="O17" s="628"/>
      <c r="P17" s="628"/>
      <c r="Q17" s="628"/>
      <c r="R17" s="692"/>
    </row>
    <row r="18" spans="1:18" s="168" customFormat="1" x14ac:dyDescent="0.2">
      <c r="A18" s="614" t="s">
        <v>2299</v>
      </c>
      <c r="B18" s="587">
        <v>37054.825560935293</v>
      </c>
      <c r="C18" s="644" t="s">
        <v>757</v>
      </c>
      <c r="D18" s="744" t="s">
        <v>1201</v>
      </c>
      <c r="E18" s="571"/>
      <c r="F18" s="807">
        <v>36663.792064899804</v>
      </c>
      <c r="G18" s="142" t="s">
        <v>757</v>
      </c>
      <c r="H18" s="744" t="s">
        <v>1201</v>
      </c>
      <c r="I18" s="571"/>
      <c r="J18" s="915">
        <v>36960.123583837223</v>
      </c>
      <c r="K18" s="142" t="s">
        <v>757</v>
      </c>
      <c r="L18" s="744" t="s">
        <v>1201</v>
      </c>
      <c r="M18" s="571"/>
      <c r="N18" s="1487"/>
      <c r="O18" s="628"/>
      <c r="P18" s="628"/>
      <c r="Q18" s="628"/>
      <c r="R18" s="692"/>
    </row>
    <row r="19" spans="1:18" s="168" customFormat="1" x14ac:dyDescent="0.2">
      <c r="A19" s="614" t="s">
        <v>2263</v>
      </c>
      <c r="B19" s="791">
        <f>B18*365</f>
        <v>13525011.329741381</v>
      </c>
      <c r="C19" s="644"/>
      <c r="D19" s="744"/>
      <c r="E19" s="571"/>
      <c r="F19" s="807">
        <f>F18*365</f>
        <v>13382284.103688428</v>
      </c>
      <c r="G19" s="142"/>
      <c r="H19" s="744"/>
      <c r="I19" s="571"/>
      <c r="J19" s="915">
        <f>J18*365</f>
        <v>13490445.108100586</v>
      </c>
      <c r="K19" s="142"/>
      <c r="L19" s="744"/>
      <c r="M19" s="571"/>
      <c r="N19" s="1487"/>
      <c r="O19" s="628"/>
      <c r="P19" s="628"/>
      <c r="Q19" s="628"/>
      <c r="R19" s="692"/>
    </row>
    <row r="20" spans="1:18" s="168" customFormat="1" x14ac:dyDescent="0.2">
      <c r="A20" s="177" t="s">
        <v>154</v>
      </c>
      <c r="B20" s="789">
        <v>16.196931929184693</v>
      </c>
      <c r="C20" s="135" t="s">
        <v>548</v>
      </c>
      <c r="D20" s="158" t="s">
        <v>1365</v>
      </c>
      <c r="E20" s="614" t="s">
        <v>1103</v>
      </c>
      <c r="F20" s="789">
        <v>18.114742161345603</v>
      </c>
      <c r="G20" s="135" t="s">
        <v>548</v>
      </c>
      <c r="H20" s="158" t="s">
        <v>1365</v>
      </c>
      <c r="I20" s="614" t="s">
        <v>1412</v>
      </c>
      <c r="J20" s="789">
        <v>17.362064409653293</v>
      </c>
      <c r="K20" s="135" t="s">
        <v>548</v>
      </c>
      <c r="L20" s="691" t="s">
        <v>1485</v>
      </c>
      <c r="M20" s="614" t="s">
        <v>1486</v>
      </c>
      <c r="N20" s="1538"/>
      <c r="O20" s="2429"/>
      <c r="P20" s="135"/>
      <c r="Q20" s="639"/>
      <c r="R20" s="692"/>
    </row>
    <row r="21" spans="1:18" s="168" customFormat="1" x14ac:dyDescent="0.2">
      <c r="A21" s="614" t="s">
        <v>2059</v>
      </c>
      <c r="B21" s="789">
        <f>B19/B20</f>
        <v>835035.38749651285</v>
      </c>
      <c r="C21" s="135"/>
      <c r="D21" s="158"/>
      <c r="E21" s="614"/>
      <c r="F21" s="789">
        <f>F19/F20</f>
        <v>738751.01199311588</v>
      </c>
      <c r="G21" s="135"/>
      <c r="H21" s="158"/>
      <c r="I21" s="614"/>
      <c r="J21" s="789">
        <f>J19/J20</f>
        <v>777006.97277680354</v>
      </c>
      <c r="K21" s="135"/>
      <c r="L21" s="691"/>
      <c r="M21" s="614"/>
      <c r="N21" s="1538"/>
      <c r="O21" s="1565">
        <v>906504</v>
      </c>
      <c r="P21" s="135" t="s">
        <v>654</v>
      </c>
      <c r="Q21" s="639"/>
      <c r="R21" s="692" t="s">
        <v>2307</v>
      </c>
    </row>
    <row r="22" spans="1:18" s="168" customFormat="1" ht="13.5" x14ac:dyDescent="0.2">
      <c r="A22" s="177" t="s">
        <v>174</v>
      </c>
      <c r="B22" s="788">
        <f>efggasoline10*B21</f>
        <v>7446861272.1224785</v>
      </c>
      <c r="C22" s="206" t="s">
        <v>153</v>
      </c>
      <c r="D22" s="295"/>
      <c r="E22" s="571"/>
      <c r="F22" s="788">
        <f>efggasoline10*F21</f>
        <v>6588195402.6478882</v>
      </c>
      <c r="G22" s="206" t="s">
        <v>153</v>
      </c>
      <c r="H22" s="295"/>
      <c r="I22" s="571"/>
      <c r="J22" s="788">
        <f>efggasoline10*J21</f>
        <v>6929362779.5682697</v>
      </c>
      <c r="K22" s="642" t="s">
        <v>2300</v>
      </c>
      <c r="L22" s="295"/>
      <c r="M22" s="571"/>
      <c r="N22" s="1487"/>
      <c r="O22" s="587">
        <f>O21*efggasoline15</f>
        <v>8084219700.9911823</v>
      </c>
      <c r="P22" s="642" t="s">
        <v>2301</v>
      </c>
      <c r="Q22" s="628"/>
      <c r="R22" s="692"/>
    </row>
    <row r="23" spans="1:18" s="208" customFormat="1" ht="13.5" x14ac:dyDescent="0.2">
      <c r="A23" s="315" t="s">
        <v>232</v>
      </c>
      <c r="B23" s="790">
        <f>B22*10^-6</f>
        <v>7446.8612721224781</v>
      </c>
      <c r="C23" s="604" t="s">
        <v>1020</v>
      </c>
      <c r="D23" s="225"/>
      <c r="E23" s="670"/>
      <c r="F23" s="790">
        <f>F22*10^-6</f>
        <v>6588.1954026478879</v>
      </c>
      <c r="G23" s="604" t="s">
        <v>1020</v>
      </c>
      <c r="H23" s="225"/>
      <c r="I23" s="614"/>
      <c r="J23" s="790">
        <f>J22*10^-6</f>
        <v>6929.3627795682696</v>
      </c>
      <c r="K23" s="604" t="s">
        <v>1020</v>
      </c>
      <c r="L23" s="225"/>
      <c r="M23" s="614"/>
      <c r="N23" s="1488"/>
      <c r="O23" s="790">
        <f>O22*10^-6</f>
        <v>8084.2197009911815</v>
      </c>
      <c r="P23" s="604" t="s">
        <v>1020</v>
      </c>
      <c r="Q23" s="639"/>
      <c r="R23" s="1277"/>
    </row>
    <row r="24" spans="1:18" s="208" customFormat="1" x14ac:dyDescent="0.2">
      <c r="A24" s="195"/>
      <c r="B24" s="791"/>
      <c r="C24" s="487"/>
      <c r="D24" s="695"/>
      <c r="E24" s="672"/>
      <c r="F24" s="808"/>
      <c r="G24" s="207"/>
      <c r="H24" s="225"/>
      <c r="I24" s="614"/>
      <c r="J24" s="691"/>
      <c r="K24" s="691"/>
      <c r="L24" s="691"/>
      <c r="M24" s="614"/>
      <c r="N24" s="1488"/>
      <c r="O24" s="639"/>
      <c r="P24" s="639"/>
      <c r="Q24" s="639"/>
      <c r="R24" s="1277"/>
    </row>
    <row r="25" spans="1:18" s="634" customFormat="1" x14ac:dyDescent="0.2">
      <c r="A25" s="203" t="s">
        <v>319</v>
      </c>
      <c r="B25" s="786"/>
      <c r="C25" s="647"/>
      <c r="D25" s="688"/>
      <c r="E25" s="746"/>
      <c r="F25" s="805"/>
      <c r="G25" s="204"/>
      <c r="H25" s="345"/>
      <c r="I25" s="689"/>
      <c r="J25" s="1267"/>
      <c r="K25" s="1267"/>
      <c r="L25" s="1267"/>
      <c r="M25" s="689"/>
      <c r="N25" s="1691"/>
      <c r="O25" s="1278"/>
      <c r="P25" s="1275"/>
      <c r="Q25" s="1275"/>
      <c r="R25" s="1276"/>
    </row>
    <row r="26" spans="1:18" s="168" customFormat="1" x14ac:dyDescent="0.2">
      <c r="A26" s="1482" t="s">
        <v>210</v>
      </c>
      <c r="B26" s="748"/>
      <c r="C26" s="630"/>
      <c r="D26" s="314"/>
      <c r="E26" s="574"/>
      <c r="F26" s="751"/>
      <c r="G26" s="630"/>
      <c r="H26" s="295"/>
      <c r="I26" s="571"/>
      <c r="J26" s="569"/>
      <c r="K26" s="569"/>
      <c r="L26" s="569"/>
      <c r="M26" s="571"/>
      <c r="N26" s="1487"/>
      <c r="O26" s="628"/>
      <c r="P26" s="628"/>
      <c r="Q26" s="628"/>
      <c r="R26" s="692"/>
    </row>
    <row r="27" spans="1:18" s="168" customFormat="1" x14ac:dyDescent="0.2">
      <c r="A27" s="622" t="s">
        <v>1116</v>
      </c>
      <c r="B27" s="751"/>
      <c r="C27" s="630"/>
      <c r="D27" s="314"/>
      <c r="E27" s="574"/>
      <c r="F27" s="751"/>
      <c r="G27" s="630"/>
      <c r="H27" s="295"/>
      <c r="I27" s="571"/>
      <c r="J27" s="1269"/>
      <c r="K27" s="569"/>
      <c r="L27" s="569"/>
      <c r="M27" s="571"/>
      <c r="N27" s="1487"/>
      <c r="O27" s="628"/>
      <c r="P27" s="628"/>
      <c r="Q27" s="628"/>
      <c r="R27" s="692"/>
    </row>
    <row r="28" spans="1:18" s="168" customFormat="1" x14ac:dyDescent="0.2">
      <c r="A28" s="614" t="s">
        <v>1117</v>
      </c>
      <c r="B28" s="751"/>
      <c r="C28" s="630"/>
      <c r="D28" s="314"/>
      <c r="E28" s="574"/>
      <c r="F28" s="751"/>
      <c r="H28" s="295"/>
      <c r="I28" s="571"/>
      <c r="J28" s="1269"/>
      <c r="K28" s="569"/>
      <c r="L28" s="569"/>
      <c r="M28" s="571"/>
      <c r="N28" s="1487"/>
      <c r="O28" s="628"/>
      <c r="P28" s="628"/>
      <c r="Q28" s="628"/>
      <c r="R28" s="692"/>
    </row>
    <row r="29" spans="1:18" s="168" customFormat="1" x14ac:dyDescent="0.2">
      <c r="A29" s="749" t="s">
        <v>599</v>
      </c>
      <c r="B29" s="751">
        <f>F29*(B36/B35)</f>
        <v>10485801.453961786</v>
      </c>
      <c r="C29" s="642" t="s">
        <v>654</v>
      </c>
      <c r="D29" s="314"/>
      <c r="E29" s="577" t="s">
        <v>1131</v>
      </c>
      <c r="F29" s="751">
        <v>9581900</v>
      </c>
      <c r="G29" s="642" t="s">
        <v>654</v>
      </c>
      <c r="H29" s="295" t="s">
        <v>1120</v>
      </c>
      <c r="I29" s="571" t="s">
        <v>1121</v>
      </c>
      <c r="J29" s="526">
        <v>10305951</v>
      </c>
      <c r="K29" s="531" t="s">
        <v>654</v>
      </c>
      <c r="L29" s="295" t="s">
        <v>1487</v>
      </c>
      <c r="M29" s="571" t="s">
        <v>1489</v>
      </c>
      <c r="N29" s="1487" t="s">
        <v>53</v>
      </c>
      <c r="O29" s="1565">
        <f>9991282+444404+25823</f>
        <v>10461509</v>
      </c>
      <c r="P29" s="628" t="s">
        <v>654</v>
      </c>
      <c r="Q29" s="628" t="s">
        <v>2080</v>
      </c>
      <c r="R29" s="692" t="s">
        <v>2060</v>
      </c>
    </row>
    <row r="30" spans="1:18" s="168" customFormat="1" x14ac:dyDescent="0.2">
      <c r="A30" s="749" t="s">
        <v>349</v>
      </c>
      <c r="B30" s="751"/>
      <c r="C30" s="642"/>
      <c r="D30" s="314"/>
      <c r="E30" s="577"/>
      <c r="F30" s="751"/>
      <c r="G30" s="642"/>
      <c r="H30" s="295"/>
      <c r="I30" s="571"/>
      <c r="J30" s="526"/>
      <c r="K30" s="531"/>
      <c r="L30" s="295"/>
      <c r="M30" s="571"/>
      <c r="N30" s="1487"/>
      <c r="O30" s="1565">
        <f>572421+128457+30958</f>
        <v>731836</v>
      </c>
      <c r="P30" s="628" t="s">
        <v>654</v>
      </c>
      <c r="Q30" s="628" t="s">
        <v>2080</v>
      </c>
      <c r="R30" s="692" t="s">
        <v>2063</v>
      </c>
    </row>
    <row r="31" spans="1:18" s="168" customFormat="1" x14ac:dyDescent="0.2">
      <c r="A31" s="749" t="s">
        <v>378</v>
      </c>
      <c r="B31" s="751"/>
      <c r="C31" s="642"/>
      <c r="D31" s="314"/>
      <c r="E31" s="577"/>
      <c r="F31" s="751"/>
      <c r="G31" s="642"/>
      <c r="H31" s="295"/>
      <c r="I31" s="571"/>
      <c r="J31" s="526"/>
      <c r="K31" s="531"/>
      <c r="L31" s="295"/>
      <c r="M31" s="571"/>
      <c r="N31" s="1487"/>
      <c r="O31" s="1565">
        <v>3043</v>
      </c>
      <c r="P31" s="628" t="s">
        <v>654</v>
      </c>
      <c r="Q31" s="628" t="s">
        <v>2080</v>
      </c>
      <c r="R31" s="692" t="s">
        <v>2064</v>
      </c>
    </row>
    <row r="32" spans="1:18" s="168" customFormat="1" x14ac:dyDescent="0.2">
      <c r="A32" s="749" t="s">
        <v>719</v>
      </c>
      <c r="B32" s="751"/>
      <c r="C32" s="642"/>
      <c r="D32" s="314"/>
      <c r="E32" s="577"/>
      <c r="F32" s="751"/>
      <c r="G32" s="642"/>
      <c r="H32" s="295"/>
      <c r="I32" s="571"/>
      <c r="J32" s="526"/>
      <c r="K32" s="531"/>
      <c r="L32" s="295"/>
      <c r="M32" s="571"/>
      <c r="N32" s="1487"/>
      <c r="O32" s="1565">
        <v>16736112</v>
      </c>
      <c r="P32" s="628" t="s">
        <v>719</v>
      </c>
      <c r="Q32" s="628" t="s">
        <v>2080</v>
      </c>
      <c r="R32" s="692" t="s">
        <v>828</v>
      </c>
    </row>
    <row r="33" spans="1:18" s="168" customFormat="1" x14ac:dyDescent="0.2">
      <c r="A33" s="749" t="s">
        <v>1119</v>
      </c>
      <c r="B33" s="751">
        <f>F33*(B36/B35)</f>
        <v>708857.20612891542</v>
      </c>
      <c r="C33" s="642" t="s">
        <v>654</v>
      </c>
      <c r="D33" s="570"/>
      <c r="E33" s="577" t="s">
        <v>1131</v>
      </c>
      <c r="F33" s="751">
        <v>647752</v>
      </c>
      <c r="G33" s="642" t="s">
        <v>654</v>
      </c>
      <c r="H33" s="295" t="s">
        <v>1120</v>
      </c>
      <c r="I33" s="571" t="s">
        <v>1122</v>
      </c>
      <c r="J33" s="526"/>
      <c r="K33" s="295"/>
      <c r="L33" s="569"/>
      <c r="M33" s="571"/>
      <c r="N33" s="1487"/>
      <c r="Q33" s="628"/>
      <c r="R33" s="692"/>
    </row>
    <row r="34" spans="1:18" s="168" customFormat="1" x14ac:dyDescent="0.2">
      <c r="A34" s="635" t="s">
        <v>1128</v>
      </c>
      <c r="B34" s="751"/>
      <c r="C34" s="642"/>
      <c r="D34" s="570"/>
      <c r="E34" s="577"/>
      <c r="F34" s="751"/>
      <c r="G34" s="642"/>
      <c r="H34" s="295"/>
      <c r="I34" s="571"/>
      <c r="J34" s="526"/>
      <c r="K34" s="569"/>
      <c r="L34" s="569"/>
      <c r="M34" s="571"/>
      <c r="N34" s="1487"/>
      <c r="O34" s="628"/>
      <c r="P34" s="628"/>
      <c r="Q34" s="628"/>
      <c r="R34" s="692"/>
    </row>
    <row r="35" spans="1:18" s="168" customFormat="1" x14ac:dyDescent="0.2">
      <c r="A35" s="749" t="s">
        <v>205</v>
      </c>
      <c r="B35" s="751">
        <v>32180832</v>
      </c>
      <c r="C35" s="642" t="s">
        <v>757</v>
      </c>
      <c r="D35" s="569" t="s">
        <v>1129</v>
      </c>
      <c r="E35" s="577"/>
      <c r="F35" s="751">
        <f>B35</f>
        <v>32180832</v>
      </c>
      <c r="G35" s="642" t="s">
        <v>757</v>
      </c>
      <c r="H35" s="569" t="s">
        <v>1129</v>
      </c>
      <c r="I35" s="571"/>
      <c r="J35" s="526">
        <v>32281667</v>
      </c>
      <c r="K35" s="569" t="s">
        <v>757</v>
      </c>
      <c r="L35" s="569" t="s">
        <v>1490</v>
      </c>
      <c r="M35" s="571"/>
      <c r="N35" s="1487"/>
      <c r="O35" s="1695"/>
      <c r="P35" s="642" t="s">
        <v>757</v>
      </c>
      <c r="Q35" s="628"/>
      <c r="R35" s="692"/>
    </row>
    <row r="36" spans="1:18" s="168" customFormat="1" x14ac:dyDescent="0.2">
      <c r="A36" s="749" t="s">
        <v>857</v>
      </c>
      <c r="B36" s="751">
        <v>35216587</v>
      </c>
      <c r="C36" s="642" t="s">
        <v>757</v>
      </c>
      <c r="D36" s="569" t="s">
        <v>1130</v>
      </c>
      <c r="E36" s="577"/>
      <c r="F36" s="751"/>
      <c r="G36" s="642"/>
      <c r="H36" s="295"/>
      <c r="I36" s="571"/>
      <c r="J36" s="1269"/>
      <c r="K36" s="569"/>
      <c r="L36" s="569"/>
      <c r="M36" s="571"/>
      <c r="N36" s="1487"/>
      <c r="O36" s="628"/>
      <c r="P36" s="628"/>
      <c r="Q36" s="628"/>
      <c r="R36" s="692"/>
    </row>
    <row r="37" spans="1:18" s="168" customFormat="1" x14ac:dyDescent="0.2">
      <c r="A37" s="622" t="s">
        <v>353</v>
      </c>
      <c r="B37" s="751"/>
      <c r="C37" s="642"/>
      <c r="D37" s="570"/>
      <c r="E37" s="577"/>
      <c r="F37" s="751"/>
      <c r="G37" s="642"/>
      <c r="H37" s="295"/>
      <c r="I37" s="571"/>
      <c r="J37" s="2442">
        <f>1112851+576537+1461237+852777</f>
        <v>4003402</v>
      </c>
      <c r="K37" s="569"/>
      <c r="L37" s="569"/>
      <c r="M37" s="571"/>
      <c r="N37" s="1487"/>
      <c r="O37" s="628"/>
      <c r="P37" s="628"/>
      <c r="Q37" s="628"/>
      <c r="R37" s="692"/>
    </row>
    <row r="38" spans="1:18" s="168" customFormat="1" x14ac:dyDescent="0.2">
      <c r="A38" s="749" t="s">
        <v>599</v>
      </c>
      <c r="B38" s="754">
        <f>F38*popKC03/popKC08</f>
        <v>1805122.8508333855</v>
      </c>
      <c r="C38" s="642" t="s">
        <v>654</v>
      </c>
      <c r="D38" s="570"/>
      <c r="E38" s="577" t="s">
        <v>1073</v>
      </c>
      <c r="F38" s="751">
        <v>1921900</v>
      </c>
      <c r="G38" s="642" t="s">
        <v>654</v>
      </c>
      <c r="H38" s="295" t="s">
        <v>1427</v>
      </c>
      <c r="I38" s="571" t="s">
        <v>1124</v>
      </c>
      <c r="J38" s="823">
        <v>2935523</v>
      </c>
      <c r="K38" s="642" t="s">
        <v>654</v>
      </c>
      <c r="L38" s="295" t="s">
        <v>1487</v>
      </c>
      <c r="M38" s="571" t="s">
        <v>1489</v>
      </c>
      <c r="N38" s="1487"/>
      <c r="O38" s="1695">
        <f>2380445+836598</f>
        <v>3217043</v>
      </c>
      <c r="P38" s="642" t="s">
        <v>654</v>
      </c>
      <c r="Q38" s="628" t="s">
        <v>2335</v>
      </c>
      <c r="R38" s="692"/>
    </row>
    <row r="39" spans="1:18" s="168" customFormat="1" x14ac:dyDescent="0.2">
      <c r="A39" s="749" t="s">
        <v>378</v>
      </c>
      <c r="B39" s="754">
        <f>F39*popKC03/popKC08</f>
        <v>236969.92313089294</v>
      </c>
      <c r="C39" s="642" t="s">
        <v>654</v>
      </c>
      <c r="D39" s="570"/>
      <c r="E39" s="577" t="s">
        <v>1073</v>
      </c>
      <c r="F39" s="751">
        <v>252300</v>
      </c>
      <c r="G39" s="642" t="s">
        <v>654</v>
      </c>
      <c r="H39" s="295" t="s">
        <v>1427</v>
      </c>
      <c r="I39" s="571" t="s">
        <v>1125</v>
      </c>
      <c r="J39" s="823">
        <v>210949</v>
      </c>
      <c r="K39" s="642" t="s">
        <v>654</v>
      </c>
      <c r="L39" s="295" t="s">
        <v>1487</v>
      </c>
      <c r="M39" s="571"/>
      <c r="N39" s="1487"/>
      <c r="O39" s="1695">
        <v>180792</v>
      </c>
      <c r="P39" s="642" t="s">
        <v>654</v>
      </c>
      <c r="Q39" s="628" t="s">
        <v>2335</v>
      </c>
      <c r="R39" s="692"/>
    </row>
    <row r="40" spans="1:18" s="168" customFormat="1" x14ac:dyDescent="0.2">
      <c r="A40" s="749" t="s">
        <v>1118</v>
      </c>
      <c r="B40" s="754">
        <f>F40*popKC03/popKC08</f>
        <v>106885.36366347846</v>
      </c>
      <c r="C40" s="642" t="s">
        <v>654</v>
      </c>
      <c r="D40" s="570"/>
      <c r="E40" s="577" t="s">
        <v>1073</v>
      </c>
      <c r="F40" s="751">
        <v>113800</v>
      </c>
      <c r="G40" s="642" t="s">
        <v>654</v>
      </c>
      <c r="H40" s="295" t="s">
        <v>1427</v>
      </c>
      <c r="I40" s="571" t="s">
        <v>1126</v>
      </c>
      <c r="J40" s="823">
        <v>0</v>
      </c>
      <c r="K40" s="642" t="s">
        <v>654</v>
      </c>
      <c r="L40" s="295" t="s">
        <v>1487</v>
      </c>
      <c r="M40" s="571"/>
      <c r="N40" s="1487"/>
      <c r="O40" s="642"/>
      <c r="P40" s="642" t="s">
        <v>654</v>
      </c>
      <c r="Q40" s="628"/>
      <c r="R40" s="628"/>
    </row>
    <row r="41" spans="1:18" s="168" customFormat="1" x14ac:dyDescent="0.2">
      <c r="A41" s="635" t="s">
        <v>1132</v>
      </c>
      <c r="B41" s="2496">
        <f>0.5*1+0.5*0.5</f>
        <v>0.75</v>
      </c>
      <c r="C41" s="630"/>
      <c r="D41" s="570"/>
      <c r="E41" s="574"/>
      <c r="F41" s="2496">
        <f>0.5*1+0.5*0.5</f>
        <v>0.75</v>
      </c>
      <c r="G41" s="642"/>
      <c r="H41" s="295"/>
      <c r="I41" s="571" t="s">
        <v>1134</v>
      </c>
      <c r="J41" s="2496">
        <f>0.5*1+0.5*0.5</f>
        <v>0.75</v>
      </c>
      <c r="K41" s="569"/>
      <c r="L41" s="569"/>
      <c r="M41" s="571"/>
      <c r="N41" s="1692" t="s">
        <v>1133</v>
      </c>
      <c r="O41" s="1696">
        <v>0.75</v>
      </c>
      <c r="P41" s="628"/>
      <c r="Q41" s="628"/>
      <c r="R41" s="692"/>
    </row>
    <row r="42" spans="1:18" s="168" customFormat="1" x14ac:dyDescent="0.2">
      <c r="A42" s="635" t="s">
        <v>1135</v>
      </c>
      <c r="B42" s="751"/>
      <c r="C42" s="630"/>
      <c r="D42" s="570"/>
      <c r="E42" s="574"/>
      <c r="F42" s="751"/>
      <c r="G42" s="642"/>
      <c r="H42" s="295"/>
      <c r="I42" s="571"/>
      <c r="J42" s="1269"/>
      <c r="K42" s="569"/>
      <c r="L42" s="569"/>
      <c r="M42" s="571"/>
      <c r="N42" s="1487"/>
      <c r="O42" s="628"/>
      <c r="P42" s="628"/>
      <c r="Q42" s="628"/>
      <c r="R42" s="692"/>
    </row>
    <row r="43" spans="1:18" s="168" customFormat="1" x14ac:dyDescent="0.2">
      <c r="A43" s="749" t="s">
        <v>599</v>
      </c>
      <c r="B43" s="751">
        <f>B38*B$41</f>
        <v>1353842.1381250392</v>
      </c>
      <c r="C43" s="642" t="s">
        <v>654</v>
      </c>
      <c r="D43" s="570"/>
      <c r="E43" s="574"/>
      <c r="F43" s="751">
        <f>F38*F$41</f>
        <v>1441425</v>
      </c>
      <c r="G43" s="642" t="s">
        <v>654</v>
      </c>
      <c r="H43" s="295"/>
      <c r="I43" s="571"/>
      <c r="J43" s="823">
        <f>J38*J$41</f>
        <v>2201642.25</v>
      </c>
      <c r="K43" s="642" t="s">
        <v>654</v>
      </c>
      <c r="L43" s="569"/>
      <c r="M43" s="571"/>
      <c r="N43" s="1487"/>
      <c r="O43" s="823">
        <f>O38*O$41</f>
        <v>2412782.25</v>
      </c>
      <c r="P43" s="642" t="s">
        <v>654</v>
      </c>
      <c r="Q43" s="628"/>
      <c r="R43" s="692"/>
    </row>
    <row r="44" spans="1:18" s="168" customFormat="1" x14ac:dyDescent="0.2">
      <c r="A44" s="749" t="s">
        <v>378</v>
      </c>
      <c r="B44" s="751">
        <f>B39*B$41</f>
        <v>177727.44234816972</v>
      </c>
      <c r="C44" s="642" t="s">
        <v>654</v>
      </c>
      <c r="D44" s="570"/>
      <c r="E44" s="574"/>
      <c r="F44" s="751">
        <f>F39*F$41</f>
        <v>189225</v>
      </c>
      <c r="G44" s="642" t="s">
        <v>654</v>
      </c>
      <c r="H44" s="295"/>
      <c r="I44" s="571"/>
      <c r="J44" s="823">
        <f>J39*J$41</f>
        <v>158211.75</v>
      </c>
      <c r="K44" s="642" t="s">
        <v>654</v>
      </c>
      <c r="L44" s="569"/>
      <c r="M44" s="571"/>
      <c r="N44" s="1487"/>
      <c r="O44" s="823">
        <f>O39*O$41</f>
        <v>135594</v>
      </c>
      <c r="P44" s="642" t="s">
        <v>654</v>
      </c>
      <c r="Q44" s="628"/>
      <c r="R44" s="692"/>
    </row>
    <row r="45" spans="1:18" s="168" customFormat="1" x14ac:dyDescent="0.2">
      <c r="A45" s="749" t="s">
        <v>1118</v>
      </c>
      <c r="B45" s="751">
        <f>B40*B$41</f>
        <v>80164.022747608848</v>
      </c>
      <c r="C45" s="642" t="s">
        <v>654</v>
      </c>
      <c r="D45" s="570"/>
      <c r="E45" s="574"/>
      <c r="F45" s="751">
        <f>F40*F$41</f>
        <v>85350</v>
      </c>
      <c r="G45" s="642" t="s">
        <v>654</v>
      </c>
      <c r="H45" s="295"/>
      <c r="I45" s="571"/>
      <c r="J45" s="823">
        <f>J40*J$41</f>
        <v>0</v>
      </c>
      <c r="K45" s="642" t="s">
        <v>654</v>
      </c>
      <c r="L45" s="569"/>
      <c r="M45" s="571"/>
      <c r="N45" s="1487"/>
      <c r="O45" s="823">
        <f>O40*O$41</f>
        <v>0</v>
      </c>
      <c r="P45" s="642"/>
      <c r="Q45" s="628"/>
      <c r="R45" s="692"/>
    </row>
    <row r="46" spans="1:18" s="168" customFormat="1" x14ac:dyDescent="0.2">
      <c r="A46" s="1476" t="s">
        <v>152</v>
      </c>
      <c r="B46" s="751"/>
      <c r="C46" s="630"/>
      <c r="D46" s="570"/>
      <c r="E46" s="574"/>
      <c r="F46" s="751"/>
      <c r="G46" s="642"/>
      <c r="H46" s="295"/>
      <c r="I46" s="571"/>
      <c r="J46" s="1269"/>
      <c r="K46" s="569"/>
      <c r="L46" s="569"/>
      <c r="M46" s="571"/>
      <c r="N46" s="1487"/>
      <c r="O46" s="1269"/>
      <c r="P46" s="569"/>
      <c r="Q46" s="628"/>
      <c r="R46" s="692"/>
    </row>
    <row r="47" spans="1:18" s="168" customFormat="1" x14ac:dyDescent="0.2">
      <c r="A47" s="177" t="s">
        <v>233</v>
      </c>
      <c r="B47" s="751"/>
      <c r="C47" s="630"/>
      <c r="D47" s="570"/>
      <c r="E47" s="574"/>
      <c r="F47" s="578"/>
      <c r="H47" s="295"/>
      <c r="I47" s="571"/>
      <c r="J47" s="1269"/>
      <c r="K47" s="569"/>
      <c r="L47" s="569"/>
      <c r="M47" s="571"/>
      <c r="N47" s="1487"/>
      <c r="O47" s="1269"/>
      <c r="P47" s="569"/>
      <c r="Q47" s="628"/>
      <c r="R47" s="692"/>
    </row>
    <row r="48" spans="1:18" s="168" customFormat="1" x14ac:dyDescent="0.2">
      <c r="A48" s="749" t="s">
        <v>599</v>
      </c>
      <c r="B48" s="752">
        <f>SUM(B29,B43)*galTOL</f>
        <v>44817786.853485473</v>
      </c>
      <c r="C48" s="642" t="s">
        <v>519</v>
      </c>
      <c r="D48" s="570"/>
      <c r="E48" s="574"/>
      <c r="F48" s="752">
        <f>SUM(F29,F43)*galTOL</f>
        <v>41727694.454999998</v>
      </c>
      <c r="G48" s="642" t="s">
        <v>519</v>
      </c>
      <c r="H48" s="295"/>
      <c r="I48" s="571"/>
      <c r="J48" s="752">
        <f>SUM(J29,J43)*galTOL</f>
        <v>47346243.48855</v>
      </c>
      <c r="K48" s="642" t="s">
        <v>519</v>
      </c>
      <c r="L48" s="569"/>
      <c r="M48" s="571"/>
      <c r="N48" s="1487"/>
      <c r="O48" s="1308">
        <f>SUM(O29,O43)*galTOL</f>
        <v>48734342.097750001</v>
      </c>
      <c r="P48" s="642" t="s">
        <v>519</v>
      </c>
      <c r="Q48" s="628"/>
      <c r="R48" s="692"/>
    </row>
    <row r="49" spans="1:18" s="168" customFormat="1" x14ac:dyDescent="0.2">
      <c r="A49" s="749" t="s">
        <v>1118</v>
      </c>
      <c r="B49" s="752">
        <f>SUM(B33,B45)*galTOL</f>
        <v>2986760.9597891951</v>
      </c>
      <c r="C49" s="642" t="s">
        <v>519</v>
      </c>
      <c r="D49" s="570"/>
      <c r="E49" s="574"/>
      <c r="F49" s="752">
        <f>SUM(F33,F45)*galTOL</f>
        <v>2775084.3108000001</v>
      </c>
      <c r="G49" s="642" t="s">
        <v>519</v>
      </c>
      <c r="H49" s="200"/>
      <c r="I49" s="571"/>
      <c r="J49" s="752"/>
      <c r="K49" s="642"/>
      <c r="L49" s="569"/>
      <c r="M49" s="571"/>
      <c r="N49" s="1487"/>
      <c r="O49" s="752"/>
      <c r="P49" s="642"/>
      <c r="Q49" s="628"/>
      <c r="R49" s="692"/>
    </row>
    <row r="50" spans="1:18" s="168" customFormat="1" x14ac:dyDescent="0.2">
      <c r="A50" s="749" t="s">
        <v>378</v>
      </c>
      <c r="B50" s="793">
        <f>B44*galTOL</f>
        <v>672769.4602647617</v>
      </c>
      <c r="C50" s="642" t="s">
        <v>519</v>
      </c>
      <c r="D50" s="570"/>
      <c r="E50" s="574"/>
      <c r="F50" s="793">
        <f>F44*galTOL</f>
        <v>716292.31500000006</v>
      </c>
      <c r="G50" s="642" t="s">
        <v>519</v>
      </c>
      <c r="H50" s="200"/>
      <c r="I50" s="571"/>
      <c r="J50" s="793">
        <f>J44*galTOL</f>
        <v>598894.75844999996</v>
      </c>
      <c r="K50" s="642" t="s">
        <v>519</v>
      </c>
      <c r="L50" s="569"/>
      <c r="M50" s="571"/>
      <c r="N50" s="1487"/>
      <c r="O50" s="1309">
        <f>O44*galTOL</f>
        <v>513277.52760000003</v>
      </c>
      <c r="P50" s="642" t="s">
        <v>519</v>
      </c>
      <c r="Q50" s="628"/>
      <c r="R50" s="692"/>
    </row>
    <row r="51" spans="1:18" s="168" customFormat="1" x14ac:dyDescent="0.2">
      <c r="A51" s="614" t="s">
        <v>1123</v>
      </c>
      <c r="B51" s="751"/>
      <c r="C51" s="630"/>
      <c r="D51" s="570"/>
      <c r="E51" s="574"/>
      <c r="F51" s="578"/>
      <c r="H51" s="200"/>
      <c r="I51" s="571"/>
      <c r="J51" s="578"/>
      <c r="L51" s="569"/>
      <c r="M51" s="571"/>
      <c r="N51" s="1487"/>
      <c r="O51" s="578"/>
      <c r="Q51" s="628"/>
      <c r="R51" s="692"/>
    </row>
    <row r="52" spans="1:18" s="168" customFormat="1" ht="13.5" x14ac:dyDescent="0.2">
      <c r="A52" s="749" t="s">
        <v>599</v>
      </c>
      <c r="B52" s="750">
        <f>B48*efdistillate/1000000</f>
        <v>121021.92310677629</v>
      </c>
      <c r="C52" s="642" t="s">
        <v>168</v>
      </c>
      <c r="D52" s="570"/>
      <c r="E52" s="574"/>
      <c r="F52" s="751">
        <f>F48*efdistillate/1000000</f>
        <v>112677.71535138466</v>
      </c>
      <c r="G52" s="642" t="s">
        <v>168</v>
      </c>
      <c r="H52" s="200"/>
      <c r="I52" s="571"/>
      <c r="J52" s="751">
        <f>J48*efdistillate/1000000</f>
        <v>127849.54013007873</v>
      </c>
      <c r="K52" s="642" t="s">
        <v>168</v>
      </c>
      <c r="L52" s="569"/>
      <c r="M52" s="571"/>
      <c r="N52" s="1487"/>
      <c r="O52" s="1306">
        <f>O29*efgdistillate*10^-6+O38*efgdistillate*10^-6</f>
        <v>139818.79230405646</v>
      </c>
      <c r="P52" s="642" t="s">
        <v>168</v>
      </c>
      <c r="Q52" s="628"/>
      <c r="R52" s="692"/>
    </row>
    <row r="53" spans="1:18" s="168" customFormat="1" ht="13.5" x14ac:dyDescent="0.2">
      <c r="A53" s="749" t="s">
        <v>378</v>
      </c>
      <c r="B53" s="809">
        <f>B44*efCNGmobile*10^-6</f>
        <v>72.457405943371029</v>
      </c>
      <c r="C53" s="642" t="s">
        <v>168</v>
      </c>
      <c r="D53" s="570"/>
      <c r="E53" s="574"/>
      <c r="F53" s="809">
        <f>F44*efCNGmobile*10^-6</f>
        <v>77.144826136500001</v>
      </c>
      <c r="G53" s="642" t="s">
        <v>168</v>
      </c>
      <c r="H53" s="200"/>
      <c r="I53" s="571"/>
      <c r="J53" s="809">
        <f>J44*efCNGmobile*10^-6</f>
        <v>64.501085725994997</v>
      </c>
      <c r="K53" s="642" t="s">
        <v>168</v>
      </c>
      <c r="L53" s="569"/>
      <c r="M53" s="571"/>
      <c r="N53" s="1487"/>
      <c r="O53" s="1306">
        <f>O31*efgLPG*10^-6+O31+O39*efgLPG*10^-6</f>
        <v>4078.4021441600548</v>
      </c>
      <c r="P53" s="642" t="s">
        <v>168</v>
      </c>
      <c r="Q53" s="628"/>
      <c r="R53" s="692"/>
    </row>
    <row r="54" spans="1:18" s="168" customFormat="1" ht="13.5" x14ac:dyDescent="0.2">
      <c r="A54" s="749" t="s">
        <v>349</v>
      </c>
      <c r="B54" s="753"/>
      <c r="C54" s="642"/>
      <c r="D54" s="570"/>
      <c r="E54" s="574"/>
      <c r="F54" s="809"/>
      <c r="G54" s="642"/>
      <c r="H54" s="200"/>
      <c r="I54" s="571"/>
      <c r="J54" s="809"/>
      <c r="K54" s="642"/>
      <c r="L54" s="569"/>
      <c r="M54" s="571"/>
      <c r="N54" s="1487"/>
      <c r="O54" s="1306">
        <f>O30*efggasoline15*10^-6</f>
        <v>6526.5271957923878</v>
      </c>
      <c r="P54" s="642" t="s">
        <v>168</v>
      </c>
      <c r="Q54" s="628"/>
      <c r="R54" s="692"/>
    </row>
    <row r="55" spans="1:18" s="168" customFormat="1" x14ac:dyDescent="0.2">
      <c r="A55" s="749"/>
      <c r="B55" s="753"/>
      <c r="C55" s="642"/>
      <c r="D55" s="570"/>
      <c r="E55" s="574"/>
      <c r="F55" s="809"/>
      <c r="G55" s="642"/>
      <c r="H55" s="200"/>
      <c r="I55" s="571"/>
      <c r="J55" s="809"/>
      <c r="K55" s="642"/>
      <c r="L55" s="569"/>
      <c r="M55" s="571"/>
      <c r="N55" s="1487"/>
      <c r="O55" s="1306"/>
      <c r="P55" s="642"/>
      <c r="Q55" s="628"/>
      <c r="R55" s="692"/>
    </row>
    <row r="56" spans="1:18" s="168" customFormat="1" ht="13.5" x14ac:dyDescent="0.2">
      <c r="A56" s="738" t="s">
        <v>1127</v>
      </c>
      <c r="B56" s="636">
        <f>SUM(B52:B53)</f>
        <v>121094.38051271965</v>
      </c>
      <c r="C56" s="630" t="s">
        <v>940</v>
      </c>
      <c r="D56" s="756"/>
      <c r="E56" s="755"/>
      <c r="F56" s="748">
        <f>SUM(F52:F53)</f>
        <v>112754.86017752116</v>
      </c>
      <c r="G56" s="630" t="s">
        <v>940</v>
      </c>
      <c r="H56" s="200"/>
      <c r="I56" s="571"/>
      <c r="J56" s="748">
        <f>SUM(J52:J53)</f>
        <v>127914.04121580473</v>
      </c>
      <c r="K56" s="630" t="s">
        <v>940</v>
      </c>
      <c r="L56" s="569"/>
      <c r="M56" s="571"/>
      <c r="N56" s="1487"/>
      <c r="O56" s="1307">
        <f>SUM(O52:O54)</f>
        <v>150423.72164400891</v>
      </c>
      <c r="P56" s="630" t="s">
        <v>940</v>
      </c>
      <c r="Q56" s="628"/>
      <c r="R56" s="692"/>
    </row>
    <row r="57" spans="1:18" s="168" customFormat="1" ht="13.5" x14ac:dyDescent="0.2">
      <c r="A57" s="614" t="s">
        <v>2062</v>
      </c>
      <c r="B57" s="751"/>
      <c r="C57" s="630"/>
      <c r="D57" s="570"/>
      <c r="E57" s="574"/>
      <c r="F57" s="751"/>
      <c r="G57" s="642"/>
      <c r="H57" s="200"/>
      <c r="I57" s="571"/>
      <c r="J57" s="569"/>
      <c r="K57" s="569"/>
      <c r="L57" s="569"/>
      <c r="M57" s="571"/>
      <c r="N57" s="1487"/>
      <c r="O57" s="587">
        <f>O32*Electricity!N8/1000</f>
        <v>438.82085663999999</v>
      </c>
      <c r="P57" s="630" t="s">
        <v>940</v>
      </c>
      <c r="Q57" s="628" t="s">
        <v>2061</v>
      </c>
      <c r="R57" s="692"/>
    </row>
    <row r="58" spans="1:18" s="168" customFormat="1" x14ac:dyDescent="0.2">
      <c r="A58" s="622"/>
      <c r="B58" s="751"/>
      <c r="C58" s="630"/>
      <c r="D58" s="570"/>
      <c r="E58" s="574"/>
      <c r="F58" s="751"/>
      <c r="G58" s="642"/>
      <c r="H58" s="200"/>
      <c r="I58" s="571"/>
      <c r="J58" s="569"/>
      <c r="K58" s="569"/>
      <c r="L58" s="569"/>
      <c r="M58" s="571"/>
      <c r="N58" s="1487"/>
      <c r="O58" s="628"/>
      <c r="P58" s="628"/>
      <c r="Q58" s="628"/>
      <c r="R58" s="692"/>
    </row>
    <row r="59" spans="1:18" s="91" customFormat="1" x14ac:dyDescent="0.2">
      <c r="A59" s="741" t="s">
        <v>234</v>
      </c>
      <c r="B59" s="794"/>
      <c r="C59" s="248"/>
      <c r="D59" s="248"/>
      <c r="E59" s="743"/>
      <c r="F59" s="810"/>
      <c r="G59" s="248"/>
      <c r="H59" s="361"/>
      <c r="I59" s="743"/>
      <c r="J59" s="1268"/>
      <c r="K59" s="1268"/>
      <c r="L59" s="1268"/>
      <c r="M59" s="743"/>
      <c r="N59" s="1691"/>
      <c r="O59" s="1278"/>
      <c r="P59" s="1278"/>
      <c r="Q59" s="1278"/>
      <c r="R59" s="1279"/>
    </row>
    <row r="60" spans="1:18" x14ac:dyDescent="0.2">
      <c r="A60" s="1482" t="s">
        <v>210</v>
      </c>
      <c r="H60" s="296"/>
    </row>
    <row r="61" spans="1:18" x14ac:dyDescent="0.2">
      <c r="A61" s="614" t="s">
        <v>2264</v>
      </c>
      <c r="B61" s="1697">
        <v>2286053.7140061758</v>
      </c>
      <c r="C61" s="224" t="s">
        <v>757</v>
      </c>
      <c r="D61" s="2428" t="s">
        <v>2081</v>
      </c>
      <c r="E61" s="574" t="s">
        <v>2315</v>
      </c>
      <c r="F61" s="1697">
        <v>2277691.5246903403</v>
      </c>
      <c r="G61" s="5" t="s">
        <v>757</v>
      </c>
      <c r="H61" s="2428" t="s">
        <v>2081</v>
      </c>
      <c r="I61" s="692" t="s">
        <v>2297</v>
      </c>
      <c r="J61" s="1697">
        <v>2274528.7113268888</v>
      </c>
      <c r="K61" s="5" t="s">
        <v>757</v>
      </c>
      <c r="L61" s="2428" t="s">
        <v>2081</v>
      </c>
      <c r="M61" s="692" t="s">
        <v>2291</v>
      </c>
      <c r="N61" s="1693" t="s">
        <v>53</v>
      </c>
      <c r="O61" s="1697">
        <v>2265886.4260681556</v>
      </c>
      <c r="P61" s="5" t="s">
        <v>757</v>
      </c>
      <c r="Q61" s="628" t="s">
        <v>2081</v>
      </c>
      <c r="R61" s="692" t="s">
        <v>2281</v>
      </c>
    </row>
    <row r="62" spans="1:18" x14ac:dyDescent="0.2">
      <c r="A62" s="614" t="s">
        <v>2262</v>
      </c>
      <c r="B62" s="1697">
        <v>290</v>
      </c>
      <c r="C62" s="224"/>
      <c r="D62" s="2428" t="s">
        <v>2081</v>
      </c>
      <c r="E62" s="692"/>
      <c r="F62" s="1697">
        <v>290</v>
      </c>
      <c r="H62" s="2428" t="s">
        <v>2081</v>
      </c>
      <c r="I62" s="692"/>
      <c r="J62" s="1697">
        <v>290</v>
      </c>
      <c r="K62" s="5"/>
      <c r="L62" s="2428" t="s">
        <v>2081</v>
      </c>
      <c r="M62" s="692"/>
      <c r="N62" s="1693"/>
      <c r="O62" s="1697">
        <v>290</v>
      </c>
      <c r="P62" s="5"/>
      <c r="Q62" s="628" t="s">
        <v>2081</v>
      </c>
      <c r="R62" s="692"/>
    </row>
    <row r="63" spans="1:18" ht="13.5" x14ac:dyDescent="0.2">
      <c r="A63" s="614" t="s">
        <v>2265</v>
      </c>
      <c r="B63" s="1697">
        <f>B61/F61*F63</f>
        <v>396661.59097678849</v>
      </c>
      <c r="C63" s="628" t="s">
        <v>2288</v>
      </c>
      <c r="D63" s="2428" t="s">
        <v>2081</v>
      </c>
      <c r="E63" s="692" t="s">
        <v>2312</v>
      </c>
      <c r="F63" s="1697">
        <v>395210.63674166007</v>
      </c>
      <c r="G63" s="2425" t="s">
        <v>2288</v>
      </c>
      <c r="H63" s="2428" t="s">
        <v>2081</v>
      </c>
      <c r="I63" s="692" t="s">
        <v>2272</v>
      </c>
      <c r="J63" s="1697">
        <v>398613.6408996926</v>
      </c>
      <c r="K63" s="2425" t="s">
        <v>2288</v>
      </c>
      <c r="L63" s="2428" t="s">
        <v>2081</v>
      </c>
      <c r="M63" s="692" t="s">
        <v>2289</v>
      </c>
      <c r="N63" s="1693"/>
      <c r="O63" s="1697">
        <v>401531.56438688713</v>
      </c>
      <c r="P63" s="2425" t="s">
        <v>2288</v>
      </c>
      <c r="Q63" s="628" t="s">
        <v>2081</v>
      </c>
      <c r="R63" s="692" t="s">
        <v>2272</v>
      </c>
    </row>
    <row r="64" spans="1:18" ht="13.5" x14ac:dyDescent="0.2">
      <c r="A64" s="614" t="s">
        <v>2266</v>
      </c>
      <c r="B64" s="1697">
        <f>B61/F61*F64</f>
        <v>4607.1685816025438</v>
      </c>
      <c r="C64" s="628" t="s">
        <v>2288</v>
      </c>
      <c r="D64" s="2428" t="s">
        <v>2081</v>
      </c>
      <c r="E64" s="692" t="s">
        <v>2312</v>
      </c>
      <c r="F64" s="1697">
        <v>4590.3159522643582</v>
      </c>
      <c r="G64" s="2425" t="s">
        <v>2288</v>
      </c>
      <c r="H64" s="2428" t="s">
        <v>2081</v>
      </c>
      <c r="I64" s="692" t="s">
        <v>2273</v>
      </c>
      <c r="J64" s="1697">
        <v>4281.7388697780843</v>
      </c>
      <c r="K64" s="2425" t="s">
        <v>2288</v>
      </c>
      <c r="L64" s="2428" t="s">
        <v>2081</v>
      </c>
      <c r="M64" s="692" t="s">
        <v>2290</v>
      </c>
      <c r="N64" s="1693"/>
      <c r="O64" s="1697">
        <v>3574.2620298266811</v>
      </c>
      <c r="P64" s="2425" t="s">
        <v>2288</v>
      </c>
      <c r="Q64" s="628" t="s">
        <v>2081</v>
      </c>
      <c r="R64" s="692" t="s">
        <v>2273</v>
      </c>
    </row>
    <row r="65" spans="1:20" x14ac:dyDescent="0.2">
      <c r="A65" s="177"/>
      <c r="B65" s="915"/>
      <c r="C65" s="628"/>
      <c r="D65" s="2428"/>
      <c r="E65" s="692"/>
      <c r="F65" s="807"/>
      <c r="G65" s="2425"/>
      <c r="H65" s="2428"/>
      <c r="I65" s="692"/>
      <c r="J65" s="915"/>
      <c r="K65" s="2425"/>
      <c r="L65" s="2428"/>
      <c r="M65" s="692"/>
      <c r="N65" s="1693"/>
      <c r="O65" s="915"/>
      <c r="Q65" s="628"/>
      <c r="R65" s="692"/>
    </row>
    <row r="66" spans="1:20" ht="13.5" x14ac:dyDescent="0.2">
      <c r="A66" s="614" t="s">
        <v>2267</v>
      </c>
      <c r="B66" s="1697">
        <f>SUM(B63:B64)</f>
        <v>401268.75955839106</v>
      </c>
      <c r="C66" s="604" t="s">
        <v>1020</v>
      </c>
      <c r="D66" s="2428"/>
      <c r="E66" s="1277" t="s">
        <v>2314</v>
      </c>
      <c r="F66" s="1697">
        <f>SUM(F63:F64)</f>
        <v>399800.95269392442</v>
      </c>
      <c r="G66" s="2426" t="s">
        <v>1020</v>
      </c>
      <c r="H66" s="2428"/>
      <c r="I66" s="692"/>
      <c r="J66" s="1697">
        <f>SUM(J63:J64)</f>
        <v>402895.37976947066</v>
      </c>
      <c r="K66" s="2426" t="s">
        <v>1020</v>
      </c>
      <c r="L66" s="2428"/>
      <c r="M66" s="692"/>
      <c r="N66" s="1693"/>
      <c r="O66" s="1697">
        <f>SUM(O63:O64)</f>
        <v>405105.82641671383</v>
      </c>
      <c r="P66" s="2426" t="s">
        <v>1020</v>
      </c>
      <c r="Q66" s="628"/>
      <c r="R66" s="692"/>
    </row>
    <row r="67" spans="1:20" x14ac:dyDescent="0.2">
      <c r="A67" s="614"/>
      <c r="B67" s="915"/>
      <c r="C67" s="224"/>
      <c r="D67" s="2428"/>
      <c r="E67" s="692"/>
      <c r="F67" s="807"/>
      <c r="H67" s="2428"/>
      <c r="I67" s="692"/>
      <c r="J67" s="915"/>
      <c r="K67" s="5"/>
      <c r="L67" s="2428"/>
      <c r="M67" s="692"/>
      <c r="N67" s="1693"/>
      <c r="O67" s="915"/>
      <c r="P67" s="5"/>
      <c r="Q67" s="628"/>
      <c r="R67" s="692"/>
    </row>
    <row r="68" spans="1:20" x14ac:dyDescent="0.2">
      <c r="A68" s="614" t="s">
        <v>2268</v>
      </c>
      <c r="B68" s="1697">
        <v>1151381.4464390981</v>
      </c>
      <c r="C68" s="224" t="s">
        <v>757</v>
      </c>
      <c r="D68" s="2428" t="s">
        <v>2081</v>
      </c>
      <c r="E68" s="692" t="s">
        <v>2316</v>
      </c>
      <c r="F68" s="1697">
        <v>1151445.5672354677</v>
      </c>
      <c r="G68" s="5" t="s">
        <v>757</v>
      </c>
      <c r="H68" s="2428" t="s">
        <v>2081</v>
      </c>
      <c r="I68" s="692" t="s">
        <v>2298</v>
      </c>
      <c r="J68" s="1697">
        <v>1151086.1500530154</v>
      </c>
      <c r="K68" s="5" t="s">
        <v>757</v>
      </c>
      <c r="L68" s="2428" t="s">
        <v>2081</v>
      </c>
      <c r="M68" s="692" t="s">
        <v>2292</v>
      </c>
      <c r="N68" s="1693"/>
      <c r="O68" s="1697">
        <v>1151381.4464390981</v>
      </c>
      <c r="P68" s="5" t="s">
        <v>757</v>
      </c>
      <c r="Q68" s="628" t="s">
        <v>2081</v>
      </c>
      <c r="R68" s="692" t="s">
        <v>2282</v>
      </c>
    </row>
    <row r="69" spans="1:20" x14ac:dyDescent="0.2">
      <c r="A69" s="614" t="s">
        <v>2262</v>
      </c>
      <c r="B69" s="1697">
        <v>290</v>
      </c>
      <c r="C69" s="224"/>
      <c r="D69" s="2428" t="s">
        <v>2081</v>
      </c>
      <c r="E69" s="692"/>
      <c r="F69" s="1697">
        <v>290</v>
      </c>
      <c r="H69" s="2428" t="s">
        <v>2081</v>
      </c>
      <c r="I69" s="692"/>
      <c r="J69" s="1697">
        <v>290</v>
      </c>
      <c r="K69" s="5"/>
      <c r="L69" s="2428" t="s">
        <v>2081</v>
      </c>
      <c r="M69" s="692"/>
      <c r="N69" s="1693"/>
      <c r="O69" s="1697">
        <v>290</v>
      </c>
      <c r="P69" s="5"/>
      <c r="Q69" s="628" t="s">
        <v>2081</v>
      </c>
      <c r="R69" s="692"/>
    </row>
    <row r="70" spans="1:20" ht="13.5" x14ac:dyDescent="0.2">
      <c r="A70" s="614" t="s">
        <v>2269</v>
      </c>
      <c r="B70" s="1697">
        <f>B68/F68*F70</f>
        <v>559485.42626799049</v>
      </c>
      <c r="C70" s="628" t="s">
        <v>2288</v>
      </c>
      <c r="D70" s="2428" t="s">
        <v>2081</v>
      </c>
      <c r="E70" s="692" t="s">
        <v>2312</v>
      </c>
      <c r="F70" s="1697">
        <v>559516.58418807026</v>
      </c>
      <c r="G70" s="2425" t="s">
        <v>2288</v>
      </c>
      <c r="H70" s="2428" t="s">
        <v>2081</v>
      </c>
      <c r="I70" s="692" t="s">
        <v>2295</v>
      </c>
      <c r="J70" s="1697">
        <v>571484.18231167225</v>
      </c>
      <c r="K70" s="2425" t="s">
        <v>2288</v>
      </c>
      <c r="L70" s="2428" t="s">
        <v>2081</v>
      </c>
      <c r="M70" s="692" t="s">
        <v>2293</v>
      </c>
      <c r="N70" s="1693"/>
      <c r="O70" s="1697">
        <v>594345.81629044062</v>
      </c>
      <c r="P70" s="626" t="s">
        <v>2288</v>
      </c>
      <c r="Q70" s="628" t="s">
        <v>2081</v>
      </c>
      <c r="R70" s="692" t="s">
        <v>2274</v>
      </c>
    </row>
    <row r="71" spans="1:20" ht="13.5" x14ac:dyDescent="0.2">
      <c r="A71" s="614" t="s">
        <v>2270</v>
      </c>
      <c r="B71" s="1697">
        <f>B68/F68*F71</f>
        <v>80.826436254204111</v>
      </c>
      <c r="C71" s="628" t="s">
        <v>2288</v>
      </c>
      <c r="D71" s="2428" t="s">
        <v>2081</v>
      </c>
      <c r="E71" s="692" t="s">
        <v>2312</v>
      </c>
      <c r="F71" s="1697">
        <v>80.83093750396489</v>
      </c>
      <c r="G71" s="2425" t="s">
        <v>2288</v>
      </c>
      <c r="H71" s="2428" t="s">
        <v>2081</v>
      </c>
      <c r="I71" s="692" t="s">
        <v>2296</v>
      </c>
      <c r="J71" s="1697">
        <v>81.815323110341581</v>
      </c>
      <c r="K71" s="2425" t="s">
        <v>2288</v>
      </c>
      <c r="L71" s="2428" t="s">
        <v>2081</v>
      </c>
      <c r="M71" s="692" t="s">
        <v>2294</v>
      </c>
      <c r="N71" s="1693"/>
      <c r="O71" s="1697">
        <v>84.11675857457098</v>
      </c>
      <c r="P71" s="626" t="s">
        <v>2288</v>
      </c>
      <c r="Q71" s="628" t="s">
        <v>2081</v>
      </c>
      <c r="R71" s="692" t="s">
        <v>2275</v>
      </c>
    </row>
    <row r="72" spans="1:20" x14ac:dyDescent="0.2">
      <c r="A72" s="177"/>
      <c r="B72" s="915"/>
      <c r="C72" s="628"/>
      <c r="D72" s="2428"/>
      <c r="E72" s="692"/>
      <c r="F72" s="807"/>
      <c r="G72" s="2425"/>
      <c r="H72" s="2428"/>
      <c r="I72" s="692"/>
      <c r="J72" s="915"/>
      <c r="K72" s="2425"/>
      <c r="L72" s="2428"/>
      <c r="M72" s="692"/>
      <c r="N72" s="1693"/>
      <c r="O72" s="915"/>
      <c r="Q72" s="628"/>
      <c r="R72" s="692"/>
    </row>
    <row r="73" spans="1:20" ht="13.5" x14ac:dyDescent="0.2">
      <c r="A73" s="614" t="s">
        <v>2271</v>
      </c>
      <c r="B73" s="1697">
        <f>SUM(B70:B71)</f>
        <v>559566.25270424469</v>
      </c>
      <c r="C73" s="604" t="s">
        <v>1020</v>
      </c>
      <c r="D73" s="2428"/>
      <c r="E73" s="1277" t="s">
        <v>2314</v>
      </c>
      <c r="F73" s="1697">
        <f>SUM(F70:F71)</f>
        <v>559597.41512557422</v>
      </c>
      <c r="G73" s="2426" t="s">
        <v>1020</v>
      </c>
      <c r="H73" s="2428"/>
      <c r="I73" s="692"/>
      <c r="J73" s="1697">
        <f>SUM(J70:J71)</f>
        <v>571565.99763478257</v>
      </c>
      <c r="K73" s="2426" t="s">
        <v>1020</v>
      </c>
      <c r="L73" s="2428"/>
      <c r="M73" s="692"/>
      <c r="N73" s="1693"/>
      <c r="O73" s="1697">
        <f>SUM(O70:O71)</f>
        <v>594429.93304901524</v>
      </c>
      <c r="P73" s="2426" t="s">
        <v>1020</v>
      </c>
      <c r="Q73" s="628"/>
      <c r="R73" s="692"/>
    </row>
    <row r="74" spans="1:20" x14ac:dyDescent="0.2">
      <c r="A74"/>
      <c r="B74"/>
      <c r="C74"/>
      <c r="D74"/>
      <c r="E74"/>
      <c r="F74"/>
      <c r="G74"/>
      <c r="H74"/>
      <c r="I74"/>
      <c r="J74"/>
      <c r="K74"/>
      <c r="L74"/>
      <c r="M74"/>
      <c r="N74"/>
      <c r="O74"/>
      <c r="P74"/>
      <c r="Q74"/>
      <c r="R74"/>
    </row>
    <row r="75" spans="1:20" x14ac:dyDescent="0.2">
      <c r="A75"/>
      <c r="B75"/>
      <c r="C75"/>
      <c r="D75"/>
      <c r="E75"/>
      <c r="F75"/>
      <c r="G75"/>
      <c r="H75"/>
      <c r="I75"/>
      <c r="J75"/>
      <c r="K75"/>
      <c r="L75"/>
      <c r="M75"/>
      <c r="N75"/>
      <c r="O75"/>
      <c r="P75"/>
      <c r="Q75"/>
      <c r="R75"/>
    </row>
    <row r="76" spans="1:20" s="169" customFormat="1" ht="15" x14ac:dyDescent="0.2">
      <c r="A76" s="1685" t="s">
        <v>1019</v>
      </c>
      <c r="B76" s="1555">
        <f>SUM(B14,B23,B56,B66,B73)</f>
        <v>5534334.0732862893</v>
      </c>
      <c r="C76" s="1518" t="s">
        <v>207</v>
      </c>
      <c r="D76" s="1686"/>
      <c r="E76" s="1552"/>
      <c r="F76" s="1555">
        <f>SUM(F14,F23,F56,F66,F73)</f>
        <v>6026116.1640565554</v>
      </c>
      <c r="G76" s="1518" t="s">
        <v>207</v>
      </c>
      <c r="H76" s="1687"/>
      <c r="I76" s="1688"/>
      <c r="J76" s="1555">
        <f>SUM(J14,J23,J56,J66,J73)</f>
        <v>6002932.6092658751</v>
      </c>
      <c r="K76" s="1518" t="s">
        <v>207</v>
      </c>
      <c r="L76" s="1553"/>
      <c r="M76" s="1688"/>
      <c r="N76" s="1694"/>
      <c r="O76" s="1555">
        <f>SUM(O14,O23,O56,O66,O73)</f>
        <v>5998062.3514738064</v>
      </c>
      <c r="P76" s="1518" t="s">
        <v>207</v>
      </c>
      <c r="Q76" s="1689"/>
      <c r="R76" s="1690"/>
      <c r="S76"/>
      <c r="T76"/>
    </row>
    <row r="78" spans="1:20" s="169" customFormat="1" x14ac:dyDescent="0.2">
      <c r="A78" s="116"/>
      <c r="B78" s="777"/>
      <c r="C78" s="423"/>
      <c r="D78" s="423"/>
      <c r="E78" s="574"/>
      <c r="F78" s="2343"/>
      <c r="G78" s="5"/>
      <c r="I78" s="607"/>
      <c r="J78" s="590"/>
      <c r="K78" s="590"/>
      <c r="L78" s="590"/>
      <c r="M78" s="607"/>
      <c r="N78" s="1490"/>
      <c r="O78" s="626"/>
      <c r="P78" s="626"/>
      <c r="Q78" s="626"/>
      <c r="R78" s="1280"/>
      <c r="S78"/>
      <c r="T78"/>
    </row>
    <row r="79" spans="1:20" s="169" customFormat="1" x14ac:dyDescent="0.2">
      <c r="A79" s="116"/>
      <c r="B79" s="777"/>
      <c r="C79" s="423"/>
      <c r="D79" s="423"/>
      <c r="E79" s="574"/>
      <c r="F79" s="795"/>
      <c r="G79" s="5"/>
      <c r="I79" s="607"/>
      <c r="J79" s="590"/>
      <c r="K79" s="590"/>
      <c r="L79" s="590"/>
      <c r="M79" s="607"/>
      <c r="N79" s="1490"/>
      <c r="O79" s="626"/>
      <c r="P79" s="626"/>
      <c r="Q79" s="626"/>
      <c r="R79" s="1280"/>
      <c r="S79"/>
      <c r="T79"/>
    </row>
    <row r="80" spans="1:20" x14ac:dyDescent="0.2">
      <c r="B80" s="876"/>
    </row>
    <row r="81" spans="1:20" x14ac:dyDescent="0.2">
      <c r="B81" s="876"/>
      <c r="F81" s="927"/>
    </row>
    <row r="88" spans="1:20" s="5" customFormat="1" x14ac:dyDescent="0.2">
      <c r="A88" s="116"/>
      <c r="B88" s="777"/>
      <c r="C88" s="423"/>
      <c r="D88" s="423"/>
      <c r="E88" s="574"/>
      <c r="F88" s="795"/>
      <c r="H88" s="169"/>
      <c r="I88" s="607"/>
      <c r="J88" s="590"/>
      <c r="K88" s="590"/>
      <c r="L88" s="590"/>
      <c r="M88" s="607"/>
      <c r="N88" s="1490"/>
      <c r="O88" s="626"/>
      <c r="P88" s="626"/>
      <c r="Q88" s="626"/>
      <c r="R88" s="1280"/>
      <c r="S88"/>
      <c r="T88"/>
    </row>
    <row r="89" spans="1:20" s="5" customFormat="1" ht="12.75" x14ac:dyDescent="0.2">
      <c r="A89" s="742"/>
      <c r="B89" s="777"/>
      <c r="C89" s="423"/>
      <c r="D89" s="423"/>
      <c r="E89" s="574"/>
      <c r="F89" s="795"/>
      <c r="H89" s="169"/>
      <c r="I89" s="607"/>
      <c r="J89" s="590"/>
      <c r="K89" s="590"/>
      <c r="L89" s="590"/>
      <c r="M89" s="607"/>
      <c r="N89" s="1490"/>
      <c r="O89" s="626"/>
      <c r="P89" s="626"/>
      <c r="Q89" s="626"/>
      <c r="R89" s="1280"/>
      <c r="S89"/>
      <c r="T89"/>
    </row>
    <row r="90" spans="1:20" s="5" customFormat="1" ht="12.75" x14ac:dyDescent="0.2">
      <c r="A90" s="742"/>
      <c r="B90" s="777"/>
      <c r="C90" s="423"/>
      <c r="D90" s="423"/>
      <c r="E90" s="574"/>
      <c r="F90" s="795"/>
      <c r="H90" s="169"/>
      <c r="I90" s="607"/>
      <c r="J90" s="590"/>
      <c r="K90" s="590"/>
      <c r="L90" s="590"/>
      <c r="M90" s="607"/>
      <c r="N90" s="1490"/>
      <c r="O90" s="626"/>
      <c r="P90" s="626"/>
      <c r="Q90" s="626"/>
      <c r="R90" s="1280"/>
      <c r="S90"/>
      <c r="T90"/>
    </row>
    <row r="91" spans="1:20" s="5" customFormat="1" ht="12.75" x14ac:dyDescent="0.2">
      <c r="A91" s="742"/>
      <c r="B91" s="777"/>
      <c r="C91" s="423"/>
      <c r="D91" s="423"/>
      <c r="E91" s="574"/>
      <c r="F91" s="795"/>
      <c r="H91" s="169"/>
      <c r="I91" s="607"/>
      <c r="J91" s="590"/>
      <c r="K91" s="590"/>
      <c r="L91" s="590"/>
      <c r="M91" s="607"/>
      <c r="N91" s="1490"/>
      <c r="O91" s="626"/>
      <c r="P91" s="626"/>
      <c r="Q91" s="626"/>
      <c r="R91" s="1280"/>
      <c r="S91"/>
      <c r="T91"/>
    </row>
    <row r="92" spans="1:20" s="5" customFormat="1" ht="12.75" x14ac:dyDescent="0.2">
      <c r="A92" s="742"/>
      <c r="B92" s="777"/>
      <c r="C92" s="423"/>
      <c r="D92" s="423"/>
      <c r="E92" s="574"/>
      <c r="F92" s="795"/>
      <c r="H92" s="169"/>
      <c r="I92" s="607"/>
      <c r="J92" s="590"/>
      <c r="K92" s="590"/>
      <c r="L92" s="590"/>
      <c r="M92" s="607"/>
      <c r="N92" s="1490"/>
      <c r="O92" s="626"/>
      <c r="P92" s="626"/>
      <c r="Q92" s="626"/>
      <c r="R92" s="1280"/>
      <c r="S92"/>
      <c r="T92"/>
    </row>
    <row r="93" spans="1:20" s="5" customFormat="1" ht="12.75" x14ac:dyDescent="0.2">
      <c r="A93" s="742"/>
      <c r="B93" s="777"/>
      <c r="C93" s="423"/>
      <c r="D93" s="423"/>
      <c r="E93" s="574"/>
      <c r="F93" s="795"/>
      <c r="H93" s="169"/>
      <c r="I93" s="607"/>
      <c r="J93" s="590"/>
      <c r="K93" s="590"/>
      <c r="L93" s="590"/>
      <c r="M93" s="607"/>
      <c r="N93" s="1490"/>
      <c r="O93" s="626"/>
      <c r="P93" s="626"/>
      <c r="Q93" s="626"/>
      <c r="R93" s="1280"/>
      <c r="S93"/>
      <c r="T93"/>
    </row>
    <row r="94" spans="1:20" s="5" customFormat="1" ht="12.75" x14ac:dyDescent="0.2">
      <c r="A94" s="742"/>
      <c r="B94" s="777"/>
      <c r="C94" s="423"/>
      <c r="D94" s="423"/>
      <c r="E94" s="574"/>
      <c r="F94" s="795"/>
      <c r="H94" s="169"/>
      <c r="I94" s="607"/>
      <c r="J94" s="590"/>
      <c r="K94" s="590"/>
      <c r="L94" s="590"/>
      <c r="M94" s="607"/>
      <c r="N94" s="1490"/>
      <c r="O94" s="626"/>
      <c r="P94" s="626"/>
      <c r="Q94" s="626"/>
      <c r="R94" s="1280"/>
      <c r="S94"/>
      <c r="T94"/>
    </row>
    <row r="95" spans="1:20" s="5" customFormat="1" ht="12.75" x14ac:dyDescent="0.2">
      <c r="A95" s="742"/>
      <c r="B95" s="777"/>
      <c r="C95" s="423"/>
      <c r="D95" s="423"/>
      <c r="E95" s="574"/>
      <c r="F95" s="795"/>
      <c r="H95" s="169"/>
      <c r="I95" s="607"/>
      <c r="J95" s="590"/>
      <c r="K95" s="590"/>
      <c r="L95" s="590"/>
      <c r="M95" s="607"/>
      <c r="N95" s="1490"/>
      <c r="O95" s="626"/>
      <c r="P95" s="626"/>
      <c r="Q95" s="626"/>
      <c r="R95" s="1280"/>
      <c r="S95"/>
      <c r="T95"/>
    </row>
    <row r="96" spans="1:20" s="5" customFormat="1" ht="12.75" x14ac:dyDescent="0.2">
      <c r="A96" s="742"/>
      <c r="B96" s="777"/>
      <c r="C96" s="423"/>
      <c r="D96" s="423"/>
      <c r="E96" s="574"/>
      <c r="F96" s="811"/>
      <c r="H96" s="169"/>
      <c r="I96" s="607"/>
      <c r="J96" s="590"/>
      <c r="K96" s="590"/>
      <c r="L96" s="590"/>
      <c r="M96" s="607"/>
      <c r="N96" s="1490"/>
      <c r="O96" s="626"/>
      <c r="P96" s="626"/>
      <c r="Q96" s="626"/>
      <c r="R96" s="1280"/>
      <c r="S96"/>
      <c r="T96"/>
    </row>
    <row r="97" spans="1:20" s="5" customFormat="1" x14ac:dyDescent="0.2">
      <c r="A97" s="116"/>
      <c r="B97" s="777"/>
      <c r="C97" s="423"/>
      <c r="D97" s="423"/>
      <c r="E97" s="574"/>
      <c r="F97" s="795"/>
      <c r="H97" s="169"/>
      <c r="I97" s="607"/>
      <c r="J97" s="590"/>
      <c r="K97" s="590"/>
      <c r="L97" s="590"/>
      <c r="M97" s="607"/>
      <c r="N97" s="1490"/>
      <c r="O97" s="626"/>
      <c r="P97" s="626"/>
      <c r="Q97" s="626"/>
      <c r="R97" s="1280"/>
      <c r="S97"/>
      <c r="T97"/>
    </row>
  </sheetData>
  <customSheetViews>
    <customSheetView guid="{9BEC6399-AE85-4D88-8FBA-3674E2F30307}">
      <pane xSplit="1" topLeftCell="B1" activePane="topRight" state="frozen"/>
      <selection pane="topRight" activeCell="D19" sqref="D19"/>
      <pageMargins left="0.7" right="0.7" top="0.75" bottom="0.75" header="0.3" footer="0.3"/>
      <pageSetup orientation="portrait" r:id="rId1"/>
    </customSheetView>
    <customSheetView guid="{0347A67A-6027-4907-965C-6EA2A8295536}" topLeftCell="A7">
      <pane xSplit="1" topLeftCell="F1" activePane="topRight" state="frozen"/>
      <selection pane="topRight" activeCell="F34" sqref="F34"/>
      <pageMargins left="0.7" right="0.7" top="0.75" bottom="0.75" header="0.3" footer="0.3"/>
      <pageSetup orientation="portrait" r:id="rId2"/>
    </customSheetView>
    <customSheetView guid="{15CC7F3D-99AB-49C1-AC00-E04D3FE3FBC1}">
      <pane xSplit="1" ySplit="3" topLeftCell="B16" activePane="bottomRight" state="frozen"/>
      <selection pane="bottomRight" activeCell="H48" sqref="H48"/>
      <pageMargins left="0.7" right="0.7" top="0.75" bottom="0.75" header="0.3" footer="0.3"/>
      <pageSetup orientation="portrait" r:id="rId3"/>
    </customSheetView>
  </customSheetViews>
  <mergeCells count="4">
    <mergeCell ref="F1:I1"/>
    <mergeCell ref="B1:E1"/>
    <mergeCell ref="J1:M1"/>
    <mergeCell ref="O1:R1"/>
  </mergeCells>
  <hyperlinks>
    <hyperlink ref="N41" display="http://www.soundtransit.org/x13832.xml"/>
  </hyperlinks>
  <pageMargins left="0.7" right="0.7" top="0.75" bottom="0.75" header="0.3" footer="0.3"/>
  <pageSetup orientation="portrait"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8"/>
  </sheetPr>
  <dimension ref="A1:W136"/>
  <sheetViews>
    <sheetView showFormulas="1" topLeftCell="A10" workbookViewId="0">
      <selection activeCell="U59" sqref="U59"/>
    </sheetView>
  </sheetViews>
  <sheetFormatPr defaultColWidth="8.85546875" defaultRowHeight="12" x14ac:dyDescent="0.2"/>
  <cols>
    <col min="1" max="1" width="46.5703125" style="2145" customWidth="1"/>
    <col min="2" max="2" width="12.140625" style="219" customWidth="1"/>
    <col min="3" max="3" width="12.140625" style="2047" customWidth="1"/>
    <col min="4" max="4" width="12.140625" style="116" customWidth="1"/>
    <col min="5" max="5" width="10.85546875" style="601" customWidth="1"/>
    <col min="6" max="6" width="9.42578125" style="366" customWidth="1"/>
    <col min="7" max="7" width="10.85546875" style="366" customWidth="1"/>
    <col min="8" max="8" width="13.5703125" style="582" customWidth="1"/>
    <col min="9" max="9" width="11.7109375" style="675" customWidth="1"/>
    <col min="10" max="10" width="8.85546875" style="675" customWidth="1"/>
    <col min="11" max="11" width="8" style="582" bestFit="1" customWidth="1"/>
    <col min="12" max="12" width="12.42578125" style="178" customWidth="1"/>
    <col min="13" max="13" width="9.85546875" style="366" customWidth="1"/>
    <col min="14" max="14" width="11.85546875" style="366" customWidth="1"/>
    <col min="15" max="15" width="10.28515625" style="582" customWidth="1"/>
    <col min="16" max="16" width="12.42578125" bestFit="1" customWidth="1"/>
    <col min="18" max="18" width="22.140625" style="1" customWidth="1"/>
    <col min="19" max="19" width="13.5703125" bestFit="1" customWidth="1"/>
    <col min="21" max="21" width="11.140625" style="1" customWidth="1"/>
    <col min="22" max="22" width="9.7109375" style="1" customWidth="1"/>
  </cols>
  <sheetData>
    <row r="1" spans="1:22" s="9" customFormat="1" x14ac:dyDescent="0.2">
      <c r="A1" s="2123"/>
      <c r="B1" s="506"/>
      <c r="C1" s="282"/>
      <c r="D1" s="114"/>
      <c r="E1" s="232">
        <v>2003</v>
      </c>
      <c r="F1" s="232"/>
      <c r="G1" s="232"/>
      <c r="H1" s="2120"/>
      <c r="I1" s="2543">
        <v>2008</v>
      </c>
      <c r="J1" s="2544"/>
      <c r="K1" s="2544"/>
      <c r="L1" s="2544"/>
      <c r="M1" s="2555"/>
      <c r="N1" s="2546"/>
      <c r="O1" s="2547"/>
      <c r="P1" s="2543">
        <v>2015</v>
      </c>
      <c r="Q1" s="2546"/>
      <c r="R1" s="2546"/>
      <c r="S1" s="2546"/>
      <c r="T1" s="2546"/>
      <c r="U1" s="2546"/>
      <c r="V1" s="2547"/>
    </row>
    <row r="2" spans="1:22" s="9" customFormat="1" x14ac:dyDescent="0.2">
      <c r="A2" s="2123" t="s">
        <v>604</v>
      </c>
      <c r="B2" s="2543" t="s">
        <v>1654</v>
      </c>
      <c r="C2" s="2544"/>
      <c r="D2" s="2544"/>
      <c r="E2" s="2553" t="s">
        <v>1655</v>
      </c>
      <c r="F2" s="2546"/>
      <c r="G2" s="2546"/>
      <c r="H2" s="2547"/>
      <c r="I2" s="2543" t="s">
        <v>1654</v>
      </c>
      <c r="J2" s="2546"/>
      <c r="K2" s="2546"/>
      <c r="L2" s="2553" t="s">
        <v>1655</v>
      </c>
      <c r="M2" s="2546"/>
      <c r="N2" s="2546"/>
      <c r="O2" s="2547"/>
      <c r="P2" s="2554" t="s">
        <v>1654</v>
      </c>
      <c r="Q2" s="2546"/>
      <c r="R2" s="2547"/>
      <c r="S2" s="2543" t="s">
        <v>1655</v>
      </c>
      <c r="T2" s="2546"/>
      <c r="U2" s="2546"/>
      <c r="V2" s="2546"/>
    </row>
    <row r="3" spans="1:22" s="9" customFormat="1" x14ac:dyDescent="0.2">
      <c r="A3" s="2123"/>
      <c r="B3" s="209" t="s">
        <v>602</v>
      </c>
      <c r="C3" s="2116" t="s">
        <v>601</v>
      </c>
      <c r="D3" s="2117" t="s">
        <v>420</v>
      </c>
      <c r="E3" s="209" t="s">
        <v>602</v>
      </c>
      <c r="F3" s="2116" t="s">
        <v>601</v>
      </c>
      <c r="G3" s="2118" t="s">
        <v>603</v>
      </c>
      <c r="H3" s="2117" t="s">
        <v>420</v>
      </c>
      <c r="I3" s="209" t="s">
        <v>602</v>
      </c>
      <c r="J3" s="2016" t="s">
        <v>601</v>
      </c>
      <c r="K3" s="2017" t="s">
        <v>420</v>
      </c>
      <c r="L3" s="209" t="s">
        <v>602</v>
      </c>
      <c r="M3" s="2016" t="s">
        <v>601</v>
      </c>
      <c r="N3" s="633" t="s">
        <v>603</v>
      </c>
      <c r="O3" s="2017" t="s">
        <v>420</v>
      </c>
      <c r="P3" s="209" t="s">
        <v>602</v>
      </c>
      <c r="Q3" s="1713" t="s">
        <v>601</v>
      </c>
      <c r="R3" s="2333" t="s">
        <v>420</v>
      </c>
      <c r="S3" s="209" t="s">
        <v>602</v>
      </c>
      <c r="T3" s="1713" t="s">
        <v>601</v>
      </c>
      <c r="U3" s="666" t="s">
        <v>603</v>
      </c>
      <c r="V3" s="2333" t="s">
        <v>420</v>
      </c>
    </row>
    <row r="4" spans="1:22" s="168" customFormat="1" x14ac:dyDescent="0.2">
      <c r="A4" s="2124" t="s">
        <v>61</v>
      </c>
      <c r="B4" s="2157"/>
      <c r="C4" s="259"/>
      <c r="D4" s="251"/>
      <c r="E4" s="661"/>
      <c r="F4" s="291"/>
      <c r="G4" s="291"/>
      <c r="H4" s="660"/>
      <c r="I4" s="291"/>
      <c r="J4" s="291"/>
      <c r="K4" s="660"/>
      <c r="L4" s="291"/>
      <c r="M4" s="291"/>
      <c r="N4" s="291"/>
      <c r="O4" s="660"/>
      <c r="P4" s="291"/>
      <c r="Q4" s="291"/>
      <c r="R4" s="660"/>
      <c r="S4" s="291"/>
      <c r="T4" s="291"/>
      <c r="U4" s="660"/>
      <c r="V4" s="660"/>
    </row>
    <row r="5" spans="1:22" s="168" customFormat="1" x14ac:dyDescent="0.2">
      <c r="A5" s="2125" t="s">
        <v>119</v>
      </c>
      <c r="B5" s="217"/>
      <c r="C5" s="215"/>
      <c r="D5" s="216"/>
      <c r="E5" s="602"/>
      <c r="F5" s="575"/>
      <c r="G5" s="575"/>
      <c r="H5" s="581"/>
      <c r="I5" s="319"/>
      <c r="J5" s="575"/>
      <c r="K5" s="195"/>
      <c r="M5" s="668"/>
      <c r="N5" s="668"/>
      <c r="O5" s="670"/>
      <c r="R5" s="738"/>
      <c r="U5" s="738"/>
      <c r="V5" s="738"/>
    </row>
    <row r="6" spans="1:22" s="168" customFormat="1" x14ac:dyDescent="0.2">
      <c r="A6" s="2292" t="s">
        <v>2111</v>
      </c>
      <c r="B6" s="2158"/>
      <c r="C6" s="657"/>
      <c r="D6" s="640"/>
      <c r="E6" s="602"/>
      <c r="F6" s="575"/>
      <c r="G6" s="575"/>
      <c r="H6" s="581"/>
      <c r="I6" s="269"/>
      <c r="J6" s="575"/>
      <c r="K6" s="195"/>
      <c r="M6" s="668"/>
      <c r="N6" s="668"/>
      <c r="O6" s="670"/>
      <c r="R6" s="738"/>
      <c r="U6" s="738"/>
      <c r="V6" s="738"/>
    </row>
    <row r="7" spans="1:22" s="168" customFormat="1" x14ac:dyDescent="0.2">
      <c r="A7" s="640" t="s">
        <v>378</v>
      </c>
      <c r="B7" s="2159"/>
      <c r="C7" s="658"/>
      <c r="D7" s="638"/>
      <c r="E7" s="669"/>
      <c r="F7" s="667"/>
      <c r="G7" s="667"/>
      <c r="H7" s="670"/>
      <c r="I7" s="579"/>
      <c r="J7" s="366"/>
      <c r="K7" s="581"/>
      <c r="M7" s="575"/>
      <c r="N7" s="575"/>
      <c r="O7" s="581"/>
      <c r="R7" s="738"/>
      <c r="S7" s="531"/>
      <c r="T7" s="366"/>
      <c r="U7" s="738"/>
      <c r="V7" s="738"/>
    </row>
    <row r="8" spans="1:22" s="168" customFormat="1" ht="13.5" x14ac:dyDescent="0.2">
      <c r="A8" s="2126" t="s">
        <v>1035</v>
      </c>
      <c r="D8" s="2121"/>
      <c r="E8" s="265">
        <v>0</v>
      </c>
      <c r="F8" s="575" t="s">
        <v>168</v>
      </c>
      <c r="G8" s="667"/>
      <c r="H8" s="670"/>
      <c r="K8" s="581"/>
      <c r="L8" s="265">
        <v>0</v>
      </c>
      <c r="M8" s="575" t="s">
        <v>168</v>
      </c>
      <c r="N8" s="575"/>
      <c r="O8" s="581"/>
      <c r="R8" s="738"/>
      <c r="S8" s="265">
        <v>0</v>
      </c>
      <c r="T8" s="575" t="s">
        <v>168</v>
      </c>
      <c r="U8" s="738"/>
      <c r="V8" s="738"/>
    </row>
    <row r="9" spans="1:22" s="168" customFormat="1" x14ac:dyDescent="0.2">
      <c r="A9" s="640" t="s">
        <v>213</v>
      </c>
      <c r="D9" s="638"/>
      <c r="E9" s="265"/>
      <c r="F9" s="575"/>
      <c r="G9" s="667"/>
      <c r="H9" s="670"/>
      <c r="K9" s="581"/>
      <c r="L9" s="265"/>
      <c r="M9" s="575"/>
      <c r="N9" s="575"/>
      <c r="O9" s="581"/>
      <c r="R9" s="738"/>
      <c r="S9" s="265"/>
      <c r="T9" s="575"/>
      <c r="U9" s="738"/>
      <c r="V9" s="738"/>
    </row>
    <row r="10" spans="1:22" s="168" customFormat="1" x14ac:dyDescent="0.2">
      <c r="A10" s="2127" t="s">
        <v>1044</v>
      </c>
      <c r="D10" s="617"/>
      <c r="E10" s="265"/>
      <c r="F10" s="671"/>
      <c r="G10" s="667"/>
      <c r="H10" s="670"/>
      <c r="K10" s="212"/>
      <c r="L10" s="265"/>
      <c r="M10" s="671"/>
      <c r="N10" s="575"/>
      <c r="O10" s="581"/>
      <c r="R10" s="738"/>
      <c r="S10" s="265"/>
      <c r="T10" s="671"/>
      <c r="U10" s="738"/>
      <c r="V10" s="738"/>
    </row>
    <row r="11" spans="1:22" s="168" customFormat="1" ht="13.5" x14ac:dyDescent="0.2">
      <c r="A11" s="2126" t="s">
        <v>1036</v>
      </c>
      <c r="D11" s="2121"/>
      <c r="E11" s="265">
        <v>13236.278</v>
      </c>
      <c r="F11" s="575" t="s">
        <v>168</v>
      </c>
      <c r="G11" s="659" t="s">
        <v>1873</v>
      </c>
      <c r="H11" s="670"/>
      <c r="K11" s="581"/>
      <c r="L11" s="265">
        <v>13343.405000000001</v>
      </c>
      <c r="M11" s="575" t="s">
        <v>168</v>
      </c>
      <c r="N11" s="659" t="s">
        <v>1873</v>
      </c>
      <c r="O11" s="581"/>
      <c r="R11" s="738"/>
      <c r="S11" s="265">
        <v>31852.758999999998</v>
      </c>
      <c r="T11" s="575" t="s">
        <v>168</v>
      </c>
      <c r="U11" s="659" t="s">
        <v>1873</v>
      </c>
      <c r="V11" s="2347" t="s">
        <v>2166</v>
      </c>
    </row>
    <row r="12" spans="1:22" s="168" customFormat="1" x14ac:dyDescent="0.2">
      <c r="A12" s="640" t="s">
        <v>212</v>
      </c>
      <c r="D12" s="638"/>
      <c r="E12" s="265"/>
      <c r="F12" s="575"/>
      <c r="G12" s="575"/>
      <c r="H12" s="670"/>
      <c r="K12" s="581"/>
      <c r="L12" s="265"/>
      <c r="M12" s="575"/>
      <c r="N12" s="575"/>
      <c r="O12" s="581"/>
      <c r="R12" s="738"/>
      <c r="S12" s="265"/>
      <c r="T12" s="575"/>
      <c r="U12" s="581"/>
      <c r="V12" s="738"/>
    </row>
    <row r="13" spans="1:22" s="168" customFormat="1" x14ac:dyDescent="0.2">
      <c r="A13" s="2128" t="s">
        <v>1045</v>
      </c>
      <c r="D13" s="617"/>
      <c r="E13" s="265"/>
      <c r="F13" s="671"/>
      <c r="G13" s="575"/>
      <c r="H13" s="670"/>
      <c r="K13" s="212"/>
      <c r="L13" s="265"/>
      <c r="M13" s="671"/>
      <c r="N13" s="575"/>
      <c r="O13" s="581"/>
      <c r="R13" s="738"/>
      <c r="S13" s="265"/>
      <c r="T13" s="671"/>
      <c r="U13" s="581"/>
      <c r="V13" s="738"/>
    </row>
    <row r="14" spans="1:22" s="168" customFormat="1" ht="13.5" x14ac:dyDescent="0.2">
      <c r="A14" s="2126" t="s">
        <v>1037</v>
      </c>
      <c r="D14" s="2121"/>
      <c r="E14" s="265">
        <v>47168.87999999999</v>
      </c>
      <c r="F14" s="575" t="s">
        <v>168</v>
      </c>
      <c r="G14" s="659" t="s">
        <v>1873</v>
      </c>
      <c r="H14" s="670"/>
      <c r="K14" s="581"/>
      <c r="L14" s="265">
        <v>48954.697</v>
      </c>
      <c r="M14" s="575" t="s">
        <v>168</v>
      </c>
      <c r="N14" s="659" t="s">
        <v>1873</v>
      </c>
      <c r="O14" s="581"/>
      <c r="R14" s="738"/>
      <c r="S14" s="265">
        <v>57525.185000000005</v>
      </c>
      <c r="T14" s="575" t="s">
        <v>168</v>
      </c>
      <c r="U14" s="659" t="s">
        <v>1873</v>
      </c>
      <c r="V14" s="738"/>
    </row>
    <row r="15" spans="1:22" s="168" customFormat="1" x14ac:dyDescent="0.2">
      <c r="A15" s="640" t="s">
        <v>316</v>
      </c>
      <c r="D15" s="638"/>
      <c r="E15" s="265"/>
      <c r="F15" s="575"/>
      <c r="G15" s="575"/>
      <c r="H15" s="670"/>
      <c r="K15" s="581"/>
      <c r="L15" s="265"/>
      <c r="M15" s="575"/>
      <c r="N15" s="575"/>
      <c r="O15" s="581"/>
      <c r="R15" s="738"/>
      <c r="S15" s="265"/>
      <c r="T15" s="575"/>
      <c r="U15" s="581"/>
      <c r="V15" s="738"/>
    </row>
    <row r="16" spans="1:22" s="168" customFormat="1" ht="13.5" x14ac:dyDescent="0.2">
      <c r="A16" s="2126" t="s">
        <v>1038</v>
      </c>
      <c r="D16" s="2121"/>
      <c r="E16" s="265">
        <v>2139.0889999999999</v>
      </c>
      <c r="F16" s="575" t="s">
        <v>168</v>
      </c>
      <c r="G16" s="659" t="s">
        <v>1873</v>
      </c>
      <c r="H16" s="670"/>
      <c r="K16" s="581"/>
      <c r="L16" s="265">
        <v>2000.894</v>
      </c>
      <c r="M16" s="575" t="s">
        <v>168</v>
      </c>
      <c r="N16" s="659" t="s">
        <v>1873</v>
      </c>
      <c r="O16" s="581"/>
      <c r="R16" s="738"/>
      <c r="S16" s="265">
        <v>6089.6679999999997</v>
      </c>
      <c r="T16" s="575" t="s">
        <v>168</v>
      </c>
      <c r="U16" s="659" t="s">
        <v>1873</v>
      </c>
      <c r="V16" s="738"/>
    </row>
    <row r="17" spans="1:23" s="168" customFormat="1" x14ac:dyDescent="0.2">
      <c r="A17" s="2126"/>
      <c r="D17" s="2121"/>
      <c r="E17" s="265"/>
      <c r="F17" s="575"/>
      <c r="G17" s="667"/>
      <c r="H17" s="670"/>
      <c r="K17" s="581"/>
      <c r="L17" s="265"/>
      <c r="M17" s="575"/>
      <c r="N17" s="575"/>
      <c r="O17" s="581"/>
      <c r="R17" s="738"/>
      <c r="S17" s="265"/>
      <c r="T17" s="575"/>
      <c r="U17" s="738"/>
      <c r="V17" s="738"/>
    </row>
    <row r="18" spans="1:23" s="168" customFormat="1" ht="13.5" x14ac:dyDescent="0.2">
      <c r="A18" s="256" t="s">
        <v>1039</v>
      </c>
      <c r="D18" s="256"/>
      <c r="E18" s="266">
        <f>SUM(E11,E8,E14,E16)</f>
        <v>62544.246999999988</v>
      </c>
      <c r="F18" s="649" t="s">
        <v>940</v>
      </c>
      <c r="G18" s="667"/>
      <c r="H18" s="672"/>
      <c r="K18" s="581"/>
      <c r="L18" s="266">
        <f>SUM(L11,L8,L14,L16)</f>
        <v>64298.995999999999</v>
      </c>
      <c r="M18" s="649" t="s">
        <v>940</v>
      </c>
      <c r="N18" s="575"/>
      <c r="O18" s="581"/>
      <c r="R18" s="738"/>
      <c r="S18" s="266">
        <f>SUM(S11,S8,S14,S16)</f>
        <v>95467.612000000008</v>
      </c>
      <c r="T18" s="649" t="s">
        <v>940</v>
      </c>
      <c r="U18" s="738"/>
      <c r="V18" s="738"/>
    </row>
    <row r="19" spans="1:23" s="168" customFormat="1" x14ac:dyDescent="0.2">
      <c r="A19" s="2130"/>
      <c r="B19" s="217"/>
      <c r="C19" s="215"/>
      <c r="D19" s="216"/>
      <c r="E19" s="602"/>
      <c r="F19" s="575"/>
      <c r="G19" s="575"/>
      <c r="H19" s="581"/>
      <c r="I19" s="319"/>
      <c r="J19" s="575"/>
      <c r="K19" s="195"/>
      <c r="M19" s="668"/>
      <c r="N19" s="668"/>
      <c r="O19" s="670"/>
      <c r="R19" s="738"/>
      <c r="U19" s="738"/>
      <c r="V19" s="738"/>
    </row>
    <row r="20" spans="1:23" s="168" customFormat="1" x14ac:dyDescent="0.2">
      <c r="A20" s="2124" t="s">
        <v>239</v>
      </c>
      <c r="B20" s="2157"/>
      <c r="C20" s="259"/>
      <c r="D20" s="251"/>
      <c r="E20" s="662"/>
      <c r="F20" s="317"/>
      <c r="G20" s="317"/>
      <c r="H20" s="585"/>
      <c r="I20" s="317"/>
      <c r="J20" s="317"/>
      <c r="K20" s="585"/>
      <c r="L20" s="291"/>
      <c r="M20" s="317"/>
      <c r="N20" s="317"/>
      <c r="O20" s="585"/>
      <c r="P20" s="317"/>
      <c r="Q20" s="317"/>
      <c r="R20" s="585"/>
      <c r="S20" s="291"/>
      <c r="T20" s="317"/>
      <c r="U20" s="585"/>
      <c r="V20" s="585"/>
    </row>
    <row r="21" spans="1:23" s="168" customFormat="1" x14ac:dyDescent="0.2">
      <c r="A21" s="2125" t="s">
        <v>119</v>
      </c>
      <c r="B21" s="217"/>
      <c r="C21" s="215"/>
      <c r="D21" s="216"/>
      <c r="E21" s="602"/>
      <c r="F21" s="297"/>
      <c r="G21" s="297"/>
      <c r="H21" s="213"/>
      <c r="K21" s="738"/>
      <c r="O21" s="589"/>
      <c r="R21" s="738"/>
      <c r="U21" s="738"/>
      <c r="V21" s="589"/>
      <c r="W21" s="531"/>
    </row>
    <row r="22" spans="1:23" s="168" customFormat="1" x14ac:dyDescent="0.2">
      <c r="A22" s="2131" t="s">
        <v>1779</v>
      </c>
      <c r="B22" s="217"/>
      <c r="C22" s="261"/>
      <c r="D22" s="260"/>
      <c r="E22" s="602"/>
      <c r="F22" s="297"/>
      <c r="G22" s="297"/>
      <c r="H22" s="213"/>
      <c r="K22" s="738"/>
      <c r="L22" s="1798">
        <v>3.875</v>
      </c>
      <c r="M22" s="531" t="s">
        <v>1780</v>
      </c>
      <c r="N22" s="2027" t="s">
        <v>1781</v>
      </c>
      <c r="O22" s="738"/>
      <c r="R22" s="738"/>
      <c r="S22" s="1798">
        <v>2.7549999999999999</v>
      </c>
      <c r="T22" s="531" t="s">
        <v>1780</v>
      </c>
      <c r="U22" s="1817" t="s">
        <v>1781</v>
      </c>
      <c r="V22" s="738"/>
      <c r="W22" s="531"/>
    </row>
    <row r="23" spans="1:23" s="168" customFormat="1" x14ac:dyDescent="0.2">
      <c r="A23" s="2131"/>
      <c r="B23" s="217"/>
      <c r="C23" s="261"/>
      <c r="D23" s="260"/>
      <c r="E23" s="602"/>
      <c r="F23" s="297"/>
      <c r="G23" s="297"/>
      <c r="H23" s="213"/>
      <c r="I23" s="266"/>
      <c r="K23" s="738"/>
      <c r="L23" s="531"/>
      <c r="N23" s="487"/>
      <c r="O23" s="738"/>
      <c r="R23" s="738"/>
      <c r="S23" s="531"/>
      <c r="U23" s="589"/>
      <c r="V23" s="738"/>
      <c r="W23" s="531"/>
    </row>
    <row r="24" spans="1:23" s="168" customFormat="1" x14ac:dyDescent="0.2">
      <c r="A24" s="2132" t="s">
        <v>1782</v>
      </c>
      <c r="B24" s="2370">
        <v>1.0316539171722501</v>
      </c>
      <c r="C24" s="2119" t="s">
        <v>2050</v>
      </c>
      <c r="D24" s="663" t="s">
        <v>2189</v>
      </c>
      <c r="E24" s="602"/>
      <c r="F24" s="297"/>
      <c r="G24" s="297"/>
      <c r="H24" s="213"/>
      <c r="I24" s="266"/>
      <c r="K24" s="738"/>
      <c r="L24" s="2374">
        <v>7524000</v>
      </c>
      <c r="M24" s="531" t="s">
        <v>1821</v>
      </c>
      <c r="N24" s="487" t="s">
        <v>1783</v>
      </c>
      <c r="O24" s="589" t="s">
        <v>2257</v>
      </c>
      <c r="R24" s="738"/>
      <c r="S24" s="2374">
        <v>6861000</v>
      </c>
      <c r="T24" s="531" t="s">
        <v>1821</v>
      </c>
      <c r="U24" s="589" t="s">
        <v>1783</v>
      </c>
      <c r="V24" s="589" t="s">
        <v>2256</v>
      </c>
      <c r="W24" s="531"/>
    </row>
    <row r="25" spans="1:23" s="168" customFormat="1" x14ac:dyDescent="0.2">
      <c r="A25" s="2133" t="s">
        <v>1784</v>
      </c>
      <c r="B25" s="2370">
        <v>0.93288275603116488</v>
      </c>
      <c r="C25" s="2119" t="s">
        <v>2050</v>
      </c>
      <c r="D25" s="663" t="s">
        <v>2189</v>
      </c>
      <c r="E25" s="602"/>
      <c r="F25" s="297"/>
      <c r="G25" s="297"/>
      <c r="H25" s="213"/>
      <c r="I25" s="266"/>
      <c r="K25" s="738"/>
      <c r="L25" s="2374">
        <v>10774000</v>
      </c>
      <c r="M25" s="531" t="s">
        <v>1821</v>
      </c>
      <c r="N25" s="487" t="s">
        <v>1783</v>
      </c>
      <c r="O25" s="589" t="s">
        <v>2257</v>
      </c>
      <c r="P25" s="266"/>
      <c r="R25" s="738"/>
      <c r="S25" s="2374">
        <v>10537000</v>
      </c>
      <c r="T25" s="531" t="s">
        <v>1821</v>
      </c>
      <c r="U25" s="589" t="s">
        <v>1783</v>
      </c>
      <c r="V25" s="589" t="s">
        <v>2256</v>
      </c>
      <c r="W25" s="531"/>
    </row>
    <row r="26" spans="1:23" s="168" customFormat="1" x14ac:dyDescent="0.2">
      <c r="A26" s="2133" t="s">
        <v>1785</v>
      </c>
      <c r="B26" s="2370">
        <v>0.83734572603992075</v>
      </c>
      <c r="C26" s="2119" t="s">
        <v>2050</v>
      </c>
      <c r="D26" s="663" t="s">
        <v>2189</v>
      </c>
      <c r="E26" s="602"/>
      <c r="F26" s="297"/>
      <c r="G26" s="297"/>
      <c r="H26" s="213"/>
      <c r="I26" s="266"/>
      <c r="K26" s="738"/>
      <c r="L26" s="2375">
        <v>5934000</v>
      </c>
      <c r="M26" s="531" t="s">
        <v>1821</v>
      </c>
      <c r="N26" s="487" t="s">
        <v>1783</v>
      </c>
      <c r="O26" s="589" t="s">
        <v>2257</v>
      </c>
      <c r="P26" s="266"/>
      <c r="R26" s="738"/>
      <c r="S26" s="2375">
        <v>5501000</v>
      </c>
      <c r="T26" s="531" t="s">
        <v>1821</v>
      </c>
      <c r="U26" s="589" t="s">
        <v>1783</v>
      </c>
      <c r="V26" s="589" t="s">
        <v>2256</v>
      </c>
      <c r="W26" s="531"/>
    </row>
    <row r="27" spans="1:23" s="168" customFormat="1" x14ac:dyDescent="0.2">
      <c r="A27" s="2133" t="s">
        <v>1786</v>
      </c>
      <c r="B27" s="2370">
        <v>1.0521467435220599</v>
      </c>
      <c r="C27" s="2119" t="s">
        <v>2050</v>
      </c>
      <c r="D27" s="663" t="s">
        <v>2189</v>
      </c>
      <c r="E27" s="602"/>
      <c r="F27" s="297"/>
      <c r="G27" s="297"/>
      <c r="H27" s="213"/>
      <c r="I27" s="266"/>
      <c r="K27" s="738"/>
      <c r="L27" s="2375">
        <v>702000</v>
      </c>
      <c r="M27" s="531" t="s">
        <v>1821</v>
      </c>
      <c r="N27" s="487" t="s">
        <v>1783</v>
      </c>
      <c r="O27" s="589" t="s">
        <v>2257</v>
      </c>
      <c r="P27" s="266"/>
      <c r="R27" s="738"/>
      <c r="S27" s="2375">
        <v>1003000</v>
      </c>
      <c r="T27" s="531" t="s">
        <v>1821</v>
      </c>
      <c r="U27" s="589" t="s">
        <v>1783</v>
      </c>
      <c r="V27" s="589" t="s">
        <v>2256</v>
      </c>
      <c r="W27" s="531"/>
    </row>
    <row r="28" spans="1:23" s="168" customFormat="1" x14ac:dyDescent="0.2">
      <c r="A28" s="2129" t="s">
        <v>120</v>
      </c>
      <c r="B28" s="217"/>
      <c r="D28" s="216"/>
      <c r="E28" s="602"/>
      <c r="F28" s="297"/>
      <c r="G28" s="297"/>
      <c r="H28" s="213"/>
      <c r="I28" s="266"/>
      <c r="K28" s="738"/>
      <c r="L28" s="72"/>
      <c r="M28" s="531"/>
      <c r="O28" s="589"/>
      <c r="P28" s="266"/>
      <c r="R28" s="738"/>
      <c r="S28" s="72"/>
      <c r="T28" s="531"/>
      <c r="U28" s="738"/>
      <c r="V28" s="589"/>
      <c r="W28" s="531"/>
    </row>
    <row r="29" spans="1:23" s="168" customFormat="1" x14ac:dyDescent="0.2">
      <c r="A29" s="2069" t="s">
        <v>1819</v>
      </c>
      <c r="B29" s="1588">
        <f>P29*B24</f>
        <v>2569211.4430921264</v>
      </c>
      <c r="C29" s="531" t="s">
        <v>654</v>
      </c>
      <c r="D29" s="577"/>
      <c r="E29" s="602"/>
      <c r="F29" s="297"/>
      <c r="G29" s="297"/>
      <c r="H29" s="213"/>
      <c r="I29" s="2160">
        <f>L24/$L$22</f>
        <v>1941677.4193548388</v>
      </c>
      <c r="J29" s="531" t="s">
        <v>654</v>
      </c>
      <c r="K29" s="589"/>
      <c r="L29" s="72"/>
      <c r="M29" s="531"/>
      <c r="O29" s="738"/>
      <c r="P29" s="2160">
        <f>S24/$S$22</f>
        <v>2490381.1252268604</v>
      </c>
      <c r="Q29" s="531" t="s">
        <v>654</v>
      </c>
      <c r="R29" s="589"/>
      <c r="S29" s="72"/>
      <c r="T29" s="531"/>
      <c r="U29" s="738"/>
      <c r="V29" s="738"/>
    </row>
    <row r="30" spans="1:23" s="168" customFormat="1" x14ac:dyDescent="0.2">
      <c r="A30" s="2069" t="s">
        <v>1820</v>
      </c>
      <c r="B30" s="1588">
        <f t="shared" ref="B30:B32" si="0">P30*B25</f>
        <v>3567980.2541925171</v>
      </c>
      <c r="C30" s="531" t="s">
        <v>654</v>
      </c>
      <c r="D30" s="577"/>
      <c r="E30" s="602"/>
      <c r="F30" s="297"/>
      <c r="G30" s="297"/>
      <c r="H30" s="213"/>
      <c r="I30" s="2160">
        <f>L25/$L$22</f>
        <v>2780387.0967741935</v>
      </c>
      <c r="J30" s="531" t="s">
        <v>654</v>
      </c>
      <c r="K30" s="589"/>
      <c r="L30" s="72"/>
      <c r="M30" s="531"/>
      <c r="O30" s="738"/>
      <c r="P30" s="2160">
        <f>S25/$S$22</f>
        <v>3824682.3956442834</v>
      </c>
      <c r="Q30" s="531" t="s">
        <v>654</v>
      </c>
      <c r="R30" s="589"/>
      <c r="S30" s="72"/>
      <c r="T30" s="531"/>
      <c r="U30" s="738"/>
      <c r="V30" s="738"/>
    </row>
    <row r="31" spans="1:23" s="168" customFormat="1" x14ac:dyDescent="0.2">
      <c r="A31" s="2069" t="s">
        <v>1822</v>
      </c>
      <c r="B31" s="1588">
        <f t="shared" si="0"/>
        <v>1671956.0213958637</v>
      </c>
      <c r="C31" s="531" t="s">
        <v>654</v>
      </c>
      <c r="D31" s="577"/>
      <c r="E31" s="602"/>
      <c r="F31" s="297"/>
      <c r="G31" s="297"/>
      <c r="H31" s="213"/>
      <c r="I31" s="2160">
        <f>L26/$L$22</f>
        <v>1531354.8387096773</v>
      </c>
      <c r="J31" s="531" t="s">
        <v>654</v>
      </c>
      <c r="K31" s="589"/>
      <c r="L31" s="72"/>
      <c r="M31" s="531"/>
      <c r="O31" s="738"/>
      <c r="P31" s="2160">
        <f>S26/$S$22</f>
        <v>1996733.212341198</v>
      </c>
      <c r="Q31" s="531" t="s">
        <v>654</v>
      </c>
      <c r="R31" s="589"/>
      <c r="S31" s="72"/>
      <c r="T31" s="531"/>
      <c r="U31" s="738"/>
      <c r="V31" s="738"/>
    </row>
    <row r="32" spans="1:23" s="168" customFormat="1" x14ac:dyDescent="0.2">
      <c r="A32" s="2069" t="s">
        <v>1823</v>
      </c>
      <c r="B32" s="1588">
        <f t="shared" si="0"/>
        <v>383050.15744196961</v>
      </c>
      <c r="C32" s="531" t="s">
        <v>654</v>
      </c>
      <c r="D32" s="577"/>
      <c r="E32" s="602"/>
      <c r="F32" s="297"/>
      <c r="G32" s="297"/>
      <c r="H32" s="213"/>
      <c r="I32" s="2160">
        <f>L27/$L$22</f>
        <v>181161.29032258064</v>
      </c>
      <c r="J32" s="531" t="s">
        <v>654</v>
      </c>
      <c r="K32" s="589"/>
      <c r="L32" s="72"/>
      <c r="M32" s="531"/>
      <c r="O32" s="738"/>
      <c r="P32" s="2160">
        <f>S27/$S$22</f>
        <v>364065.33575317607</v>
      </c>
      <c r="Q32" s="531" t="s">
        <v>654</v>
      </c>
      <c r="R32" s="589"/>
      <c r="S32" s="72"/>
      <c r="T32" s="531"/>
      <c r="U32" s="738"/>
      <c r="V32" s="738"/>
    </row>
    <row r="33" spans="1:22" s="168" customFormat="1" x14ac:dyDescent="0.2">
      <c r="A33" s="2134"/>
      <c r="B33" s="526"/>
      <c r="C33" s="531"/>
      <c r="D33" s="577"/>
      <c r="E33" s="602"/>
      <c r="F33" s="297"/>
      <c r="G33" s="297"/>
      <c r="H33" s="213"/>
      <c r="I33" s="266"/>
      <c r="J33" s="531"/>
      <c r="K33" s="738"/>
      <c r="L33" s="72"/>
      <c r="M33" s="531"/>
      <c r="O33" s="738"/>
      <c r="P33" s="266"/>
      <c r="Q33" s="531"/>
      <c r="R33" s="738"/>
      <c r="S33" s="72"/>
      <c r="T33" s="531"/>
      <c r="U33" s="738"/>
      <c r="V33" s="738"/>
    </row>
    <row r="34" spans="1:22" s="168" customFormat="1" x14ac:dyDescent="0.2">
      <c r="A34" s="2135" t="s">
        <v>1787</v>
      </c>
      <c r="B34" s="316"/>
      <c r="C34" s="531"/>
      <c r="D34" s="586"/>
      <c r="E34" s="602"/>
      <c r="F34" s="297"/>
      <c r="G34" s="2119"/>
      <c r="H34" s="213"/>
      <c r="I34" s="266"/>
      <c r="J34" s="531"/>
      <c r="K34" s="738"/>
      <c r="L34" s="72"/>
      <c r="M34" s="531"/>
      <c r="O34" s="738"/>
      <c r="P34" s="266"/>
      <c r="Q34" s="531"/>
      <c r="R34" s="738"/>
      <c r="S34" s="72"/>
      <c r="T34" s="531"/>
      <c r="U34" s="738"/>
      <c r="V34" s="738"/>
    </row>
    <row r="35" spans="1:22" s="168" customFormat="1" x14ac:dyDescent="0.2">
      <c r="A35" s="2134" t="s">
        <v>1788</v>
      </c>
      <c r="B35" s="2371">
        <v>0.5</v>
      </c>
      <c r="C35" s="531"/>
      <c r="D35" s="577"/>
      <c r="E35" s="602"/>
      <c r="F35" s="297"/>
      <c r="G35" s="297"/>
      <c r="H35" s="213"/>
      <c r="I35" s="266"/>
      <c r="J35" s="531"/>
      <c r="K35" s="738"/>
      <c r="L35" s="1813">
        <v>0.5</v>
      </c>
      <c r="M35" s="531"/>
      <c r="O35" s="738"/>
      <c r="P35" s="266"/>
      <c r="Q35" s="531"/>
      <c r="R35" s="738"/>
      <c r="S35" s="1813">
        <v>0.5</v>
      </c>
      <c r="T35" s="531"/>
      <c r="U35" s="738"/>
      <c r="V35" s="738"/>
    </row>
    <row r="36" spans="1:22" s="168" customFormat="1" x14ac:dyDescent="0.2">
      <c r="A36" s="2134" t="s">
        <v>1789</v>
      </c>
      <c r="B36" s="2371">
        <v>0.5</v>
      </c>
      <c r="C36" s="531"/>
      <c r="D36" s="577"/>
      <c r="E36" s="602"/>
      <c r="F36" s="297"/>
      <c r="G36" s="297"/>
      <c r="H36" s="213"/>
      <c r="I36" s="266"/>
      <c r="J36" s="531"/>
      <c r="K36" s="738"/>
      <c r="L36" s="1813">
        <v>0.5</v>
      </c>
      <c r="M36" s="531"/>
      <c r="O36" s="738"/>
      <c r="P36" s="266"/>
      <c r="Q36" s="531"/>
      <c r="R36" s="738"/>
      <c r="S36" s="1813">
        <v>0.5</v>
      </c>
      <c r="T36" s="531"/>
      <c r="U36" s="738"/>
      <c r="V36" s="738"/>
    </row>
    <row r="37" spans="1:22" s="168" customFormat="1" x14ac:dyDescent="0.2">
      <c r="A37" s="2134" t="s">
        <v>1225</v>
      </c>
      <c r="B37" s="2372">
        <v>0.73259372609028295</v>
      </c>
      <c r="C37" s="531" t="s">
        <v>2255</v>
      </c>
      <c r="D37" s="577" t="s">
        <v>2194</v>
      </c>
      <c r="E37" s="602"/>
      <c r="F37" s="297"/>
      <c r="G37" s="297"/>
      <c r="H37" s="213"/>
      <c r="I37" s="266"/>
      <c r="J37" s="531"/>
      <c r="K37" s="738"/>
      <c r="L37" s="1814">
        <v>0.73259372609028295</v>
      </c>
      <c r="M37" s="531"/>
      <c r="N37" s="531" t="s">
        <v>2255</v>
      </c>
      <c r="O37" s="577" t="s">
        <v>2194</v>
      </c>
      <c r="P37" s="266"/>
      <c r="Q37" s="531"/>
      <c r="R37" s="738"/>
      <c r="S37" s="1814">
        <v>0.73259372609028295</v>
      </c>
      <c r="T37" s="531"/>
      <c r="U37" s="531" t="s">
        <v>2255</v>
      </c>
      <c r="V37" s="577" t="s">
        <v>2194</v>
      </c>
    </row>
    <row r="38" spans="1:22" s="168" customFormat="1" x14ac:dyDescent="0.2">
      <c r="A38" s="2136" t="s">
        <v>1790</v>
      </c>
      <c r="B38" s="2373">
        <v>0.5</v>
      </c>
      <c r="C38" s="531"/>
      <c r="D38" s="1741"/>
      <c r="E38" s="602"/>
      <c r="F38" s="297"/>
      <c r="G38" s="297"/>
      <c r="H38" s="213"/>
      <c r="I38" s="266"/>
      <c r="J38" s="531"/>
      <c r="K38" s="738"/>
      <c r="L38" s="1815">
        <v>0.5</v>
      </c>
      <c r="M38" s="531"/>
      <c r="O38" s="738"/>
      <c r="P38" s="266"/>
      <c r="Q38" s="531"/>
      <c r="R38" s="738"/>
      <c r="S38" s="1815">
        <v>0.5</v>
      </c>
      <c r="T38" s="531"/>
      <c r="U38" s="738"/>
      <c r="V38" s="738"/>
    </row>
    <row r="39" spans="1:22" s="168" customFormat="1" x14ac:dyDescent="0.2">
      <c r="A39" s="2136"/>
      <c r="B39" s="2030"/>
      <c r="C39" s="531"/>
      <c r="D39" s="1741"/>
      <c r="E39" s="602"/>
      <c r="F39" s="297"/>
      <c r="G39" s="297"/>
      <c r="H39" s="213"/>
      <c r="I39" s="266"/>
      <c r="J39" s="531"/>
      <c r="K39" s="738"/>
      <c r="L39" s="531"/>
      <c r="M39" s="531"/>
      <c r="O39" s="738"/>
      <c r="P39" s="266"/>
      <c r="Q39" s="531"/>
      <c r="R39" s="738"/>
      <c r="S39" s="531"/>
      <c r="T39" s="531"/>
      <c r="U39" s="738"/>
      <c r="V39" s="738"/>
    </row>
    <row r="40" spans="1:22" s="168" customFormat="1" x14ac:dyDescent="0.2">
      <c r="A40" s="2136" t="s">
        <v>1824</v>
      </c>
      <c r="B40" s="2030"/>
      <c r="C40" s="531"/>
      <c r="D40" s="1741"/>
      <c r="E40" s="602"/>
      <c r="F40" s="297"/>
      <c r="G40" s="297"/>
      <c r="H40" s="213"/>
      <c r="I40" s="266"/>
      <c r="J40" s="531"/>
      <c r="K40" s="738"/>
      <c r="L40" s="531"/>
      <c r="M40" s="531"/>
      <c r="O40" s="738"/>
      <c r="P40" s="266"/>
      <c r="Q40" s="531"/>
      <c r="R40" s="738"/>
      <c r="S40" s="531"/>
      <c r="T40" s="531"/>
      <c r="U40" s="738"/>
      <c r="V40" s="738"/>
    </row>
    <row r="41" spans="1:22" s="168" customFormat="1" x14ac:dyDescent="0.2">
      <c r="A41" s="2134" t="s">
        <v>1788</v>
      </c>
      <c r="B41" s="1588">
        <f>B29*B35</f>
        <v>1284605.7215460632</v>
      </c>
      <c r="C41" s="531" t="s">
        <v>654</v>
      </c>
      <c r="D41" s="577"/>
      <c r="E41" s="602"/>
      <c r="F41" s="297"/>
      <c r="G41" s="297"/>
      <c r="H41" s="213"/>
      <c r="I41" s="2160">
        <f>I29*L35</f>
        <v>970838.70967741939</v>
      </c>
      <c r="J41" s="531" t="s">
        <v>654</v>
      </c>
      <c r="K41" s="738"/>
      <c r="L41" s="531"/>
      <c r="M41" s="531"/>
      <c r="O41" s="738"/>
      <c r="P41" s="2160">
        <f>P29*S35</f>
        <v>1245190.5626134302</v>
      </c>
      <c r="Q41" s="531" t="s">
        <v>654</v>
      </c>
      <c r="R41" s="738"/>
      <c r="S41" s="531"/>
      <c r="T41" s="531"/>
      <c r="U41" s="738"/>
      <c r="V41" s="738"/>
    </row>
    <row r="42" spans="1:22" s="168" customFormat="1" x14ac:dyDescent="0.2">
      <c r="A42" s="2134" t="s">
        <v>1789</v>
      </c>
      <c r="B42" s="1588">
        <f t="shared" ref="B42:B44" si="1">B30*B36</f>
        <v>1783990.1270962586</v>
      </c>
      <c r="C42" s="531" t="s">
        <v>654</v>
      </c>
      <c r="D42" s="577"/>
      <c r="E42" s="602"/>
      <c r="F42" s="297"/>
      <c r="G42" s="297"/>
      <c r="H42" s="213"/>
      <c r="I42" s="2160">
        <f>I30*L36</f>
        <v>1390193.5483870967</v>
      </c>
      <c r="J42" s="531" t="s">
        <v>654</v>
      </c>
      <c r="K42" s="738"/>
      <c r="L42" s="531"/>
      <c r="M42" s="531"/>
      <c r="O42" s="738"/>
      <c r="P42" s="2160">
        <f>P30*S36</f>
        <v>1912341.1978221417</v>
      </c>
      <c r="Q42" s="531" t="s">
        <v>654</v>
      </c>
      <c r="R42" s="738"/>
      <c r="S42" s="531"/>
      <c r="T42" s="531"/>
      <c r="U42" s="738"/>
      <c r="V42" s="738"/>
    </row>
    <row r="43" spans="1:22" s="168" customFormat="1" x14ac:dyDescent="0.2">
      <c r="A43" s="2134" t="s">
        <v>1225</v>
      </c>
      <c r="B43" s="1588">
        <f t="shared" si="1"/>
        <v>1224864.4915734807</v>
      </c>
      <c r="C43" s="531" t="s">
        <v>654</v>
      </c>
      <c r="D43" s="577"/>
      <c r="E43" s="602"/>
      <c r="F43" s="297"/>
      <c r="G43" s="297"/>
      <c r="H43" s="213"/>
      <c r="I43" s="2160">
        <f>I31*L37</f>
        <v>1121860.9472567069</v>
      </c>
      <c r="J43" s="531" t="s">
        <v>654</v>
      </c>
      <c r="K43" s="738"/>
      <c r="L43" s="531"/>
      <c r="M43" s="531"/>
      <c r="O43" s="738"/>
      <c r="P43" s="2160">
        <f>P31*S37</f>
        <v>1462794.2240372584</v>
      </c>
      <c r="Q43" s="531" t="s">
        <v>654</v>
      </c>
      <c r="R43" s="738"/>
      <c r="S43" s="531"/>
      <c r="T43" s="531"/>
      <c r="U43" s="738"/>
      <c r="V43" s="738"/>
    </row>
    <row r="44" spans="1:22" s="168" customFormat="1" x14ac:dyDescent="0.2">
      <c r="A44" s="2136" t="s">
        <v>1790</v>
      </c>
      <c r="B44" s="1588">
        <f t="shared" si="1"/>
        <v>191525.07872098481</v>
      </c>
      <c r="C44" s="531" t="s">
        <v>654</v>
      </c>
      <c r="D44" s="1741"/>
      <c r="E44" s="602"/>
      <c r="F44" s="297"/>
      <c r="G44" s="297"/>
      <c r="H44" s="213"/>
      <c r="I44" s="2160">
        <f>I32*L38</f>
        <v>90580.645161290318</v>
      </c>
      <c r="J44" s="531" t="s">
        <v>654</v>
      </c>
      <c r="K44" s="738"/>
      <c r="L44" s="531"/>
      <c r="M44" s="531"/>
      <c r="O44" s="738"/>
      <c r="P44" s="2160">
        <f>P32*S38</f>
        <v>182032.66787658804</v>
      </c>
      <c r="Q44" s="531" t="s">
        <v>654</v>
      </c>
      <c r="R44" s="738"/>
      <c r="S44" s="531"/>
      <c r="T44" s="531"/>
      <c r="U44" s="738"/>
      <c r="V44" s="738"/>
    </row>
    <row r="45" spans="1:22" s="168" customFormat="1" x14ac:dyDescent="0.2">
      <c r="A45" s="2136"/>
      <c r="B45" s="2030"/>
      <c r="C45" s="1769"/>
      <c r="D45" s="1741"/>
      <c r="E45" s="602"/>
      <c r="F45" s="297"/>
      <c r="G45" s="297"/>
      <c r="H45" s="213"/>
      <c r="I45" s="266"/>
      <c r="J45" s="531"/>
      <c r="K45" s="738"/>
      <c r="L45" s="531"/>
      <c r="M45" s="531"/>
      <c r="O45" s="738"/>
      <c r="P45" s="266"/>
      <c r="Q45" s="531"/>
      <c r="R45" s="738"/>
      <c r="S45" s="531"/>
      <c r="T45" s="531"/>
      <c r="U45" s="738"/>
      <c r="V45" s="738"/>
    </row>
    <row r="46" spans="1:22" s="168" customFormat="1" x14ac:dyDescent="0.2">
      <c r="A46" s="2136"/>
      <c r="B46" s="2030"/>
      <c r="C46" s="1769"/>
      <c r="D46" s="1741"/>
      <c r="E46" s="602"/>
      <c r="F46" s="297"/>
      <c r="G46" s="297"/>
      <c r="H46" s="213"/>
      <c r="I46" s="266"/>
      <c r="J46" s="531"/>
      <c r="K46" s="738"/>
      <c r="L46" s="531"/>
      <c r="M46" s="531"/>
      <c r="O46" s="738"/>
      <c r="P46" s="266"/>
      <c r="Q46" s="531"/>
      <c r="R46" s="738"/>
      <c r="S46" s="531"/>
      <c r="T46" s="531"/>
      <c r="U46" s="738"/>
      <c r="V46" s="738"/>
    </row>
    <row r="47" spans="1:22" s="168" customFormat="1" ht="13.5" x14ac:dyDescent="0.2">
      <c r="A47" s="2134" t="s">
        <v>1791</v>
      </c>
      <c r="B47" s="2160">
        <f>B41*efgdistillate/1000/1000</f>
        <v>13130.923549031479</v>
      </c>
      <c r="C47" s="2173" t="s">
        <v>168</v>
      </c>
      <c r="D47" s="577"/>
      <c r="E47" s="602"/>
      <c r="F47" s="297"/>
      <c r="G47" s="297"/>
      <c r="H47" s="213"/>
      <c r="I47" s="2160">
        <f>I41*efgdistillate/1000/1000</f>
        <v>9923.6743705858116</v>
      </c>
      <c r="J47" s="2173" t="s">
        <v>168</v>
      </c>
      <c r="K47" s="738"/>
      <c r="L47" s="531"/>
      <c r="O47" s="738"/>
      <c r="P47" s="2160">
        <f>P41*efgdistillate/1000/1000</f>
        <v>12728.031494343732</v>
      </c>
      <c r="Q47" s="2173" t="s">
        <v>168</v>
      </c>
      <c r="R47" s="738"/>
      <c r="S47" s="531"/>
      <c r="U47" s="738"/>
      <c r="V47" s="738"/>
    </row>
    <row r="48" spans="1:22" s="168" customFormat="1" ht="13.5" x14ac:dyDescent="0.2">
      <c r="A48" s="2134" t="s">
        <v>1792</v>
      </c>
      <c r="B48" s="2160">
        <f>B42*efgdistillate/1000/1000</f>
        <v>18235.508045950999</v>
      </c>
      <c r="C48" s="2173" t="s">
        <v>168</v>
      </c>
      <c r="D48" s="577"/>
      <c r="E48" s="602"/>
      <c r="F48" s="297"/>
      <c r="G48" s="297"/>
      <c r="H48" s="213"/>
      <c r="I48" s="2160">
        <f>I42*efgdistillate/1000/1000</f>
        <v>14210.216330235449</v>
      </c>
      <c r="J48" s="2173" t="s">
        <v>168</v>
      </c>
      <c r="K48" s="738"/>
      <c r="L48" s="531"/>
      <c r="O48" s="738"/>
      <c r="P48" s="2160">
        <f>P42*efgdistillate/1000/1000</f>
        <v>19547.481104197625</v>
      </c>
      <c r="Q48" s="2173" t="s">
        <v>168</v>
      </c>
      <c r="R48" s="738"/>
      <c r="S48" s="531"/>
      <c r="U48" s="738"/>
      <c r="V48" s="738"/>
    </row>
    <row r="49" spans="1:23" s="168" customFormat="1" ht="13.5" x14ac:dyDescent="0.2">
      <c r="A49" s="2134" t="s">
        <v>1793</v>
      </c>
      <c r="B49" s="2160">
        <f>B43*efgdistillate/1000/1000</f>
        <v>12520.263398342619</v>
      </c>
      <c r="C49" s="2173" t="s">
        <v>168</v>
      </c>
      <c r="D49" s="577"/>
      <c r="E49" s="602"/>
      <c r="F49" s="297"/>
      <c r="G49" s="297"/>
      <c r="H49" s="213"/>
      <c r="I49" s="2160">
        <f>I43*efgdistillate/1000/1000</f>
        <v>11467.38651711947</v>
      </c>
      <c r="J49" s="2173" t="s">
        <v>168</v>
      </c>
      <c r="K49" s="738"/>
      <c r="L49" s="531"/>
      <c r="O49" s="738"/>
      <c r="P49" s="2160">
        <f>P43*efgdistillate/1000/1000</f>
        <v>14952.322569979551</v>
      </c>
      <c r="Q49" s="2173" t="s">
        <v>168</v>
      </c>
      <c r="R49" s="738"/>
      <c r="S49" s="531"/>
      <c r="U49" s="738"/>
      <c r="V49" s="738"/>
    </row>
    <row r="50" spans="1:23" s="168" customFormat="1" ht="13.5" x14ac:dyDescent="0.2">
      <c r="A50" s="2136" t="s">
        <v>1794</v>
      </c>
      <c r="B50" s="2160">
        <f>B44*efgdistillate/1000/1000</f>
        <v>1957.7222210879809</v>
      </c>
      <c r="C50" s="2173" t="s">
        <v>168</v>
      </c>
      <c r="D50" s="1741"/>
      <c r="E50" s="602"/>
      <c r="F50" s="297"/>
      <c r="G50" s="297"/>
      <c r="H50" s="213"/>
      <c r="I50" s="2160">
        <f>I44*efgdistillate/1000/1000</f>
        <v>925.89306328432201</v>
      </c>
      <c r="J50" s="2173" t="s">
        <v>168</v>
      </c>
      <c r="K50" s="738"/>
      <c r="L50" s="531"/>
      <c r="O50" s="738"/>
      <c r="P50" s="2160">
        <f>P44*efgdistillate/1000/1000</f>
        <v>1860.6931334829851</v>
      </c>
      <c r="Q50" s="2173" t="s">
        <v>168</v>
      </c>
      <c r="R50" s="738"/>
      <c r="S50" s="531"/>
      <c r="U50" s="738"/>
      <c r="V50" s="738"/>
    </row>
    <row r="51" spans="1:23" s="168" customFormat="1" x14ac:dyDescent="0.2">
      <c r="A51" s="2136"/>
      <c r="B51" s="2030"/>
      <c r="C51" s="531"/>
      <c r="D51" s="1741"/>
      <c r="E51" s="602"/>
      <c r="F51" s="297"/>
      <c r="G51" s="297"/>
      <c r="H51" s="213"/>
      <c r="J51" s="531"/>
      <c r="K51" s="738"/>
      <c r="L51" s="531"/>
      <c r="O51" s="738"/>
      <c r="Q51" s="531"/>
      <c r="R51" s="738"/>
      <c r="S51" s="531"/>
      <c r="U51" s="738"/>
      <c r="V51" s="738"/>
    </row>
    <row r="52" spans="1:23" s="168" customFormat="1" ht="13.5" x14ac:dyDescent="0.2">
      <c r="A52" s="2136" t="s">
        <v>1795</v>
      </c>
      <c r="B52" s="2161">
        <f>SUM(B47:B50)</f>
        <v>45844.417214413072</v>
      </c>
      <c r="C52" s="2174" t="s">
        <v>207</v>
      </c>
      <c r="D52" s="1741"/>
      <c r="E52" s="602"/>
      <c r="F52" s="297"/>
      <c r="G52" s="297"/>
      <c r="H52" s="213"/>
      <c r="I52" s="2285">
        <f>SUM(I47:I50)</f>
        <v>36527.170281225051</v>
      </c>
      <c r="J52" s="2174" t="s">
        <v>207</v>
      </c>
      <c r="K52" s="738"/>
      <c r="L52" s="531"/>
      <c r="O52" s="738"/>
      <c r="P52" s="2285">
        <f>SUM(P47:P50)</f>
        <v>49088.528302003891</v>
      </c>
      <c r="Q52" s="2174" t="s">
        <v>207</v>
      </c>
      <c r="R52" s="738"/>
      <c r="S52" s="531"/>
      <c r="U52" s="738"/>
      <c r="V52" s="738"/>
    </row>
    <row r="53" spans="1:23" s="168" customFormat="1" x14ac:dyDescent="0.2">
      <c r="A53" s="2124" t="s">
        <v>131</v>
      </c>
      <c r="B53" s="2157"/>
      <c r="C53" s="259"/>
      <c r="D53" s="251"/>
      <c r="E53" s="662"/>
      <c r="F53" s="317"/>
      <c r="G53" s="317"/>
      <c r="H53" s="585"/>
      <c r="I53" s="317"/>
      <c r="J53" s="317"/>
      <c r="K53" s="317"/>
      <c r="L53" s="317"/>
      <c r="M53" s="1799"/>
      <c r="N53" s="1799"/>
      <c r="O53" s="1800"/>
      <c r="P53" s="1801"/>
      <c r="Q53" s="1801"/>
      <c r="R53" s="1802"/>
      <c r="S53" s="1801"/>
      <c r="T53" s="1801"/>
      <c r="U53" s="1802"/>
      <c r="V53" s="1802"/>
    </row>
    <row r="54" spans="1:23" s="168" customFormat="1" x14ac:dyDescent="0.2">
      <c r="A54" s="2137"/>
      <c r="B54" s="316"/>
      <c r="C54" s="305"/>
      <c r="D54" s="304"/>
      <c r="E54" s="602"/>
      <c r="F54" s="292"/>
      <c r="G54" s="292"/>
      <c r="H54" s="195"/>
      <c r="I54" s="319"/>
      <c r="J54" s="602"/>
      <c r="K54" s="195"/>
      <c r="M54" s="572"/>
      <c r="N54" s="572"/>
      <c r="O54" s="586"/>
      <c r="R54" s="738"/>
      <c r="U54" s="738"/>
      <c r="V54" s="738"/>
    </row>
    <row r="55" spans="1:23" s="168" customFormat="1" x14ac:dyDescent="0.2">
      <c r="A55" s="2138" t="s">
        <v>156</v>
      </c>
      <c r="B55" s="316"/>
      <c r="C55" s="305"/>
      <c r="D55" s="304"/>
      <c r="E55" s="602"/>
      <c r="F55" s="292"/>
      <c r="G55" s="292"/>
      <c r="H55" s="195"/>
      <c r="I55" s="319"/>
      <c r="J55" s="602"/>
      <c r="K55" s="195"/>
      <c r="M55" s="572"/>
      <c r="N55" s="572"/>
      <c r="O55" s="586"/>
      <c r="R55" s="738"/>
      <c r="U55" s="738"/>
      <c r="V55" s="738"/>
    </row>
    <row r="56" spans="1:23" s="168" customFormat="1" x14ac:dyDescent="0.2">
      <c r="A56" s="2139" t="s">
        <v>119</v>
      </c>
      <c r="B56" s="217"/>
      <c r="C56" s="215"/>
      <c r="D56" s="216"/>
      <c r="E56" s="587"/>
      <c r="F56" s="569"/>
      <c r="G56" s="569"/>
      <c r="H56" s="571"/>
      <c r="I56" s="319"/>
      <c r="J56" s="602"/>
      <c r="K56" s="195"/>
      <c r="M56" s="572"/>
      <c r="N56" s="572"/>
      <c r="O56" s="586"/>
      <c r="P56" s="1816"/>
      <c r="Q56" s="531"/>
      <c r="R56" s="589"/>
      <c r="S56" s="531"/>
      <c r="T56" s="531"/>
      <c r="U56" s="589"/>
      <c r="V56" s="589"/>
    </row>
    <row r="57" spans="1:23" s="168" customFormat="1" ht="13.5" x14ac:dyDescent="0.2">
      <c r="A57" s="2140" t="s">
        <v>2031</v>
      </c>
      <c r="B57" s="2163"/>
      <c r="C57" s="2164"/>
      <c r="D57" s="2165"/>
      <c r="E57" s="2166">
        <v>5586.2</v>
      </c>
      <c r="F57" s="2167" t="s">
        <v>317</v>
      </c>
      <c r="G57" s="2168" t="s">
        <v>259</v>
      </c>
      <c r="H57" s="2169" t="s">
        <v>260</v>
      </c>
      <c r="I57" s="2170"/>
      <c r="J57" s="2171"/>
      <c r="K57" s="2172"/>
      <c r="L57" s="2173">
        <v>7597</v>
      </c>
      <c r="M57" s="2167" t="s">
        <v>317</v>
      </c>
      <c r="N57" s="2173" t="s">
        <v>1796</v>
      </c>
      <c r="O57" s="2173" t="s">
        <v>2032</v>
      </c>
      <c r="P57" s="2174"/>
      <c r="Q57" s="2167"/>
      <c r="R57" s="2178"/>
      <c r="S57" s="2173">
        <v>7597</v>
      </c>
      <c r="T57" s="2167" t="s">
        <v>1825</v>
      </c>
      <c r="U57" s="2178" t="s">
        <v>1796</v>
      </c>
      <c r="V57" s="2178" t="s">
        <v>2032</v>
      </c>
      <c r="W57" s="1803"/>
    </row>
    <row r="58" spans="1:23" s="168" customFormat="1" x14ac:dyDescent="0.2">
      <c r="A58" s="2140" t="s">
        <v>2028</v>
      </c>
      <c r="B58" s="2163"/>
      <c r="C58" s="2164"/>
      <c r="D58" s="2165"/>
      <c r="E58" s="2175">
        <v>1012</v>
      </c>
      <c r="F58" s="2168" t="s">
        <v>23</v>
      </c>
      <c r="G58" s="2176" t="s">
        <v>2227</v>
      </c>
      <c r="H58" s="2177" t="s">
        <v>1074</v>
      </c>
      <c r="I58" s="2170"/>
      <c r="J58" s="2171"/>
      <c r="K58" s="2172"/>
      <c r="L58" s="2173">
        <v>2108</v>
      </c>
      <c r="M58" s="2167" t="s">
        <v>23</v>
      </c>
      <c r="N58" s="2173" t="s">
        <v>1800</v>
      </c>
      <c r="O58" s="2178" t="s">
        <v>1801</v>
      </c>
      <c r="P58" s="2174"/>
      <c r="Q58" s="2167"/>
      <c r="R58" s="2178"/>
      <c r="S58" s="2173">
        <v>2339</v>
      </c>
      <c r="T58" s="2167" t="s">
        <v>23</v>
      </c>
      <c r="U58" s="2178" t="s">
        <v>1807</v>
      </c>
      <c r="V58" s="2178" t="s">
        <v>1801</v>
      </c>
      <c r="W58" s="1818"/>
    </row>
    <row r="59" spans="1:23" s="168" customFormat="1" x14ac:dyDescent="0.2">
      <c r="A59" s="2140" t="s">
        <v>2029</v>
      </c>
      <c r="B59" s="2163"/>
      <c r="C59" s="2164"/>
      <c r="D59" s="2165"/>
      <c r="E59" s="2166">
        <v>99</v>
      </c>
      <c r="F59" s="2179" t="s">
        <v>23</v>
      </c>
      <c r="G59" s="2168"/>
      <c r="H59" s="2169"/>
      <c r="I59" s="2170"/>
      <c r="J59" s="2171"/>
      <c r="K59" s="2172"/>
      <c r="L59" s="2173">
        <v>210</v>
      </c>
      <c r="M59" s="2167" t="s">
        <v>23</v>
      </c>
      <c r="N59" s="2173" t="s">
        <v>1803</v>
      </c>
      <c r="O59" s="2174"/>
      <c r="P59" s="2173"/>
      <c r="Q59" s="2167"/>
      <c r="R59" s="2178"/>
      <c r="S59" s="2173">
        <v>192</v>
      </c>
      <c r="T59" s="2167" t="s">
        <v>23</v>
      </c>
      <c r="U59" s="2178" t="s">
        <v>1803</v>
      </c>
      <c r="V59" s="2178"/>
      <c r="W59" s="1818"/>
    </row>
    <row r="60" spans="1:23" s="168" customFormat="1" x14ac:dyDescent="0.2">
      <c r="A60" s="2140" t="s">
        <v>2034</v>
      </c>
      <c r="B60" s="2163"/>
      <c r="C60" s="2164"/>
      <c r="D60" s="2165"/>
      <c r="E60" s="2166">
        <v>20564860</v>
      </c>
      <c r="F60" s="2167" t="s">
        <v>769</v>
      </c>
      <c r="G60" s="2176" t="s">
        <v>2227</v>
      </c>
      <c r="H60" s="2169" t="s">
        <v>2076</v>
      </c>
      <c r="I60" s="2170"/>
      <c r="J60" s="2171"/>
      <c r="K60" s="2172"/>
      <c r="L60" s="2180">
        <v>26610253</v>
      </c>
      <c r="M60" s="2181" t="s">
        <v>1805</v>
      </c>
      <c r="N60" s="2173" t="s">
        <v>1806</v>
      </c>
      <c r="O60" s="2178" t="s">
        <v>2033</v>
      </c>
      <c r="P60" s="2182"/>
      <c r="Q60" s="2167"/>
      <c r="R60" s="2178"/>
      <c r="S60" s="2173">
        <v>26610253</v>
      </c>
      <c r="T60" s="2173" t="s">
        <v>1805</v>
      </c>
      <c r="U60" s="296" t="s">
        <v>1999</v>
      </c>
      <c r="V60" s="2178" t="s">
        <v>2033</v>
      </c>
      <c r="W60" s="1818"/>
    </row>
    <row r="61" spans="1:23" s="168" customFormat="1" x14ac:dyDescent="0.2">
      <c r="A61" s="2140" t="s">
        <v>2034</v>
      </c>
      <c r="B61" s="2163"/>
      <c r="C61" s="2164"/>
      <c r="D61" s="2165"/>
      <c r="E61" s="2166">
        <v>13973296</v>
      </c>
      <c r="F61" s="2167" t="s">
        <v>769</v>
      </c>
      <c r="G61" s="2176" t="s">
        <v>2227</v>
      </c>
      <c r="H61" s="2169" t="s">
        <v>2075</v>
      </c>
      <c r="I61" s="2170"/>
      <c r="J61" s="2171"/>
      <c r="K61" s="2172"/>
      <c r="L61" s="2183">
        <v>19977215</v>
      </c>
      <c r="M61" s="2181" t="s">
        <v>1805</v>
      </c>
      <c r="N61" s="2176" t="s">
        <v>2227</v>
      </c>
      <c r="O61" s="2176" t="s">
        <v>2069</v>
      </c>
      <c r="P61" s="2182"/>
      <c r="Q61" s="2167"/>
      <c r="R61" s="2178"/>
      <c r="S61" s="804">
        <v>22606608</v>
      </c>
      <c r="T61" s="2173" t="s">
        <v>1805</v>
      </c>
      <c r="U61" s="2178" t="s">
        <v>1806</v>
      </c>
      <c r="V61" s="2178" t="s">
        <v>1808</v>
      </c>
      <c r="W61" s="1818"/>
    </row>
    <row r="62" spans="1:23" s="168" customFormat="1" x14ac:dyDescent="0.2">
      <c r="A62" s="2140"/>
      <c r="B62" s="2163"/>
      <c r="C62" s="2164"/>
      <c r="D62" s="2165"/>
      <c r="E62" s="2166"/>
      <c r="F62" s="2167"/>
      <c r="G62" s="2168"/>
      <c r="H62" s="2169"/>
      <c r="I62" s="2170"/>
      <c r="J62" s="2171"/>
      <c r="K62" s="2172"/>
      <c r="L62" s="2174"/>
      <c r="M62" s="2184"/>
      <c r="N62" s="2184"/>
      <c r="O62" s="2185"/>
      <c r="P62" s="2182"/>
      <c r="Q62" s="2167"/>
      <c r="R62" s="2178"/>
      <c r="S62" s="2173"/>
      <c r="T62" s="2173"/>
      <c r="U62" s="2178"/>
      <c r="V62" s="2178"/>
      <c r="W62" s="1818"/>
    </row>
    <row r="63" spans="1:23" s="168" customFormat="1" ht="13.5" x14ac:dyDescent="0.2">
      <c r="A63" s="2140" t="s">
        <v>2030</v>
      </c>
      <c r="B63" s="2182">
        <f>E57*E61/E60</f>
        <v>3795.6799178404326</v>
      </c>
      <c r="C63" s="2167" t="s">
        <v>317</v>
      </c>
      <c r="D63" s="2165"/>
      <c r="E63" s="2166"/>
      <c r="F63" s="2167"/>
      <c r="G63" s="2168"/>
      <c r="H63" s="2169"/>
      <c r="I63" s="2182">
        <f>L57*L61/L60</f>
        <v>5703.3242921440842</v>
      </c>
      <c r="J63" s="2167" t="s">
        <v>317</v>
      </c>
      <c r="K63" s="2172"/>
      <c r="L63" s="2174"/>
      <c r="M63" s="2184"/>
      <c r="N63" s="2184"/>
      <c r="O63" s="2185"/>
      <c r="P63" s="2182">
        <f>S57*S61/S60</f>
        <v>6453.9935406100794</v>
      </c>
      <c r="Q63" s="2167" t="s">
        <v>1825</v>
      </c>
      <c r="R63" s="2178"/>
      <c r="S63" s="2173"/>
      <c r="T63" s="2173"/>
      <c r="U63" s="2178"/>
      <c r="V63" s="2178"/>
      <c r="W63" s="214"/>
    </row>
    <row r="64" spans="1:23" s="168" customFormat="1" ht="13.5" x14ac:dyDescent="0.2">
      <c r="A64" s="2141" t="s">
        <v>1798</v>
      </c>
      <c r="B64" s="2182">
        <f>(E59/B66)*B63</f>
        <v>546.47608695652173</v>
      </c>
      <c r="C64" s="2167" t="s">
        <v>317</v>
      </c>
      <c r="D64" s="2187"/>
      <c r="E64" s="2188">
        <f>E57*0.12</f>
        <v>670.34399999999994</v>
      </c>
      <c r="F64" s="2181" t="s">
        <v>317</v>
      </c>
      <c r="G64" s="2189" t="s">
        <v>259</v>
      </c>
      <c r="H64" s="2190" t="s">
        <v>206</v>
      </c>
      <c r="I64" s="2182">
        <f>(L59/I66)*I63</f>
        <v>756.81688804554085</v>
      </c>
      <c r="J64" s="2167" t="s">
        <v>317</v>
      </c>
      <c r="K64" s="2172"/>
      <c r="L64" s="2174"/>
      <c r="M64" s="2184"/>
      <c r="N64" s="2184"/>
      <c r="O64" s="2185"/>
      <c r="P64" s="2182">
        <f>(S59/P66)*P63</f>
        <v>623.6100897819581</v>
      </c>
      <c r="Q64" s="2167" t="s">
        <v>1825</v>
      </c>
      <c r="R64" s="2178"/>
      <c r="S64" s="2173"/>
      <c r="T64" s="2173"/>
      <c r="U64" s="2178"/>
      <c r="V64" s="2178"/>
    </row>
    <row r="65" spans="1:23" s="168" customFormat="1" ht="13.5" x14ac:dyDescent="0.2">
      <c r="A65" s="2141" t="s">
        <v>1799</v>
      </c>
      <c r="B65" s="2182">
        <f>B63-B64</f>
        <v>3249.203830883911</v>
      </c>
      <c r="C65" s="2167" t="s">
        <v>317</v>
      </c>
      <c r="D65" s="2187"/>
      <c r="E65" s="2166">
        <f>E57-E64</f>
        <v>4915.8559999999998</v>
      </c>
      <c r="F65" s="2167" t="s">
        <v>317</v>
      </c>
      <c r="G65" s="2168" t="s">
        <v>259</v>
      </c>
      <c r="H65" s="2177"/>
      <c r="I65" s="2182">
        <f>I63-I64</f>
        <v>4946.5074040985437</v>
      </c>
      <c r="J65" s="2167" t="s">
        <v>317</v>
      </c>
      <c r="K65" s="2172"/>
      <c r="L65" s="2174"/>
      <c r="M65" s="2184"/>
      <c r="N65" s="2184"/>
      <c r="O65" s="2185"/>
      <c r="P65" s="2182">
        <f>P63-P64</f>
        <v>5830.3834508281216</v>
      </c>
      <c r="Q65" s="2167" t="s">
        <v>1825</v>
      </c>
      <c r="R65" s="2178"/>
      <c r="S65" s="2173"/>
      <c r="T65" s="2173"/>
      <c r="U65" s="2178"/>
      <c r="V65" s="2178"/>
    </row>
    <row r="66" spans="1:23" s="168" customFormat="1" x14ac:dyDescent="0.2">
      <c r="A66" s="906" t="s">
        <v>29</v>
      </c>
      <c r="B66" s="2182">
        <f>E58*E61/E60</f>
        <v>687.62809724938563</v>
      </c>
      <c r="C66" s="2173" t="s">
        <v>23</v>
      </c>
      <c r="D66" s="2191"/>
      <c r="E66" s="2166">
        <v>1345</v>
      </c>
      <c r="F66" s="2167" t="s">
        <v>23</v>
      </c>
      <c r="G66" s="2168" t="s">
        <v>209</v>
      </c>
      <c r="H66" s="2177"/>
      <c r="I66" s="2182">
        <f>L58*L61/L60</f>
        <v>1582.546743167004</v>
      </c>
      <c r="J66" s="2173" t="s">
        <v>23</v>
      </c>
      <c r="K66" s="2172"/>
      <c r="L66" s="2174"/>
      <c r="M66" s="2192"/>
      <c r="N66" s="2192"/>
      <c r="O66" s="2193"/>
      <c r="P66" s="2182">
        <f>S58*S61/S60</f>
        <v>1987.0858090676552</v>
      </c>
      <c r="Q66" s="2173" t="s">
        <v>23</v>
      </c>
      <c r="R66" s="2190" t="s">
        <v>1802</v>
      </c>
      <c r="S66" s="2173"/>
      <c r="T66" s="2173"/>
      <c r="U66" s="2178"/>
      <c r="V66" s="2178"/>
    </row>
    <row r="67" spans="1:23" s="168" customFormat="1" x14ac:dyDescent="0.2">
      <c r="A67" s="906"/>
      <c r="B67" s="2174"/>
      <c r="C67" s="2174"/>
      <c r="D67" s="2191"/>
      <c r="E67" s="2166"/>
      <c r="F67" s="2167"/>
      <c r="G67" s="2168"/>
      <c r="H67" s="2177"/>
      <c r="I67" s="2174"/>
      <c r="J67" s="2174"/>
      <c r="K67" s="2172"/>
      <c r="L67" s="2174"/>
      <c r="M67" s="2192"/>
      <c r="N67" s="2192"/>
      <c r="O67" s="2193"/>
      <c r="P67" s="2174"/>
      <c r="Q67" s="2174"/>
      <c r="R67" s="2207"/>
      <c r="S67" s="2173"/>
      <c r="T67" s="2173"/>
      <c r="U67" s="2178"/>
      <c r="V67" s="2178"/>
    </row>
    <row r="68" spans="1:23" s="168" customFormat="1" x14ac:dyDescent="0.2">
      <c r="A68" s="906" t="s">
        <v>146</v>
      </c>
      <c r="B68" s="2182"/>
      <c r="C68" s="2173"/>
      <c r="D68" s="2191"/>
      <c r="E68" s="2166">
        <f>cruisecalls05</f>
        <v>167</v>
      </c>
      <c r="F68" s="2167" t="s">
        <v>23</v>
      </c>
      <c r="G68" s="2168" t="s">
        <v>208</v>
      </c>
      <c r="H68" s="2177"/>
      <c r="I68" s="2182"/>
      <c r="J68" s="2173"/>
      <c r="K68" s="2172"/>
      <c r="L68" s="2174"/>
      <c r="M68" s="2192"/>
      <c r="N68" s="2192"/>
      <c r="O68" s="2193"/>
      <c r="P68" s="2182"/>
      <c r="Q68" s="2173"/>
      <c r="R68" s="2190"/>
      <c r="S68" s="2173"/>
      <c r="T68" s="2173"/>
      <c r="U68" s="2178"/>
      <c r="V68" s="2178"/>
      <c r="W68" s="1804"/>
    </row>
    <row r="69" spans="1:23" s="168" customFormat="1" x14ac:dyDescent="0.2">
      <c r="A69" s="906" t="s">
        <v>22</v>
      </c>
      <c r="B69" s="2182">
        <v>31</v>
      </c>
      <c r="C69" s="2173" t="s">
        <v>23</v>
      </c>
      <c r="D69" s="2191"/>
      <c r="E69" s="2166">
        <f>shorepow05</f>
        <v>31</v>
      </c>
      <c r="F69" s="2167" t="s">
        <v>23</v>
      </c>
      <c r="G69" s="2168" t="s">
        <v>208</v>
      </c>
      <c r="H69" s="2194"/>
      <c r="I69" s="2182">
        <f>L59*E69/E68</f>
        <v>38.982035928143709</v>
      </c>
      <c r="J69" s="2173" t="s">
        <v>23</v>
      </c>
      <c r="K69" s="2172"/>
      <c r="L69" s="2174"/>
      <c r="M69" s="2192"/>
      <c r="N69" s="2192"/>
      <c r="O69" s="2193"/>
      <c r="P69" s="2182">
        <f>S59*E69/E68</f>
        <v>35.640718562874248</v>
      </c>
      <c r="Q69" s="2173" t="s">
        <v>23</v>
      </c>
      <c r="R69" s="2195" t="s">
        <v>1804</v>
      </c>
      <c r="S69" s="2173"/>
      <c r="T69" s="2173"/>
      <c r="U69" s="2178"/>
      <c r="V69" s="2178"/>
    </row>
    <row r="70" spans="1:23" s="168" customFormat="1" x14ac:dyDescent="0.2">
      <c r="A70" s="906"/>
      <c r="B70" s="2182"/>
      <c r="C70" s="2173"/>
      <c r="D70" s="2191"/>
      <c r="E70" s="2166"/>
      <c r="F70" s="2167"/>
      <c r="G70" s="2168"/>
      <c r="H70" s="2194"/>
      <c r="I70" s="2182"/>
      <c r="J70" s="2173"/>
      <c r="K70" s="2172"/>
      <c r="L70" s="2174"/>
      <c r="M70" s="2192"/>
      <c r="N70" s="2192"/>
      <c r="O70" s="2193"/>
      <c r="P70" s="2182"/>
      <c r="Q70" s="2173"/>
      <c r="R70" s="2178"/>
      <c r="S70" s="2173"/>
      <c r="T70" s="2173"/>
      <c r="U70" s="2178"/>
      <c r="V70" s="2178"/>
    </row>
    <row r="71" spans="1:23" s="168" customFormat="1" x14ac:dyDescent="0.2">
      <c r="A71" s="2140" t="s">
        <v>28</v>
      </c>
      <c r="B71" s="2182">
        <f>E61*tonTOMg</f>
        <v>12676294.665279999</v>
      </c>
      <c r="C71" s="2173" t="s">
        <v>769</v>
      </c>
      <c r="D71" s="2165"/>
      <c r="E71" s="2166">
        <v>20564860</v>
      </c>
      <c r="F71" s="2167" t="s">
        <v>769</v>
      </c>
      <c r="G71" s="2168" t="s">
        <v>209</v>
      </c>
      <c r="H71" s="2177"/>
      <c r="I71" s="2182">
        <f>L61*tonTOMg</f>
        <v>18122929.903700002</v>
      </c>
      <c r="J71" s="2173" t="s">
        <v>769</v>
      </c>
      <c r="K71" s="2172"/>
      <c r="L71" s="2174"/>
      <c r="M71" s="2192"/>
      <c r="N71" s="2192"/>
      <c r="O71" s="2193"/>
      <c r="P71" s="2182">
        <f>S61*tonTOMg</f>
        <v>20508262.645440001</v>
      </c>
      <c r="Q71" s="2173" t="s">
        <v>769</v>
      </c>
      <c r="R71" s="2196"/>
      <c r="S71" s="2173"/>
      <c r="T71" s="2173"/>
      <c r="U71" s="2178"/>
      <c r="V71" s="2178"/>
    </row>
    <row r="72" spans="1:23" s="168" customFormat="1" x14ac:dyDescent="0.2">
      <c r="A72" s="2129" t="s">
        <v>120</v>
      </c>
      <c r="B72" s="2182"/>
      <c r="C72" s="2173"/>
      <c r="D72" s="2197"/>
      <c r="E72" s="2166"/>
      <c r="F72" s="2168"/>
      <c r="G72" s="2168"/>
      <c r="H72" s="2177"/>
      <c r="I72" s="2182"/>
      <c r="J72" s="2173"/>
      <c r="K72" s="2172"/>
      <c r="L72" s="2174"/>
      <c r="M72" s="2192"/>
      <c r="N72" s="2192"/>
      <c r="O72" s="2193"/>
      <c r="P72" s="2182"/>
      <c r="Q72" s="2173"/>
      <c r="R72" s="2178"/>
      <c r="S72" s="2173"/>
      <c r="T72" s="2173"/>
      <c r="U72" s="2178"/>
      <c r="V72" s="2178"/>
    </row>
    <row r="73" spans="1:23" s="168" customFormat="1" ht="13.5" x14ac:dyDescent="0.2">
      <c r="A73" s="2142" t="s">
        <v>1809</v>
      </c>
      <c r="B73" s="2182">
        <f>B63*tonTOMg</f>
        <v>3443.3649078664835</v>
      </c>
      <c r="C73" s="2173" t="s">
        <v>168</v>
      </c>
      <c r="D73" s="2172"/>
      <c r="E73" s="2166"/>
      <c r="F73" s="2168"/>
      <c r="G73" s="2168"/>
      <c r="H73" s="2177"/>
      <c r="I73" s="2182">
        <f>I63*tonTOMg</f>
        <v>5173.9417313472704</v>
      </c>
      <c r="J73" s="2173" t="s">
        <v>168</v>
      </c>
      <c r="K73" s="2172"/>
      <c r="L73" s="2174"/>
      <c r="M73" s="2192"/>
      <c r="N73" s="2192"/>
      <c r="O73" s="2193"/>
      <c r="P73" s="2182">
        <f>P63*tonTOMg</f>
        <v>5854.9338601706522</v>
      </c>
      <c r="Q73" s="2173" t="s">
        <v>1826</v>
      </c>
      <c r="R73" s="2178"/>
      <c r="S73" s="2173"/>
      <c r="T73" s="2173"/>
      <c r="U73" s="2178"/>
      <c r="V73" s="2178"/>
    </row>
    <row r="74" spans="1:23" s="168" customFormat="1" ht="13.5" x14ac:dyDescent="0.2">
      <c r="A74" s="2143" t="s">
        <v>1086</v>
      </c>
      <c r="B74" s="2182"/>
      <c r="C74" s="2173"/>
      <c r="D74" s="2198"/>
      <c r="E74" s="2199">
        <f>E57*tonTOMg</f>
        <v>5067.6889160000001</v>
      </c>
      <c r="F74" s="2167" t="s">
        <v>168</v>
      </c>
      <c r="G74" s="2168"/>
      <c r="H74" s="2177"/>
      <c r="I74" s="2182"/>
      <c r="J74" s="2173"/>
      <c r="K74" s="2172"/>
      <c r="L74" s="2174"/>
      <c r="M74" s="2192"/>
      <c r="N74" s="2192"/>
      <c r="O74" s="2193"/>
      <c r="P74" s="2182"/>
      <c r="Q74" s="2173"/>
      <c r="R74" s="2178"/>
      <c r="S74" s="2173"/>
      <c r="T74" s="2173"/>
      <c r="U74" s="2178"/>
      <c r="V74" s="2178"/>
    </row>
    <row r="75" spans="1:23" s="168" customFormat="1" x14ac:dyDescent="0.2">
      <c r="A75" s="2143"/>
      <c r="B75" s="2182"/>
      <c r="C75" s="2173"/>
      <c r="D75" s="2198"/>
      <c r="E75" s="2199"/>
      <c r="F75" s="2167"/>
      <c r="G75" s="2168"/>
      <c r="H75" s="2177"/>
      <c r="I75" s="2182"/>
      <c r="J75" s="2173"/>
      <c r="K75" s="2172"/>
      <c r="L75" s="2174"/>
      <c r="M75" s="2192"/>
      <c r="N75" s="2192"/>
      <c r="O75" s="2193"/>
      <c r="P75" s="2182"/>
      <c r="Q75" s="2173"/>
      <c r="R75" s="2178"/>
      <c r="S75" s="2173"/>
      <c r="T75" s="2173"/>
      <c r="U75" s="2178"/>
      <c r="V75" s="2178"/>
    </row>
    <row r="76" spans="1:23" s="168" customFormat="1" ht="13.5" x14ac:dyDescent="0.2">
      <c r="A76" s="2142" t="s">
        <v>155</v>
      </c>
      <c r="B76" s="2182">
        <f>B64*tonTOMg</f>
        <v>495.75217656521738</v>
      </c>
      <c r="C76" s="2173" t="s">
        <v>168</v>
      </c>
      <c r="D76" s="2172"/>
      <c r="E76" s="2199">
        <f>E64*tonTOMg</f>
        <v>608.12266991999991</v>
      </c>
      <c r="F76" s="2167" t="s">
        <v>168</v>
      </c>
      <c r="G76" s="2168"/>
      <c r="H76" s="2177"/>
      <c r="I76" s="2182">
        <f>I64*tonTOMg</f>
        <v>686.56914449715373</v>
      </c>
      <c r="J76" s="2173" t="s">
        <v>168</v>
      </c>
      <c r="K76" s="2172"/>
      <c r="L76" s="2174"/>
      <c r="M76" s="2192"/>
      <c r="N76" s="2192"/>
      <c r="O76" s="2193"/>
      <c r="P76" s="2182">
        <f>P64*tonTOMg</f>
        <v>565.72660124839672</v>
      </c>
      <c r="Q76" s="2173" t="s">
        <v>1826</v>
      </c>
      <c r="R76" s="2178"/>
      <c r="S76" s="2173"/>
      <c r="T76" s="2173"/>
      <c r="U76" s="2178"/>
      <c r="V76" s="2178"/>
    </row>
    <row r="77" spans="1:23" s="168" customFormat="1" ht="13.5" x14ac:dyDescent="0.2">
      <c r="A77" s="2142" t="s">
        <v>1799</v>
      </c>
      <c r="B77" s="2182">
        <f>B65*tonTOMg</f>
        <v>2947.6127313012662</v>
      </c>
      <c r="C77" s="2173" t="s">
        <v>168</v>
      </c>
      <c r="D77" s="2172"/>
      <c r="E77" s="2199">
        <f>E65*tonTOMg</f>
        <v>4459.5662460799995</v>
      </c>
      <c r="F77" s="2167" t="s">
        <v>168</v>
      </c>
      <c r="G77" s="2168"/>
      <c r="H77" s="2177"/>
      <c r="I77" s="2182">
        <f>I65*tonTOMg</f>
        <v>4487.3725868501169</v>
      </c>
      <c r="J77" s="2173" t="s">
        <v>168</v>
      </c>
      <c r="K77" s="2172"/>
      <c r="L77" s="2174"/>
      <c r="M77" s="2192"/>
      <c r="N77" s="2192"/>
      <c r="O77" s="2193"/>
      <c r="P77" s="2182">
        <f>P65*tonTOMg</f>
        <v>5289.2072589222553</v>
      </c>
      <c r="Q77" s="2173" t="s">
        <v>1826</v>
      </c>
      <c r="R77" s="2178"/>
      <c r="S77" s="2173"/>
      <c r="T77" s="2173"/>
      <c r="U77" s="2178"/>
      <c r="V77" s="2178"/>
    </row>
    <row r="78" spans="1:23" s="168" customFormat="1" ht="24" x14ac:dyDescent="0.2">
      <c r="A78" s="2143" t="s">
        <v>1087</v>
      </c>
      <c r="B78" s="2182">
        <f>B77*E61/E60</f>
        <v>2002.82740499284</v>
      </c>
      <c r="C78" s="2173" t="s">
        <v>168</v>
      </c>
      <c r="D78" s="2198"/>
      <c r="E78" s="2200"/>
      <c r="F78" s="2201"/>
      <c r="G78" s="2202"/>
      <c r="H78" s="2203"/>
      <c r="I78" s="2182">
        <f>I77*L61/L60</f>
        <v>3368.8220458712271</v>
      </c>
      <c r="J78" s="2173" t="s">
        <v>168</v>
      </c>
      <c r="K78" s="2172"/>
      <c r="L78" s="2174"/>
      <c r="M78" s="2192"/>
      <c r="N78" s="2192"/>
      <c r="O78" s="2193"/>
      <c r="P78" s="2182">
        <f>P77*S61/S60</f>
        <v>4493.4197030449104</v>
      </c>
      <c r="Q78" s="2173" t="s">
        <v>1826</v>
      </c>
      <c r="R78" s="2178"/>
      <c r="S78" s="2173"/>
      <c r="T78" s="2173"/>
      <c r="U78" s="2178"/>
      <c r="V78" s="2178"/>
    </row>
    <row r="79" spans="1:23" s="168" customFormat="1" x14ac:dyDescent="0.2">
      <c r="A79" s="2143" t="s">
        <v>1088</v>
      </c>
      <c r="B79" s="2163"/>
      <c r="C79" s="2189"/>
      <c r="D79" s="2198"/>
      <c r="E79" s="2204"/>
      <c r="F79" s="2205"/>
      <c r="G79" s="2202"/>
      <c r="H79" s="2203"/>
      <c r="I79" s="2206"/>
      <c r="J79" s="2171"/>
      <c r="K79" s="2172"/>
      <c r="L79" s="2174"/>
      <c r="M79" s="2192"/>
      <c r="N79" s="2192"/>
      <c r="O79" s="2193"/>
      <c r="P79" s="2174"/>
      <c r="Q79" s="2174"/>
      <c r="R79" s="2207"/>
      <c r="S79" s="2174"/>
      <c r="T79" s="2174"/>
      <c r="U79" s="2207"/>
      <c r="V79" s="2207"/>
    </row>
    <row r="80" spans="1:23" s="168" customFormat="1" ht="13.5" x14ac:dyDescent="0.2">
      <c r="A80" s="2130" t="s">
        <v>1089</v>
      </c>
      <c r="B80" s="2208"/>
      <c r="C80" s="2209"/>
      <c r="D80" s="2197"/>
      <c r="E80" s="2210">
        <f>E74</f>
        <v>5067.6889160000001</v>
      </c>
      <c r="F80" s="2211" t="s">
        <v>207</v>
      </c>
      <c r="G80" s="2202"/>
      <c r="H80" s="2203"/>
      <c r="I80" s="2206"/>
      <c r="J80" s="2171"/>
      <c r="K80" s="2172"/>
      <c r="L80" s="2174"/>
      <c r="M80" s="2192"/>
      <c r="N80" s="2192"/>
      <c r="O80" s="2193"/>
      <c r="P80" s="2174"/>
      <c r="Q80" s="2174"/>
      <c r="R80" s="2207"/>
      <c r="S80" s="2174"/>
      <c r="T80" s="2174"/>
      <c r="U80" s="2207"/>
      <c r="V80" s="2207"/>
    </row>
    <row r="81" spans="1:22" s="168" customFormat="1" x14ac:dyDescent="0.2">
      <c r="A81" s="2125" t="s">
        <v>119</v>
      </c>
      <c r="B81" s="2208"/>
      <c r="C81" s="2209"/>
      <c r="D81" s="2197"/>
      <c r="E81" s="2212"/>
      <c r="F81" s="2202"/>
      <c r="G81" s="2202"/>
      <c r="H81" s="2203"/>
      <c r="I81" s="2206"/>
      <c r="J81" s="2171"/>
      <c r="K81" s="2172"/>
      <c r="L81" s="2174"/>
      <c r="M81" s="2192"/>
      <c r="N81" s="2192"/>
      <c r="O81" s="2193"/>
      <c r="P81" s="2174"/>
      <c r="Q81" s="2174"/>
      <c r="R81" s="2207"/>
      <c r="S81" s="2174"/>
      <c r="T81" s="2174"/>
      <c r="U81" s="2207"/>
      <c r="V81" s="2207"/>
    </row>
    <row r="82" spans="1:22" s="168" customFormat="1" x14ac:dyDescent="0.2">
      <c r="A82" s="2144" t="s">
        <v>1104</v>
      </c>
      <c r="B82" s="2213"/>
      <c r="C82" s="2186"/>
      <c r="D82" s="2178"/>
      <c r="E82" s="2212">
        <v>686357</v>
      </c>
      <c r="F82" s="2168" t="s">
        <v>1106</v>
      </c>
      <c r="G82" s="2202"/>
      <c r="H82" s="2203"/>
      <c r="I82" s="2174"/>
      <c r="J82" s="2171"/>
      <c r="K82" s="2172"/>
      <c r="L82" s="2174"/>
      <c r="M82" s="2192"/>
      <c r="N82" s="2192"/>
      <c r="O82" s="2193"/>
      <c r="P82" s="2174"/>
      <c r="Q82" s="2174"/>
      <c r="R82" s="2207"/>
      <c r="S82" s="2174"/>
      <c r="T82" s="2174"/>
      <c r="U82" s="2207"/>
      <c r="V82" s="2207"/>
    </row>
    <row r="83" spans="1:22" s="168" customFormat="1" x14ac:dyDescent="0.2">
      <c r="A83" s="2144" t="s">
        <v>1105</v>
      </c>
      <c r="B83" s="2213"/>
      <c r="C83" s="2186"/>
      <c r="D83" s="2178"/>
      <c r="E83" s="2212">
        <v>345000</v>
      </c>
      <c r="F83" s="2168" t="s">
        <v>1106</v>
      </c>
      <c r="G83" s="2202"/>
      <c r="H83" s="2203"/>
      <c r="I83" s="2174"/>
      <c r="J83" s="2171"/>
      <c r="K83" s="2172"/>
      <c r="L83" s="2174"/>
      <c r="M83" s="2192"/>
      <c r="N83" s="2192"/>
      <c r="O83" s="2193"/>
      <c r="P83" s="2174"/>
      <c r="Q83" s="2174"/>
      <c r="R83" s="2207"/>
      <c r="S83" s="2174"/>
      <c r="T83" s="2174"/>
      <c r="U83" s="2207"/>
      <c r="V83" s="2207"/>
    </row>
    <row r="84" spans="1:22" s="168" customFormat="1" x14ac:dyDescent="0.2">
      <c r="A84" s="2141" t="s">
        <v>29</v>
      </c>
      <c r="B84" s="2170"/>
      <c r="C84" s="2214"/>
      <c r="D84" s="2187"/>
      <c r="E84" s="2175">
        <v>1012</v>
      </c>
      <c r="F84" s="2168" t="s">
        <v>23</v>
      </c>
      <c r="G84" s="2176" t="s">
        <v>2227</v>
      </c>
      <c r="H84" s="2177" t="s">
        <v>1074</v>
      </c>
      <c r="I84" s="2215">
        <v>1226</v>
      </c>
      <c r="J84" s="2192" t="s">
        <v>23</v>
      </c>
      <c r="K84" s="2203" t="s">
        <v>209</v>
      </c>
      <c r="L84" s="2174"/>
      <c r="M84" s="2192"/>
      <c r="N84" s="2192"/>
      <c r="O84" s="2193"/>
      <c r="P84" s="2174"/>
      <c r="Q84" s="2174"/>
      <c r="R84" s="2207"/>
      <c r="S84" s="2174"/>
      <c r="T84" s="2174"/>
      <c r="U84" s="2207"/>
      <c r="V84" s="2207"/>
    </row>
    <row r="85" spans="1:22" s="168" customFormat="1" x14ac:dyDescent="0.2">
      <c r="A85" s="2141" t="s">
        <v>146</v>
      </c>
      <c r="B85" s="2170"/>
      <c r="C85" s="2214"/>
      <c r="D85" s="2187"/>
      <c r="E85" s="2175">
        <f>E68*(E83/E82)</f>
        <v>83.943195742157513</v>
      </c>
      <c r="F85" s="2179" t="s">
        <v>23</v>
      </c>
      <c r="G85" s="2202"/>
      <c r="H85" s="2177" t="s">
        <v>1107</v>
      </c>
      <c r="I85" s="2216">
        <f>cruisecalls08</f>
        <v>209</v>
      </c>
      <c r="J85" s="2179" t="s">
        <v>23</v>
      </c>
      <c r="K85" s="2203" t="s">
        <v>208</v>
      </c>
      <c r="L85" s="2174"/>
      <c r="M85" s="2192"/>
      <c r="N85" s="2192"/>
      <c r="O85" s="2193"/>
      <c r="P85" s="2174"/>
      <c r="Q85" s="2174"/>
      <c r="R85" s="2207"/>
      <c r="S85" s="2174"/>
      <c r="T85" s="2174"/>
      <c r="U85" s="2207"/>
      <c r="V85" s="2207"/>
    </row>
    <row r="86" spans="1:22" s="168" customFormat="1" x14ac:dyDescent="0.2">
      <c r="A86" s="2141" t="s">
        <v>22</v>
      </c>
      <c r="B86" s="2170"/>
      <c r="C86" s="2214"/>
      <c r="D86" s="2187"/>
      <c r="E86" s="2175">
        <f>E69*(E83/E82)</f>
        <v>15.582269868304689</v>
      </c>
      <c r="F86" s="2179" t="s">
        <v>23</v>
      </c>
      <c r="G86" s="2217"/>
      <c r="H86" s="2177" t="s">
        <v>1107</v>
      </c>
      <c r="I86" s="2216">
        <f>shorepow08</f>
        <v>108</v>
      </c>
      <c r="J86" s="2179" t="s">
        <v>23</v>
      </c>
      <c r="K86" s="2203" t="s">
        <v>208</v>
      </c>
      <c r="L86" s="2174"/>
      <c r="M86" s="2192"/>
      <c r="N86" s="2192"/>
      <c r="O86" s="2193"/>
      <c r="P86" s="2174"/>
      <c r="Q86" s="2174"/>
      <c r="R86" s="2207"/>
      <c r="S86" s="2174"/>
      <c r="T86" s="2174"/>
      <c r="U86" s="2207"/>
      <c r="V86" s="2207"/>
    </row>
    <row r="87" spans="1:22" s="168" customFormat="1" x14ac:dyDescent="0.2">
      <c r="A87" s="2141" t="s">
        <v>28</v>
      </c>
      <c r="B87" s="2170"/>
      <c r="C87" s="2214"/>
      <c r="D87" s="2187"/>
      <c r="E87" s="2175">
        <v>13973296</v>
      </c>
      <c r="F87" s="2168" t="s">
        <v>769</v>
      </c>
      <c r="G87" s="2202"/>
      <c r="H87" s="2203"/>
      <c r="I87" s="2212">
        <v>19977215</v>
      </c>
      <c r="J87" s="2167" t="s">
        <v>769</v>
      </c>
      <c r="K87" s="2203" t="s">
        <v>209</v>
      </c>
      <c r="L87" s="2174"/>
      <c r="M87" s="2192"/>
      <c r="N87" s="2192"/>
      <c r="O87" s="2193"/>
      <c r="P87" s="2174"/>
      <c r="Q87" s="2174"/>
      <c r="R87" s="2207"/>
      <c r="S87" s="2174"/>
      <c r="T87" s="2174"/>
      <c r="U87" s="2207"/>
      <c r="V87" s="2207"/>
    </row>
    <row r="88" spans="1:22" s="168" customFormat="1" x14ac:dyDescent="0.2">
      <c r="A88" s="2129" t="s">
        <v>120</v>
      </c>
      <c r="B88" s="2208"/>
      <c r="C88" s="2209"/>
      <c r="D88" s="2197"/>
      <c r="E88" s="2218"/>
      <c r="F88" s="2206"/>
      <c r="G88" s="2206"/>
      <c r="H88" s="2185"/>
      <c r="I88" s="2219"/>
      <c r="J88" s="2171"/>
      <c r="K88" s="2172"/>
      <c r="L88" s="2174"/>
      <c r="M88" s="2192"/>
      <c r="N88" s="2192"/>
      <c r="O88" s="2193"/>
      <c r="P88" s="2174"/>
      <c r="Q88" s="2174"/>
      <c r="R88" s="2207"/>
      <c r="S88" s="2174"/>
      <c r="T88" s="2174"/>
      <c r="U88" s="2207"/>
      <c r="V88" s="2207"/>
    </row>
    <row r="89" spans="1:22" s="215" customFormat="1" x14ac:dyDescent="0.2">
      <c r="A89" s="2142" t="s">
        <v>1809</v>
      </c>
      <c r="B89" s="2170"/>
      <c r="C89" s="2220"/>
      <c r="D89" s="2172"/>
      <c r="E89" s="2221"/>
      <c r="F89" s="2209"/>
      <c r="G89" s="2209"/>
      <c r="H89" s="2197"/>
      <c r="I89" s="2222"/>
      <c r="J89" s="2209"/>
      <c r="K89" s="2197"/>
      <c r="L89" s="2209"/>
      <c r="M89" s="2220"/>
      <c r="N89" s="2220"/>
      <c r="O89" s="2172"/>
      <c r="P89" s="2209"/>
      <c r="Q89" s="2209"/>
      <c r="R89" s="2197"/>
      <c r="S89" s="2209"/>
      <c r="T89" s="2209"/>
      <c r="U89" s="2197"/>
      <c r="V89" s="2197"/>
    </row>
    <row r="90" spans="1:22" s="215" customFormat="1" x14ac:dyDescent="0.2">
      <c r="A90" s="2142" t="s">
        <v>1810</v>
      </c>
      <c r="B90" s="2170"/>
      <c r="C90" s="2220"/>
      <c r="D90" s="2172"/>
      <c r="E90" s="2223"/>
      <c r="F90" s="2209"/>
      <c r="G90" s="2209"/>
      <c r="H90" s="2197"/>
      <c r="I90" s="2224"/>
      <c r="J90" s="2209"/>
      <c r="K90" s="2197"/>
      <c r="L90" s="2209"/>
      <c r="M90" s="2220"/>
      <c r="N90" s="2220"/>
      <c r="O90" s="2172"/>
      <c r="P90" s="2209"/>
      <c r="Q90" s="2209"/>
      <c r="R90" s="2197"/>
      <c r="S90" s="2209"/>
      <c r="T90" s="2209"/>
      <c r="U90" s="2197"/>
      <c r="V90" s="2197"/>
    </row>
    <row r="91" spans="1:22" s="215" customFormat="1" x14ac:dyDescent="0.2">
      <c r="A91" s="2142" t="s">
        <v>155</v>
      </c>
      <c r="B91" s="2170"/>
      <c r="C91" s="2220"/>
      <c r="D91" s="2172"/>
      <c r="E91" s="2221"/>
      <c r="F91" s="2209"/>
      <c r="G91" s="2209"/>
      <c r="H91" s="2197"/>
      <c r="I91" s="2224"/>
      <c r="J91" s="2179"/>
      <c r="K91" s="2197"/>
      <c r="L91" s="2209"/>
      <c r="M91" s="2220"/>
      <c r="N91" s="2220"/>
      <c r="O91" s="2172"/>
      <c r="P91" s="2209"/>
      <c r="Q91" s="2209"/>
      <c r="R91" s="2197"/>
      <c r="S91" s="2209"/>
      <c r="T91" s="2209"/>
      <c r="U91" s="2197"/>
      <c r="V91" s="2197"/>
    </row>
    <row r="92" spans="1:22" s="215" customFormat="1" x14ac:dyDescent="0.2">
      <c r="A92" s="2142" t="s">
        <v>1799</v>
      </c>
      <c r="B92" s="2170"/>
      <c r="C92" s="2220"/>
      <c r="D92" s="2172"/>
      <c r="E92" s="2221"/>
      <c r="F92" s="2209"/>
      <c r="G92" s="2209"/>
      <c r="H92" s="2197"/>
      <c r="I92" s="2224"/>
      <c r="J92" s="2179"/>
      <c r="K92" s="2197"/>
      <c r="L92" s="2209"/>
      <c r="M92" s="2220"/>
      <c r="N92" s="2220"/>
      <c r="O92" s="2172"/>
      <c r="P92" s="2209"/>
      <c r="Q92" s="2209"/>
      <c r="R92" s="2197"/>
      <c r="S92" s="2209"/>
      <c r="T92" s="2209"/>
      <c r="U92" s="2197"/>
      <c r="V92" s="2197"/>
    </row>
    <row r="93" spans="1:22" s="215" customFormat="1" ht="13.5" x14ac:dyDescent="0.2">
      <c r="A93" s="2143" t="s">
        <v>1108</v>
      </c>
      <c r="B93" s="2163"/>
      <c r="C93" s="2189"/>
      <c r="D93" s="2198"/>
      <c r="E93" s="2215">
        <f>E76*(E85/E68)</f>
        <v>305.67521147507784</v>
      </c>
      <c r="F93" s="2179" t="s">
        <v>168</v>
      </c>
      <c r="G93" s="2209"/>
      <c r="H93" s="2197"/>
      <c r="I93" s="2215">
        <f>E76*(I85/E68)</f>
        <v>761.06370067832324</v>
      </c>
      <c r="J93" s="2179" t="s">
        <v>168</v>
      </c>
      <c r="K93" s="2172" t="s">
        <v>208</v>
      </c>
      <c r="L93" s="2209"/>
      <c r="M93" s="2189" t="s">
        <v>1202</v>
      </c>
      <c r="N93" s="2189"/>
      <c r="O93" s="2198"/>
      <c r="P93" s="2209"/>
      <c r="Q93" s="2209"/>
      <c r="R93" s="2197"/>
      <c r="S93" s="2209"/>
      <c r="T93" s="2209"/>
      <c r="U93" s="2197"/>
      <c r="V93" s="2197"/>
    </row>
    <row r="94" spans="1:22" s="215" customFormat="1" ht="13.5" x14ac:dyDescent="0.2">
      <c r="A94" s="2142" t="s">
        <v>1811</v>
      </c>
      <c r="B94" s="2170"/>
      <c r="C94" s="2220"/>
      <c r="D94" s="2172"/>
      <c r="E94" s="2215">
        <f>E77*(E87/E71)</f>
        <v>3030.1611189225055</v>
      </c>
      <c r="F94" s="2192" t="s">
        <v>168</v>
      </c>
      <c r="G94" s="2209"/>
      <c r="H94" s="2197"/>
      <c r="I94" s="2215">
        <f>E77*(I87/E71)</f>
        <v>4332.1332459682708</v>
      </c>
      <c r="J94" s="2192" t="s">
        <v>168</v>
      </c>
      <c r="K94" s="2172" t="s">
        <v>208</v>
      </c>
      <c r="L94" s="2209"/>
      <c r="M94" s="2189" t="s">
        <v>1046</v>
      </c>
      <c r="N94" s="2189"/>
      <c r="O94" s="2198"/>
      <c r="P94" s="2209"/>
      <c r="Q94" s="2209"/>
      <c r="R94" s="2197"/>
      <c r="S94" s="2209"/>
      <c r="T94" s="2209"/>
      <c r="U94" s="2197"/>
      <c r="V94" s="2197"/>
    </row>
    <row r="95" spans="1:22" s="215" customFormat="1" ht="13.5" x14ac:dyDescent="0.2">
      <c r="A95" s="2130" t="s">
        <v>134</v>
      </c>
      <c r="B95" s="2208"/>
      <c r="C95" s="2209"/>
      <c r="D95" s="2197"/>
      <c r="E95" s="2224">
        <f>SUM(E93:E94)</f>
        <v>3335.8363303975834</v>
      </c>
      <c r="F95" s="2211" t="s">
        <v>207</v>
      </c>
      <c r="G95" s="2209"/>
      <c r="H95" s="2197"/>
      <c r="I95" s="2224">
        <f>SUM(I93:I94)</f>
        <v>5093.1969466465944</v>
      </c>
      <c r="J95" s="2211" t="s">
        <v>207</v>
      </c>
      <c r="K95" s="2225" t="s">
        <v>181</v>
      </c>
      <c r="L95" s="2209"/>
      <c r="M95" s="2209"/>
      <c r="N95" s="2209"/>
      <c r="O95" s="2197"/>
      <c r="P95" s="2209"/>
      <c r="Q95" s="2209"/>
      <c r="R95" s="2197"/>
      <c r="S95" s="2209"/>
      <c r="T95" s="2209"/>
      <c r="U95" s="2197"/>
      <c r="V95" s="2197"/>
    </row>
    <row r="96" spans="1:22" s="208" customFormat="1" x14ac:dyDescent="0.2">
      <c r="A96" s="2142"/>
      <c r="B96" s="2170"/>
      <c r="C96" s="2220"/>
      <c r="D96" s="2172"/>
      <c r="E96" s="2175"/>
      <c r="F96" s="2192"/>
      <c r="G96" s="2192"/>
      <c r="H96" s="2193"/>
      <c r="I96" s="2215"/>
      <c r="J96" s="2192"/>
      <c r="K96" s="2172"/>
      <c r="L96" s="2234"/>
      <c r="M96" s="2192"/>
      <c r="N96" s="2192"/>
      <c r="O96" s="2193"/>
      <c r="P96" s="2234"/>
      <c r="Q96" s="2234"/>
      <c r="R96" s="2235"/>
      <c r="S96" s="2234"/>
      <c r="T96" s="2234"/>
      <c r="U96" s="2235"/>
      <c r="V96" s="2235"/>
    </row>
    <row r="97" spans="1:22" s="92" customFormat="1" x14ac:dyDescent="0.2">
      <c r="A97" s="2138" t="s">
        <v>132</v>
      </c>
      <c r="B97" s="2208"/>
      <c r="C97" s="2226"/>
      <c r="D97" s="2227"/>
      <c r="E97" s="2188"/>
      <c r="F97" s="2189"/>
      <c r="G97" s="2189"/>
      <c r="H97" s="2198"/>
      <c r="I97" s="2215"/>
      <c r="J97" s="2171"/>
      <c r="K97" s="2172"/>
      <c r="L97" s="2236"/>
      <c r="M97" s="2192"/>
      <c r="N97" s="2192"/>
      <c r="O97" s="2193"/>
      <c r="P97" s="2236"/>
      <c r="Q97" s="2236"/>
      <c r="R97" s="2237"/>
      <c r="S97" s="2236"/>
      <c r="T97" s="2236"/>
      <c r="U97" s="2237"/>
      <c r="V97" s="2237"/>
    </row>
    <row r="98" spans="1:22" s="168" customFormat="1" ht="12" customHeight="1" x14ac:dyDescent="0.2">
      <c r="A98" s="2125" t="s">
        <v>119</v>
      </c>
      <c r="B98" s="2208"/>
      <c r="C98" s="2209"/>
      <c r="D98" s="2197"/>
      <c r="E98" s="2188"/>
      <c r="F98" s="2189"/>
      <c r="G98" s="2189"/>
      <c r="H98" s="2198"/>
      <c r="I98" s="2170"/>
      <c r="J98" s="2171"/>
      <c r="K98" s="2172"/>
      <c r="L98" s="2174"/>
      <c r="M98" s="2192"/>
      <c r="N98" s="2192"/>
      <c r="O98" s="2193"/>
      <c r="P98" s="2173"/>
      <c r="Q98" s="2173"/>
      <c r="R98" s="2178"/>
      <c r="S98" s="2174"/>
      <c r="T98" s="2174"/>
      <c r="U98" s="2207"/>
      <c r="V98" s="2207"/>
    </row>
    <row r="99" spans="1:22" s="168" customFormat="1" ht="12" customHeight="1" x14ac:dyDescent="0.2">
      <c r="A99" s="2130"/>
      <c r="B99" s="2208"/>
      <c r="C99" s="2209"/>
      <c r="D99" s="2197"/>
      <c r="E99" s="2173">
        <v>54479</v>
      </c>
      <c r="F99" s="2173" t="s">
        <v>1827</v>
      </c>
      <c r="G99" s="2173" t="s">
        <v>1796</v>
      </c>
      <c r="H99" s="2178" t="s">
        <v>1797</v>
      </c>
      <c r="I99" s="2170"/>
      <c r="J99" s="2171"/>
      <c r="K99" s="2172"/>
      <c r="L99" s="2173">
        <v>54479</v>
      </c>
      <c r="M99" s="2173" t="s">
        <v>1827</v>
      </c>
      <c r="N99" s="2173" t="s">
        <v>1796</v>
      </c>
      <c r="O99" s="2178" t="s">
        <v>1797</v>
      </c>
      <c r="P99" s="2173"/>
      <c r="Q99" s="2173"/>
      <c r="R99" s="2178"/>
      <c r="S99" s="2173">
        <v>54479</v>
      </c>
      <c r="T99" s="2173" t="s">
        <v>1827</v>
      </c>
      <c r="U99" s="2178" t="s">
        <v>1796</v>
      </c>
      <c r="V99" s="2178" t="s">
        <v>1797</v>
      </c>
    </row>
    <row r="100" spans="1:22" s="168" customFormat="1" ht="12" customHeight="1" x14ac:dyDescent="0.2">
      <c r="A100" s="2130"/>
      <c r="B100" s="2208"/>
      <c r="C100" s="2209"/>
      <c r="D100" s="2197"/>
      <c r="E100" s="2188"/>
      <c r="F100" s="2189"/>
      <c r="G100" s="2189"/>
      <c r="H100" s="2198"/>
      <c r="I100" s="2170"/>
      <c r="J100" s="2171"/>
      <c r="K100" s="2172"/>
      <c r="L100" s="2174"/>
      <c r="M100" s="2192"/>
      <c r="N100" s="2192"/>
      <c r="O100" s="2193"/>
      <c r="P100" s="2173"/>
      <c r="Q100" s="2173"/>
      <c r="R100" s="2178"/>
      <c r="S100" s="2173"/>
      <c r="T100" s="2173"/>
      <c r="U100" s="2178"/>
      <c r="V100" s="2178"/>
    </row>
    <row r="101" spans="1:22" s="168" customFormat="1" ht="13.5" x14ac:dyDescent="0.2">
      <c r="A101" s="2146" t="s">
        <v>1090</v>
      </c>
      <c r="B101" s="2239">
        <f>E99*tonTOMg</f>
        <v>49422.25922</v>
      </c>
      <c r="C101" s="2173" t="s">
        <v>168</v>
      </c>
      <c r="D101" s="2197"/>
      <c r="E101" s="2166">
        <v>55738.3</v>
      </c>
      <c r="F101" s="2230" t="s">
        <v>317</v>
      </c>
      <c r="G101" s="2168" t="s">
        <v>259</v>
      </c>
      <c r="H101" s="2169" t="s">
        <v>260</v>
      </c>
      <c r="I101" s="2239">
        <f>L99*tonTOMg</f>
        <v>49422.25922</v>
      </c>
      <c r="J101" s="2173" t="s">
        <v>168</v>
      </c>
      <c r="K101" s="2172"/>
      <c r="L101" s="2174"/>
      <c r="M101" s="2192"/>
      <c r="N101" s="2192"/>
      <c r="O101" s="2193"/>
      <c r="P101" s="2239">
        <f>S99*tonTOMg</f>
        <v>49422.25922</v>
      </c>
      <c r="Q101" s="2173" t="s">
        <v>1826</v>
      </c>
      <c r="R101" s="2178"/>
      <c r="S101" s="2173"/>
      <c r="T101" s="2173"/>
      <c r="U101" s="2178"/>
      <c r="V101" s="2178"/>
    </row>
    <row r="102" spans="1:22" s="168" customFormat="1" ht="13.5" x14ac:dyDescent="0.2">
      <c r="A102" s="252" t="s">
        <v>204</v>
      </c>
      <c r="B102" s="2239">
        <f>(B64/B63)*B101</f>
        <v>7115.4795482499048</v>
      </c>
      <c r="C102" s="2173" t="s">
        <v>168</v>
      </c>
      <c r="D102" s="2172"/>
      <c r="E102" s="2188">
        <f>E101*0.12</f>
        <v>6688.5960000000005</v>
      </c>
      <c r="F102" s="2231" t="s">
        <v>317</v>
      </c>
      <c r="G102" s="2189" t="s">
        <v>259</v>
      </c>
      <c r="H102" s="2169"/>
      <c r="I102" s="2239">
        <f>(I64/I63)*I101</f>
        <v>6558.2103536671038</v>
      </c>
      <c r="J102" s="2173" t="s">
        <v>168</v>
      </c>
      <c r="K102" s="2172"/>
      <c r="L102" s="2174"/>
      <c r="M102" s="2192"/>
      <c r="N102" s="2192"/>
      <c r="O102" s="2193"/>
      <c r="P102" s="2239">
        <f>(P64/P63)*P101</f>
        <v>4775.3719174776325</v>
      </c>
      <c r="Q102" s="2173" t="s">
        <v>1826</v>
      </c>
      <c r="R102" s="2178"/>
      <c r="S102" s="2174"/>
      <c r="T102" s="2174"/>
      <c r="U102" s="2207"/>
      <c r="V102" s="2207"/>
    </row>
    <row r="103" spans="1:22" s="168" customFormat="1" ht="13.5" x14ac:dyDescent="0.2">
      <c r="A103" s="2147" t="s">
        <v>203</v>
      </c>
      <c r="B103" s="2239">
        <f>B101-B102</f>
        <v>42306.779671750097</v>
      </c>
      <c r="C103" s="2173" t="s">
        <v>168</v>
      </c>
      <c r="D103" s="2172"/>
      <c r="E103" s="2166">
        <f>E101-E102</f>
        <v>49049.704000000005</v>
      </c>
      <c r="F103" s="2230" t="s">
        <v>317</v>
      </c>
      <c r="G103" s="2168" t="s">
        <v>259</v>
      </c>
      <c r="H103" s="2177"/>
      <c r="I103" s="2239">
        <f>I101-I102</f>
        <v>42864.048866332894</v>
      </c>
      <c r="J103" s="2173" t="s">
        <v>168</v>
      </c>
      <c r="K103" s="2172"/>
      <c r="L103" s="2174"/>
      <c r="M103" s="2192"/>
      <c r="N103" s="2192"/>
      <c r="O103" s="2193"/>
      <c r="P103" s="2239">
        <f>P101-P102</f>
        <v>44646.887302522366</v>
      </c>
      <c r="Q103" s="2173" t="s">
        <v>1826</v>
      </c>
      <c r="R103" s="2178"/>
      <c r="S103" s="2174"/>
      <c r="T103" s="2174"/>
      <c r="U103" s="2207"/>
      <c r="V103" s="2207"/>
    </row>
    <row r="104" spans="1:22" s="168" customFormat="1" ht="13.5" x14ac:dyDescent="0.2">
      <c r="A104" s="2147"/>
      <c r="B104" s="2239">
        <f>B102*E61/E60</f>
        <v>4834.7862280434783</v>
      </c>
      <c r="C104" s="2173" t="s">
        <v>168</v>
      </c>
      <c r="D104" s="2172"/>
      <c r="E104" s="2166"/>
      <c r="F104" s="2230"/>
      <c r="G104" s="2168"/>
      <c r="H104" s="2177"/>
      <c r="I104" s="2239">
        <f>I102*L61/L60</f>
        <v>4923.4698463946879</v>
      </c>
      <c r="J104" s="2173" t="s">
        <v>168</v>
      </c>
      <c r="K104" s="2172"/>
      <c r="L104" s="2174"/>
      <c r="M104" s="2192"/>
      <c r="N104" s="2192"/>
      <c r="O104" s="2193"/>
      <c r="P104" s="2239">
        <f>P102*S61/S60</f>
        <v>4056.893446019667</v>
      </c>
      <c r="Q104" s="2173" t="s">
        <v>1826</v>
      </c>
      <c r="R104" s="2178"/>
      <c r="S104" s="2174"/>
      <c r="T104" s="2174"/>
      <c r="U104" s="2207"/>
      <c r="V104" s="2207"/>
    </row>
    <row r="105" spans="1:22" s="168" customFormat="1" ht="13.5" x14ac:dyDescent="0.2">
      <c r="A105" s="2147"/>
      <c r="B105" s="2239">
        <f>B103*E61/E60</f>
        <v>28746.373919401685</v>
      </c>
      <c r="C105" s="2173" t="s">
        <v>168</v>
      </c>
      <c r="D105" s="2172"/>
      <c r="E105" s="2166"/>
      <c r="F105" s="2230"/>
      <c r="G105" s="2168"/>
      <c r="H105" s="2177"/>
      <c r="I105" s="2239">
        <f>I103*L61/L60</f>
        <v>32179.488108333226</v>
      </c>
      <c r="J105" s="2173" t="s">
        <v>168</v>
      </c>
      <c r="K105" s="2172"/>
      <c r="L105" s="2174"/>
      <c r="M105" s="2192"/>
      <c r="N105" s="2192"/>
      <c r="O105" s="2193"/>
      <c r="P105" s="2239">
        <f>P103*S61/S60</f>
        <v>37929.540905466041</v>
      </c>
      <c r="Q105" s="2173" t="s">
        <v>1826</v>
      </c>
      <c r="R105" s="2178"/>
      <c r="S105" s="2174"/>
      <c r="T105" s="2174"/>
      <c r="U105" s="2207"/>
      <c r="V105" s="2207"/>
    </row>
    <row r="106" spans="1:22" s="168" customFormat="1" ht="13.5" customHeight="1" x14ac:dyDescent="0.2">
      <c r="A106" s="2129" t="s">
        <v>120</v>
      </c>
      <c r="B106" s="2174"/>
      <c r="C106" s="2174"/>
      <c r="D106" s="2197"/>
      <c r="E106" s="2240"/>
      <c r="F106" s="2209"/>
      <c r="G106" s="2209"/>
      <c r="H106" s="2197"/>
      <c r="I106" s="2174"/>
      <c r="J106" s="2174"/>
      <c r="K106" s="2197"/>
      <c r="L106" s="2174"/>
      <c r="M106" s="2220"/>
      <c r="N106" s="2220"/>
      <c r="O106" s="2172"/>
      <c r="P106" s="2174"/>
      <c r="Q106" s="2174"/>
      <c r="R106" s="2207"/>
      <c r="S106" s="2174"/>
      <c r="T106" s="2174"/>
      <c r="U106" s="2207"/>
      <c r="V106" s="2207"/>
    </row>
    <row r="107" spans="1:22" s="215" customFormat="1" ht="13.5" x14ac:dyDescent="0.2">
      <c r="A107" s="2143" t="s">
        <v>1091</v>
      </c>
      <c r="B107" s="2241">
        <f>B104*(1-(B69/E59))</f>
        <v>3320.8632677470355</v>
      </c>
      <c r="C107" s="2174" t="s">
        <v>207</v>
      </c>
      <c r="D107" s="2198"/>
      <c r="E107" s="2199">
        <f>E101*tonTOMg</f>
        <v>50564.670994</v>
      </c>
      <c r="F107" s="2167" t="s">
        <v>168</v>
      </c>
      <c r="G107" s="2189"/>
      <c r="H107" s="2198"/>
      <c r="I107" s="2241">
        <f>I104*(1-(I69/L59))</f>
        <v>4009.5323299980691</v>
      </c>
      <c r="J107" s="2174" t="s">
        <v>207</v>
      </c>
      <c r="K107" s="2172"/>
      <c r="L107" s="2209"/>
      <c r="M107" s="2192"/>
      <c r="N107" s="2192"/>
      <c r="O107" s="2193"/>
      <c r="P107" s="2241">
        <f>P104*(1-(P69/S59))</f>
        <v>3303.8174171178125</v>
      </c>
      <c r="Q107" s="2174" t="s">
        <v>207</v>
      </c>
      <c r="R107" s="2198" t="s">
        <v>1828</v>
      </c>
      <c r="S107" s="2209"/>
      <c r="T107" s="2209"/>
      <c r="U107" s="2197"/>
      <c r="V107" s="2197"/>
    </row>
    <row r="108" spans="1:22" s="168" customFormat="1" ht="13.5" x14ac:dyDescent="0.2">
      <c r="A108" s="252" t="s">
        <v>204</v>
      </c>
      <c r="B108" s="2174"/>
      <c r="C108" s="2174"/>
      <c r="D108" s="2172"/>
      <c r="E108" s="2199">
        <f>E102*tonTOMg</f>
        <v>6067.7605192800002</v>
      </c>
      <c r="F108" s="2167" t="s">
        <v>168</v>
      </c>
      <c r="G108" s="2189"/>
      <c r="H108" s="2198"/>
      <c r="I108" s="2174"/>
      <c r="J108" s="2174"/>
      <c r="K108" s="2172"/>
      <c r="L108" s="2174"/>
      <c r="M108" s="2192"/>
      <c r="N108" s="2192"/>
      <c r="O108" s="2193"/>
      <c r="P108" s="2174"/>
      <c r="Q108" s="2174"/>
      <c r="R108" s="2207"/>
      <c r="S108" s="2174"/>
      <c r="T108" s="2174"/>
      <c r="U108" s="2207"/>
      <c r="V108" s="2207"/>
    </row>
    <row r="109" spans="1:22" s="168" customFormat="1" ht="13.5" x14ac:dyDescent="0.2">
      <c r="A109" s="2147" t="s">
        <v>203</v>
      </c>
      <c r="B109" s="2174"/>
      <c r="C109" s="2174"/>
      <c r="D109" s="2172"/>
      <c r="E109" s="2199">
        <f>E103*tonTOMg</f>
        <v>44496.910474720004</v>
      </c>
      <c r="F109" s="2167" t="s">
        <v>168</v>
      </c>
      <c r="G109" s="2189"/>
      <c r="H109" s="2198"/>
      <c r="I109" s="2174"/>
      <c r="J109" s="2174"/>
      <c r="K109" s="2172"/>
      <c r="L109" s="2174"/>
      <c r="M109" s="2192"/>
      <c r="N109" s="2192"/>
      <c r="O109" s="2193"/>
      <c r="P109" s="2174"/>
      <c r="Q109" s="2174"/>
      <c r="R109" s="2207"/>
      <c r="S109" s="2174"/>
      <c r="T109" s="2174"/>
      <c r="U109" s="2207"/>
      <c r="V109" s="2207"/>
    </row>
    <row r="110" spans="1:22" s="168" customFormat="1" ht="13.5" x14ac:dyDescent="0.2">
      <c r="A110" s="2142" t="s">
        <v>157</v>
      </c>
      <c r="B110" s="2174"/>
      <c r="C110" s="2174"/>
      <c r="D110" s="2172"/>
      <c r="E110" s="2242">
        <f>E108*((E85-E86)/(E68-E69))</f>
        <v>3049.98328734405</v>
      </c>
      <c r="F110" s="2167" t="s">
        <v>168</v>
      </c>
      <c r="G110" s="2189"/>
      <c r="H110" s="2198"/>
      <c r="I110" s="2174"/>
      <c r="J110" s="2174"/>
      <c r="K110" s="2172"/>
      <c r="L110" s="2174"/>
      <c r="M110" s="2192"/>
      <c r="N110" s="2192"/>
      <c r="O110" s="2193"/>
      <c r="P110" s="2174"/>
      <c r="Q110" s="2174"/>
      <c r="R110" s="2207"/>
      <c r="S110" s="2174"/>
      <c r="T110" s="2174"/>
      <c r="U110" s="2207"/>
      <c r="V110" s="2207"/>
    </row>
    <row r="111" spans="1:22" s="168" customFormat="1" ht="13.5" x14ac:dyDescent="0.2">
      <c r="A111" s="2142" t="s">
        <v>182</v>
      </c>
      <c r="B111" s="2174"/>
      <c r="C111" s="2174"/>
      <c r="D111" s="2172"/>
      <c r="E111" s="2242">
        <f>E109*(E84/E66)</f>
        <v>33480.203271685241</v>
      </c>
      <c r="F111" s="2167" t="s">
        <v>168</v>
      </c>
      <c r="G111" s="2189"/>
      <c r="H111" s="2198"/>
      <c r="I111" s="2174"/>
      <c r="J111" s="2174"/>
      <c r="K111" s="2172"/>
      <c r="L111" s="2174"/>
      <c r="M111" s="2220"/>
      <c r="N111" s="2220"/>
      <c r="O111" s="2172"/>
      <c r="P111" s="2174"/>
      <c r="Q111" s="2174"/>
      <c r="R111" s="2207"/>
      <c r="S111" s="2174"/>
      <c r="T111" s="2174"/>
      <c r="U111" s="2207"/>
      <c r="V111" s="2207"/>
    </row>
    <row r="112" spans="1:22" s="168" customFormat="1" ht="13.5" x14ac:dyDescent="0.2">
      <c r="A112" s="2143" t="s">
        <v>1092</v>
      </c>
      <c r="B112" s="2174"/>
      <c r="C112" s="2174"/>
      <c r="D112" s="2198"/>
      <c r="E112" s="2243">
        <f>E107</f>
        <v>50564.670994</v>
      </c>
      <c r="F112" s="2181" t="s">
        <v>2070</v>
      </c>
      <c r="G112" s="2174"/>
      <c r="H112" s="2207"/>
      <c r="I112" s="2174"/>
      <c r="J112" s="2174"/>
      <c r="K112" s="2207"/>
      <c r="L112" s="2174"/>
      <c r="M112" s="2232"/>
      <c r="N112" s="2232"/>
      <c r="O112" s="2207"/>
      <c r="P112" s="2174"/>
      <c r="Q112" s="2174"/>
      <c r="R112" s="2207"/>
      <c r="S112" s="2174"/>
      <c r="T112" s="2174"/>
      <c r="U112" s="2207"/>
      <c r="V112" s="2207"/>
    </row>
    <row r="113" spans="1:22" s="168" customFormat="1" ht="13.5" x14ac:dyDescent="0.2">
      <c r="A113" s="2130" t="s">
        <v>133</v>
      </c>
      <c r="B113" s="2233">
        <f>B107+B105</f>
        <v>32067.237187148719</v>
      </c>
      <c r="C113" s="2174" t="s">
        <v>207</v>
      </c>
      <c r="D113" s="2197"/>
      <c r="E113" s="2244">
        <f>SUM(E110:E111)</f>
        <v>36530.186559029287</v>
      </c>
      <c r="F113" s="2245" t="s">
        <v>1991</v>
      </c>
      <c r="G113" s="2209"/>
      <c r="H113" s="2197"/>
      <c r="I113" s="2233">
        <f>I107+I105</f>
        <v>36189.020438331296</v>
      </c>
      <c r="J113" s="2174" t="s">
        <v>207</v>
      </c>
      <c r="K113" s="2172"/>
      <c r="L113" s="2174"/>
      <c r="M113" s="2192"/>
      <c r="N113" s="2192"/>
      <c r="O113" s="2193"/>
      <c r="P113" s="2233">
        <f>P107+P105</f>
        <v>41233.358322583852</v>
      </c>
      <c r="Q113" s="2174" t="s">
        <v>207</v>
      </c>
      <c r="R113" s="2198" t="s">
        <v>1812</v>
      </c>
      <c r="S113" s="2174"/>
      <c r="T113" s="2174"/>
      <c r="U113" s="2207"/>
      <c r="V113" s="2207"/>
    </row>
    <row r="114" spans="1:22" s="634" customFormat="1" x14ac:dyDescent="0.2">
      <c r="A114" s="2142"/>
      <c r="B114" s="2170"/>
      <c r="C114" s="2220"/>
      <c r="D114" s="2172"/>
      <c r="E114" s="2238"/>
      <c r="F114" s="2192"/>
      <c r="G114" s="2192"/>
      <c r="H114" s="2193"/>
      <c r="I114" s="2246"/>
      <c r="J114" s="2192"/>
      <c r="K114" s="2172"/>
      <c r="L114" s="2228"/>
      <c r="M114" s="2192"/>
      <c r="N114" s="2192"/>
      <c r="O114" s="2193"/>
      <c r="P114" s="2228"/>
      <c r="Q114" s="2228"/>
      <c r="R114" s="2229"/>
      <c r="S114" s="2228"/>
      <c r="T114" s="2228"/>
      <c r="U114" s="2229"/>
      <c r="V114" s="2229"/>
    </row>
    <row r="115" spans="1:22" s="1805" customFormat="1" ht="13.5" x14ac:dyDescent="0.2">
      <c r="A115" s="2148" t="s">
        <v>1813</v>
      </c>
      <c r="B115" s="2247">
        <f>B113+B52+E18</f>
        <v>140455.9014015618</v>
      </c>
      <c r="C115" s="2248" t="s">
        <v>207</v>
      </c>
      <c r="D115" s="2249"/>
      <c r="E115" s="2250"/>
      <c r="F115" s="2248"/>
      <c r="G115" s="2251"/>
      <c r="H115" s="2252"/>
      <c r="I115" s="2247">
        <f>I113+I52+L18</f>
        <v>137015.18671955634</v>
      </c>
      <c r="J115" s="2248" t="s">
        <v>207</v>
      </c>
      <c r="K115" s="2253"/>
      <c r="L115" s="2248"/>
      <c r="M115" s="2251"/>
      <c r="N115" s="2251"/>
      <c r="O115" s="2252"/>
      <c r="P115" s="2247">
        <f>P113+P52+S18</f>
        <v>185789.49862458775</v>
      </c>
      <c r="Q115" s="2248" t="s">
        <v>207</v>
      </c>
      <c r="R115" s="2254"/>
      <c r="S115" s="2248"/>
      <c r="T115" s="2248"/>
      <c r="U115" s="2254"/>
      <c r="V115" s="2254"/>
    </row>
    <row r="116" spans="1:22" s="168" customFormat="1" x14ac:dyDescent="0.2">
      <c r="A116" s="252"/>
      <c r="B116" s="319"/>
      <c r="C116" s="292"/>
      <c r="D116" s="195"/>
      <c r="E116" s="580"/>
      <c r="F116" s="292"/>
      <c r="G116" s="292"/>
      <c r="H116" s="195"/>
      <c r="I116" s="319"/>
      <c r="J116" s="269"/>
      <c r="K116" s="2026"/>
      <c r="L116" s="292"/>
      <c r="M116" s="575"/>
      <c r="N116" s="575"/>
      <c r="O116" s="581"/>
      <c r="R116" s="738"/>
      <c r="U116" s="738"/>
      <c r="V116" s="738"/>
    </row>
    <row r="117" spans="1:22" s="168" customFormat="1" x14ac:dyDescent="0.2">
      <c r="A117" s="1640"/>
      <c r="B117" s="1124"/>
      <c r="C117" s="245"/>
      <c r="D117" s="119"/>
      <c r="E117" s="813"/>
      <c r="F117" s="667"/>
      <c r="G117" s="667"/>
      <c r="H117" s="670"/>
      <c r="I117" s="668"/>
      <c r="J117" s="2025"/>
      <c r="K117" s="670"/>
      <c r="L117" s="668"/>
      <c r="M117" s="668"/>
      <c r="N117" s="668"/>
      <c r="O117" s="670"/>
      <c r="R117" s="738"/>
      <c r="U117" s="738"/>
      <c r="V117" s="738"/>
    </row>
    <row r="118" spans="1:22" s="168" customFormat="1" x14ac:dyDescent="0.2">
      <c r="A118" s="2130"/>
      <c r="B118" s="217"/>
      <c r="C118" s="215"/>
      <c r="D118" s="216"/>
      <c r="E118" s="580"/>
      <c r="F118" s="292"/>
      <c r="G118" s="292"/>
      <c r="H118" s="195"/>
      <c r="I118" s="319"/>
      <c r="J118" s="319"/>
      <c r="K118" s="2026"/>
      <c r="L118" s="292"/>
      <c r="M118" s="575"/>
      <c r="N118" s="575"/>
      <c r="O118" s="581"/>
      <c r="R118" s="738"/>
      <c r="U118" s="738"/>
      <c r="V118" s="738"/>
    </row>
    <row r="119" spans="1:22" s="168" customFormat="1" x14ac:dyDescent="0.2">
      <c r="A119" s="2142"/>
      <c r="B119" s="218"/>
      <c r="C119" s="225"/>
      <c r="D119" s="177"/>
      <c r="E119" s="602"/>
      <c r="F119" s="292"/>
      <c r="G119" s="292"/>
      <c r="H119" s="195"/>
      <c r="I119" s="319"/>
      <c r="J119" s="319"/>
      <c r="K119" s="2026"/>
      <c r="L119" s="292"/>
      <c r="M119" s="575"/>
      <c r="N119" s="575"/>
      <c r="O119" s="581"/>
      <c r="R119" s="738"/>
      <c r="U119" s="738"/>
      <c r="V119" s="738"/>
    </row>
    <row r="120" spans="1:22" s="168" customFormat="1" x14ac:dyDescent="0.2">
      <c r="A120" s="2142"/>
      <c r="B120" s="2162"/>
      <c r="C120" s="246"/>
      <c r="D120" s="167"/>
      <c r="E120" s="602"/>
      <c r="F120" s="292"/>
      <c r="G120" s="292"/>
      <c r="H120" s="195"/>
      <c r="I120" s="319"/>
      <c r="J120" s="319"/>
      <c r="K120" s="2026"/>
      <c r="L120" s="292"/>
      <c r="M120" s="575"/>
      <c r="N120" s="575"/>
      <c r="O120" s="581"/>
      <c r="R120" s="738"/>
      <c r="U120" s="738"/>
      <c r="V120" s="738"/>
    </row>
    <row r="121" spans="1:22" s="168" customFormat="1" x14ac:dyDescent="0.2">
      <c r="A121" s="2142"/>
      <c r="B121" s="2162"/>
      <c r="C121" s="246"/>
      <c r="D121" s="167"/>
      <c r="E121" s="602"/>
      <c r="F121" s="292"/>
      <c r="G121" s="292"/>
      <c r="H121" s="195"/>
      <c r="I121" s="319"/>
      <c r="J121" s="319"/>
      <c r="K121" s="2026"/>
      <c r="L121" s="292"/>
      <c r="M121" s="575"/>
      <c r="N121" s="575"/>
      <c r="O121" s="581"/>
      <c r="R121" s="738"/>
      <c r="U121" s="738"/>
      <c r="V121" s="738"/>
    </row>
    <row r="122" spans="1:22" x14ac:dyDescent="0.2">
      <c r="A122" s="2130"/>
      <c r="B122" s="217"/>
      <c r="C122" s="215"/>
      <c r="D122" s="216"/>
    </row>
    <row r="123" spans="1:22" s="91" customFormat="1" x14ac:dyDescent="0.2">
      <c r="A123" s="2142"/>
      <c r="B123" s="218"/>
      <c r="C123" s="225"/>
      <c r="D123" s="177"/>
      <c r="E123" s="602"/>
      <c r="F123" s="575"/>
      <c r="G123" s="575"/>
      <c r="H123" s="581"/>
      <c r="I123" s="319"/>
      <c r="J123" s="319"/>
      <c r="K123" s="581"/>
      <c r="L123" s="292"/>
      <c r="M123" s="575"/>
      <c r="N123" s="575"/>
      <c r="O123" s="581"/>
      <c r="R123" s="88"/>
      <c r="U123" s="88"/>
      <c r="V123" s="88"/>
    </row>
    <row r="124" spans="1:22" x14ac:dyDescent="0.2">
      <c r="A124" s="2142"/>
      <c r="B124" s="218"/>
      <c r="C124" s="225"/>
      <c r="D124" s="177"/>
    </row>
    <row r="125" spans="1:22" x14ac:dyDescent="0.2">
      <c r="A125" s="625"/>
      <c r="B125" s="210"/>
      <c r="C125" s="249"/>
      <c r="D125" s="118"/>
    </row>
    <row r="126" spans="1:22" x14ac:dyDescent="0.2">
      <c r="A126" s="631"/>
      <c r="B126" s="821"/>
      <c r="C126" s="2046"/>
      <c r="D126" s="199"/>
    </row>
    <row r="127" spans="1:22" x14ac:dyDescent="0.2">
      <c r="A127" s="2130"/>
      <c r="B127" s="217"/>
      <c r="C127" s="215"/>
      <c r="D127" s="216"/>
    </row>
    <row r="128" spans="1:22" x14ac:dyDescent="0.2">
      <c r="A128" s="2142"/>
      <c r="B128" s="218"/>
      <c r="C128" s="225"/>
      <c r="D128" s="177"/>
    </row>
    <row r="129" spans="1:4" x14ac:dyDescent="0.2">
      <c r="A129" s="2142"/>
      <c r="B129" s="218"/>
      <c r="C129" s="225"/>
      <c r="D129" s="177"/>
    </row>
    <row r="130" spans="1:4" x14ac:dyDescent="0.2">
      <c r="A130" s="2130"/>
      <c r="B130" s="217"/>
      <c r="C130" s="215"/>
      <c r="D130" s="216"/>
    </row>
    <row r="131" spans="1:4" x14ac:dyDescent="0.2">
      <c r="A131" s="2142"/>
      <c r="B131" s="218"/>
      <c r="C131" s="225"/>
      <c r="D131" s="177"/>
    </row>
    <row r="132" spans="1:4" x14ac:dyDescent="0.2">
      <c r="A132" s="2142"/>
      <c r="B132" s="218"/>
      <c r="C132" s="225"/>
      <c r="D132" s="177"/>
    </row>
    <row r="133" spans="1:4" x14ac:dyDescent="0.2">
      <c r="A133" s="2142"/>
      <c r="B133" s="218"/>
      <c r="C133" s="225"/>
      <c r="D133" s="177"/>
    </row>
    <row r="134" spans="1:4" x14ac:dyDescent="0.2">
      <c r="A134" s="2142"/>
      <c r="B134" s="218"/>
      <c r="C134" s="225"/>
      <c r="D134" s="177"/>
    </row>
    <row r="135" spans="1:4" x14ac:dyDescent="0.2">
      <c r="A135" s="2142"/>
      <c r="B135" s="218"/>
      <c r="C135" s="225"/>
      <c r="D135" s="177"/>
    </row>
    <row r="136" spans="1:4" x14ac:dyDescent="0.2">
      <c r="A136" s="252"/>
      <c r="B136" s="319"/>
      <c r="C136" s="292"/>
      <c r="D136" s="195"/>
    </row>
  </sheetData>
  <customSheetViews>
    <customSheetView guid="{9BEC6399-AE85-4D88-8FBA-3674E2F30307}" showFormulas="1" topLeftCell="A10">
      <selection activeCell="U59" sqref="U59"/>
      <pageMargins left="0.7" right="0.7" top="0.75" bottom="0.75" header="0.3" footer="0.3"/>
      <pageSetup orientation="portrait" r:id="rId1"/>
    </customSheetView>
    <customSheetView guid="{0347A67A-6027-4907-965C-6EA2A8295536}" showFormulas="1" topLeftCell="J22">
      <selection activeCell="U59" sqref="U59"/>
      <pageMargins left="0.7" right="0.7" top="0.75" bottom="0.75" header="0.3" footer="0.3"/>
      <pageSetup orientation="portrait" r:id="rId2"/>
    </customSheetView>
    <customSheetView guid="{15CC7F3D-99AB-49C1-AC00-E04D3FE3FBC1}" topLeftCell="A10">
      <selection activeCell="U59" sqref="U59"/>
      <pageMargins left="0.7" right="0.7" top="0.75" bottom="0.75" header="0.3" footer="0.3"/>
      <pageSetup orientation="portrait" r:id="rId3"/>
    </customSheetView>
  </customSheetViews>
  <mergeCells count="8">
    <mergeCell ref="B2:D2"/>
    <mergeCell ref="E2:H2"/>
    <mergeCell ref="P1:V1"/>
    <mergeCell ref="P2:R2"/>
    <mergeCell ref="S2:V2"/>
    <mergeCell ref="L2:O2"/>
    <mergeCell ref="I2:K2"/>
    <mergeCell ref="I1:O1"/>
  </mergeCells>
  <phoneticPr fontId="30" type="noConversion"/>
  <pageMargins left="0.7" right="0.7" top="0.75" bottom="0.75" header="0.3" footer="0.3"/>
  <pageSetup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pageSetUpPr autoPageBreaks="0"/>
  </sheetPr>
  <dimension ref="A1:HX275"/>
  <sheetViews>
    <sheetView workbookViewId="0">
      <selection activeCell="A19" sqref="A19"/>
    </sheetView>
  </sheetViews>
  <sheetFormatPr defaultColWidth="6.42578125" defaultRowHeight="12" x14ac:dyDescent="0.2"/>
  <cols>
    <col min="1" max="1" width="5.28515625" style="412" customWidth="1"/>
    <col min="2" max="2" width="2.140625" style="412" customWidth="1"/>
    <col min="3" max="3" width="1.42578125" style="412" customWidth="1"/>
    <col min="4" max="4" width="3.5703125" style="412" customWidth="1"/>
    <col min="5" max="5" width="4.85546875" style="412" customWidth="1"/>
    <col min="6" max="6" width="11.140625" style="412" customWidth="1"/>
    <col min="7" max="7" width="12.42578125" style="481" customWidth="1"/>
    <col min="8" max="8" width="12.42578125" style="412" customWidth="1"/>
    <col min="9" max="9" width="5.42578125" style="1310" customWidth="1"/>
    <col min="10" max="10" width="5.140625" style="1310" customWidth="1"/>
    <col min="11" max="11" width="5.42578125" style="412" customWidth="1"/>
    <col min="12" max="12" width="5.28515625" style="412" customWidth="1"/>
    <col min="13" max="13" width="2.140625" style="412" customWidth="1"/>
    <col min="14" max="14" width="1.42578125" style="412" customWidth="1"/>
    <col min="15" max="15" width="3.5703125" style="412" customWidth="1"/>
    <col min="16" max="16" width="4.85546875" style="412" customWidth="1"/>
    <col min="17" max="17" width="11.140625" style="412" customWidth="1"/>
    <col min="18" max="18" width="11.7109375" style="412" customWidth="1"/>
    <col min="19" max="19" width="13.42578125" style="412" customWidth="1"/>
    <col min="20" max="20" width="12.5703125" style="412" customWidth="1"/>
    <col min="21" max="21" width="10" style="412" customWidth="1"/>
    <col min="22" max="22" width="10.28515625" style="412" customWidth="1"/>
    <col min="23" max="23" width="5" style="478" customWidth="1"/>
    <col min="24" max="24" width="2.140625" style="478" customWidth="1"/>
    <col min="25" max="25" width="4.85546875" style="224" customWidth="1"/>
    <col min="26" max="26" width="4.7109375" style="412" customWidth="1"/>
    <col min="27" max="27" width="1.7109375" style="412" customWidth="1"/>
    <col min="28" max="28" width="4.7109375" style="412" customWidth="1"/>
    <col min="29" max="29" width="1.7109375" style="412" customWidth="1"/>
    <col min="30" max="30" width="4.7109375" style="412" customWidth="1"/>
    <col min="31" max="31" width="1.7109375" style="412" customWidth="1"/>
    <col min="32" max="32" width="4.42578125" style="412" customWidth="1"/>
    <col min="33" max="33" width="1.7109375" style="412" customWidth="1"/>
    <col min="34" max="34" width="4.7109375" style="412" customWidth="1"/>
    <col min="35" max="35" width="1.7109375" style="412" customWidth="1"/>
    <col min="36" max="36" width="4.7109375" style="412" customWidth="1"/>
    <col min="37" max="37" width="1.7109375" style="412" customWidth="1"/>
    <col min="38" max="38" width="4.7109375" style="412" customWidth="1"/>
    <col min="39" max="39" width="1.7109375" style="412" customWidth="1"/>
    <col min="40" max="40" width="4.7109375" style="412" customWidth="1"/>
    <col min="41" max="41" width="2.28515625" style="412" customWidth="1"/>
    <col min="42" max="42" width="3.7109375" style="224" customWidth="1"/>
    <col min="43" max="43" width="4.85546875" style="224" customWidth="1"/>
    <col min="44" max="44" width="4.140625" style="412" customWidth="1"/>
    <col min="45" max="45" width="3" style="412" customWidth="1"/>
    <col min="46" max="46" width="2.42578125" style="412" customWidth="1"/>
    <col min="47" max="47" width="4" style="412" customWidth="1"/>
    <col min="48" max="48" width="2.28515625" style="412" customWidth="1"/>
    <col min="49" max="49" width="26.42578125" style="412" customWidth="1"/>
    <col min="50" max="50" width="1.7109375" style="412" customWidth="1"/>
    <col min="51" max="51" width="11" style="412" customWidth="1"/>
    <col min="52" max="52" width="2" style="412" customWidth="1"/>
    <col min="53" max="53" width="11.28515625" style="412" customWidth="1"/>
    <col min="54" max="54" width="1.85546875" style="412" customWidth="1"/>
    <col min="55" max="55" width="11.140625" style="412" customWidth="1"/>
    <col min="56" max="56" width="1.85546875" style="412" hidden="1" customWidth="1"/>
    <col min="57" max="57" width="9.140625" style="412" hidden="1" customWidth="1"/>
    <col min="58" max="58" width="5.28515625" style="412" hidden="1" customWidth="1"/>
    <col min="59" max="60" width="1.85546875" style="412" customWidth="1"/>
    <col min="61" max="61" width="11.28515625" style="412" bestFit="1" customWidth="1"/>
    <col min="62" max="62" width="1.85546875" style="412" customWidth="1"/>
    <col min="63" max="63" width="11.28515625" style="412" bestFit="1" customWidth="1"/>
    <col min="64" max="64" width="1.85546875" style="412" customWidth="1"/>
    <col min="65" max="65" width="11.5703125" style="412" customWidth="1"/>
    <col min="66" max="66" width="1.85546875" style="412" customWidth="1"/>
    <col min="67" max="67" width="0.140625" style="412" hidden="1" customWidth="1"/>
    <col min="68" max="68" width="4.28515625" style="412" customWidth="1"/>
    <col min="69" max="69" width="1.85546875" style="412" customWidth="1"/>
    <col min="70" max="16384" width="6.42578125" style="412"/>
  </cols>
  <sheetData>
    <row r="1" spans="1:43" x14ac:dyDescent="0.2">
      <c r="A1" s="70" t="s">
        <v>1234</v>
      </c>
      <c r="B1" s="70"/>
      <c r="C1" s="70"/>
      <c r="D1" s="70"/>
      <c r="E1" s="70"/>
      <c r="F1" s="70"/>
      <c r="G1" s="70"/>
      <c r="H1" s="70"/>
      <c r="L1" s="70" t="s">
        <v>1234</v>
      </c>
      <c r="R1" s="70"/>
      <c r="S1" s="70"/>
      <c r="W1" s="412"/>
      <c r="X1" s="412"/>
      <c r="Y1" s="412"/>
      <c r="AP1" s="412"/>
      <c r="AQ1" s="412"/>
    </row>
    <row r="2" spans="1:43" x14ac:dyDescent="0.2">
      <c r="A2" s="70" t="s">
        <v>35</v>
      </c>
      <c r="B2" s="70"/>
      <c r="C2" s="70"/>
      <c r="D2" s="70"/>
      <c r="E2" s="70"/>
      <c r="F2" s="70"/>
      <c r="G2" s="70"/>
      <c r="H2" s="70"/>
      <c r="L2" s="70" t="s">
        <v>35</v>
      </c>
      <c r="R2" s="70"/>
      <c r="S2" s="70"/>
      <c r="W2" s="412"/>
      <c r="X2" s="412"/>
      <c r="Y2" s="412"/>
      <c r="AP2" s="412"/>
      <c r="AQ2" s="412"/>
    </row>
    <row r="3" spans="1:43" ht="13.5" x14ac:dyDescent="0.2">
      <c r="A3" s="477" t="s">
        <v>1189</v>
      </c>
      <c r="B3" s="477"/>
      <c r="C3" s="477"/>
      <c r="D3" s="477"/>
      <c r="E3" s="477"/>
      <c r="F3" s="477"/>
      <c r="G3" s="535"/>
      <c r="H3" s="535"/>
      <c r="I3" s="1311"/>
      <c r="J3" s="1311"/>
      <c r="K3" s="197"/>
      <c r="L3" s="70" t="s">
        <v>1190</v>
      </c>
      <c r="M3" s="197"/>
      <c r="N3" s="197"/>
      <c r="O3" s="197"/>
      <c r="P3" s="197"/>
      <c r="R3" s="477"/>
      <c r="S3" s="477"/>
      <c r="W3" s="412"/>
      <c r="X3" s="412"/>
      <c r="Y3" s="412"/>
      <c r="AP3" s="412"/>
      <c r="AQ3" s="412"/>
    </row>
    <row r="4" spans="1:43" ht="12" customHeight="1" x14ac:dyDescent="0.2">
      <c r="G4" s="538"/>
      <c r="H4" s="536"/>
      <c r="R4" s="536"/>
      <c r="W4" s="412"/>
      <c r="X4" s="412"/>
      <c r="Y4" s="412"/>
      <c r="AP4" s="412"/>
      <c r="AQ4" s="412"/>
    </row>
    <row r="5" spans="1:43" ht="17.25" customHeight="1" thickBot="1" x14ac:dyDescent="0.25">
      <c r="A5" s="539" t="s">
        <v>36</v>
      </c>
      <c r="B5" s="540"/>
      <c r="C5" s="540"/>
      <c r="D5" s="540"/>
      <c r="E5" s="540"/>
      <c r="F5" s="540"/>
      <c r="G5" s="541">
        <v>2003</v>
      </c>
      <c r="H5" s="541">
        <v>2008</v>
      </c>
      <c r="K5" s="545"/>
      <c r="L5" s="543" t="s">
        <v>36</v>
      </c>
      <c r="M5" s="543"/>
      <c r="N5" s="543"/>
      <c r="O5" s="543"/>
      <c r="P5" s="543"/>
      <c r="Q5" s="542"/>
      <c r="R5" s="541">
        <v>2003</v>
      </c>
      <c r="S5" s="541">
        <v>2008</v>
      </c>
      <c r="W5" s="412"/>
      <c r="X5" s="412"/>
      <c r="Y5" s="412"/>
      <c r="AP5" s="412"/>
      <c r="AQ5" s="412"/>
    </row>
    <row r="6" spans="1:43" ht="6" customHeight="1" x14ac:dyDescent="0.2">
      <c r="A6" s="546"/>
      <c r="B6" s="547"/>
      <c r="C6" s="547"/>
      <c r="D6" s="547"/>
      <c r="E6" s="547"/>
      <c r="F6" s="547"/>
      <c r="G6" s="544"/>
      <c r="H6" s="544"/>
      <c r="K6" s="224"/>
      <c r="R6" s="544"/>
      <c r="S6" s="544"/>
      <c r="W6" s="412"/>
      <c r="X6" s="412"/>
      <c r="Y6" s="412"/>
      <c r="AP6" s="412"/>
      <c r="AQ6" s="412"/>
    </row>
    <row r="7" spans="1:43" ht="15" customHeight="1" x14ac:dyDescent="0.2">
      <c r="A7" s="548"/>
      <c r="B7" s="768" t="s">
        <v>825</v>
      </c>
      <c r="C7" s="769"/>
      <c r="D7" s="769"/>
      <c r="E7" s="769"/>
      <c r="F7" s="769"/>
      <c r="G7" s="723"/>
      <c r="H7" s="723"/>
      <c r="I7" s="1312">
        <v>0</v>
      </c>
      <c r="J7" s="1312">
        <v>0</v>
      </c>
      <c r="K7" s="224"/>
      <c r="M7" s="768" t="s">
        <v>825</v>
      </c>
      <c r="N7" s="769"/>
      <c r="O7" s="769"/>
      <c r="P7" s="769"/>
      <c r="Q7" s="769"/>
      <c r="R7" s="723"/>
      <c r="S7" s="723"/>
      <c r="W7" s="412"/>
      <c r="X7" s="412"/>
      <c r="Y7" s="412"/>
      <c r="AP7" s="412"/>
      <c r="AQ7" s="412"/>
    </row>
    <row r="8" spans="1:43" x14ac:dyDescent="0.2">
      <c r="A8" s="785"/>
      <c r="B8" s="536"/>
      <c r="C8" s="549" t="s">
        <v>1140</v>
      </c>
      <c r="D8" s="549"/>
      <c r="E8" s="549"/>
      <c r="F8" s="549"/>
      <c r="G8" s="556">
        <v>9168576.8379433844</v>
      </c>
      <c r="H8" s="556">
        <v>8867824.3366023097</v>
      </c>
      <c r="I8" s="1312">
        <v>-4</v>
      </c>
      <c r="J8" s="1312">
        <v>-4</v>
      </c>
      <c r="K8" s="224"/>
      <c r="M8" s="536"/>
      <c r="N8" s="549" t="s">
        <v>1140</v>
      </c>
      <c r="O8" s="549"/>
      <c r="P8" s="549"/>
      <c r="Q8" s="549"/>
      <c r="R8" s="775">
        <v>9170000</v>
      </c>
      <c r="S8" s="775">
        <v>8870000</v>
      </c>
      <c r="W8" s="412"/>
      <c r="X8" s="412"/>
      <c r="Y8" s="412"/>
      <c r="AP8" s="412"/>
      <c r="AQ8" s="412"/>
    </row>
    <row r="9" spans="1:43" x14ac:dyDescent="0.2">
      <c r="A9" s="548"/>
      <c r="B9" s="536"/>
      <c r="C9" s="392"/>
      <c r="E9" s="550" t="s">
        <v>24</v>
      </c>
      <c r="G9" s="255">
        <v>3076682.7195889056</v>
      </c>
      <c r="H9" s="255">
        <v>3115451.630561586</v>
      </c>
      <c r="I9" s="1312">
        <v>-4</v>
      </c>
      <c r="J9" s="1312">
        <v>-4</v>
      </c>
      <c r="K9" s="224"/>
      <c r="M9" s="536"/>
      <c r="N9" s="392"/>
      <c r="P9" s="550" t="s">
        <v>24</v>
      </c>
      <c r="R9" s="587">
        <v>3080000</v>
      </c>
      <c r="S9" s="587">
        <v>3120000</v>
      </c>
      <c r="W9" s="412"/>
      <c r="X9" s="412"/>
      <c r="Y9" s="412"/>
      <c r="AP9" s="412"/>
      <c r="AQ9" s="412"/>
    </row>
    <row r="10" spans="1:43" x14ac:dyDescent="0.2">
      <c r="A10" s="548"/>
      <c r="B10" s="536"/>
      <c r="C10" s="392"/>
      <c r="E10" s="550" t="s">
        <v>25</v>
      </c>
      <c r="G10" s="255">
        <v>121023.21678847107</v>
      </c>
      <c r="H10" s="255">
        <v>112679.09272403718</v>
      </c>
      <c r="I10" s="1312">
        <v>-4</v>
      </c>
      <c r="J10" s="1312">
        <v>-4</v>
      </c>
      <c r="K10" s="224"/>
      <c r="M10" s="536"/>
      <c r="N10" s="392"/>
      <c r="P10" s="550" t="s">
        <v>25</v>
      </c>
      <c r="R10" s="587">
        <v>120000</v>
      </c>
      <c r="S10" s="587">
        <v>110000</v>
      </c>
      <c r="W10" s="412"/>
      <c r="X10" s="412"/>
      <c r="Y10" s="412"/>
      <c r="AP10" s="412"/>
      <c r="AQ10" s="412"/>
    </row>
    <row r="11" spans="1:43" x14ac:dyDescent="0.2">
      <c r="A11" s="548"/>
      <c r="B11" s="536"/>
      <c r="C11" s="392"/>
      <c r="E11" s="550" t="s">
        <v>26</v>
      </c>
      <c r="G11" s="255">
        <v>5963832.73751067</v>
      </c>
      <c r="H11" s="255">
        <v>5633434.8276841715</v>
      </c>
      <c r="I11" s="1312">
        <v>-3</v>
      </c>
      <c r="J11" s="1312">
        <v>-3</v>
      </c>
      <c r="K11" s="224"/>
      <c r="M11" s="536"/>
      <c r="N11" s="392"/>
      <c r="P11" s="550" t="s">
        <v>26</v>
      </c>
      <c r="R11" s="587">
        <v>5964000</v>
      </c>
      <c r="S11" s="587">
        <v>5633000</v>
      </c>
      <c r="W11" s="412"/>
      <c r="X11" s="412"/>
      <c r="Y11" s="412"/>
      <c r="AP11" s="412"/>
      <c r="AQ11" s="412"/>
    </row>
    <row r="12" spans="1:43" x14ac:dyDescent="0.2">
      <c r="A12" s="548"/>
      <c r="B12" s="536"/>
      <c r="C12" s="392"/>
      <c r="E12" s="550" t="s">
        <v>683</v>
      </c>
      <c r="G12" s="255">
        <v>7038.1640553379557</v>
      </c>
      <c r="H12" s="255">
        <v>6258.7856325154926</v>
      </c>
      <c r="I12" s="1312">
        <v>-3</v>
      </c>
      <c r="J12" s="1312">
        <v>-3</v>
      </c>
      <c r="K12" s="224"/>
      <c r="M12" s="536"/>
      <c r="N12" s="392"/>
      <c r="P12" s="550" t="s">
        <v>683</v>
      </c>
      <c r="R12" s="587">
        <v>7000</v>
      </c>
      <c r="S12" s="587">
        <v>6000</v>
      </c>
      <c r="W12" s="412"/>
      <c r="X12" s="412"/>
      <c r="Y12" s="412"/>
      <c r="AP12" s="412"/>
      <c r="AQ12" s="412"/>
    </row>
    <row r="13" spans="1:43" x14ac:dyDescent="0.2">
      <c r="A13" s="548"/>
      <c r="B13" s="536"/>
      <c r="C13" s="552" t="s">
        <v>1141</v>
      </c>
      <c r="D13" s="552"/>
      <c r="E13" s="552"/>
      <c r="F13" s="552"/>
      <c r="G13" s="553">
        <v>266120.67308702657</v>
      </c>
      <c r="H13" s="553">
        <v>308876.38855566649</v>
      </c>
      <c r="I13" s="1312">
        <v>-3</v>
      </c>
      <c r="J13" s="1312">
        <v>-3</v>
      </c>
      <c r="K13" s="224"/>
      <c r="M13" s="536"/>
      <c r="N13" s="552" t="s">
        <v>1141</v>
      </c>
      <c r="O13" s="552"/>
      <c r="P13" s="552"/>
      <c r="Q13" s="552"/>
      <c r="R13" s="776">
        <v>266000</v>
      </c>
      <c r="S13" s="776">
        <v>309000</v>
      </c>
      <c r="W13" s="412"/>
      <c r="X13" s="412"/>
      <c r="Y13" s="412"/>
      <c r="AP13" s="412"/>
      <c r="AQ13" s="412"/>
    </row>
    <row r="14" spans="1:43" x14ac:dyDescent="0.2">
      <c r="A14" s="548"/>
      <c r="B14" s="536"/>
      <c r="C14" s="392"/>
      <c r="D14" s="400"/>
      <c r="E14" s="550" t="s">
        <v>64</v>
      </c>
      <c r="G14" s="255">
        <v>36530.186559029287</v>
      </c>
      <c r="H14" s="255">
        <v>45066.213605152559</v>
      </c>
      <c r="I14" s="1312">
        <v>-2</v>
      </c>
      <c r="J14" s="1312">
        <v>-2</v>
      </c>
      <c r="K14" s="480"/>
      <c r="M14" s="536"/>
      <c r="N14" s="392"/>
      <c r="O14" s="400"/>
      <c r="P14" s="550" t="s">
        <v>64</v>
      </c>
      <c r="R14" s="587">
        <v>36500</v>
      </c>
      <c r="S14" s="587">
        <v>45100</v>
      </c>
      <c r="W14" s="412"/>
      <c r="X14" s="412"/>
      <c r="Y14" s="412"/>
      <c r="AP14" s="412"/>
      <c r="AQ14" s="412"/>
    </row>
    <row r="15" spans="1:43" x14ac:dyDescent="0.2">
      <c r="A15" s="548"/>
      <c r="B15" s="536"/>
      <c r="C15" s="392"/>
      <c r="D15" s="400"/>
      <c r="E15" s="550" t="s">
        <v>62</v>
      </c>
      <c r="G15" s="255">
        <v>50518.578380974206</v>
      </c>
      <c r="H15" s="255">
        <v>39489.073049157698</v>
      </c>
      <c r="I15" s="1312">
        <v>-2</v>
      </c>
      <c r="J15" s="1312">
        <v>-2</v>
      </c>
      <c r="K15" s="224"/>
      <c r="M15" s="536"/>
      <c r="N15" s="392"/>
      <c r="O15" s="400"/>
      <c r="P15" s="550" t="s">
        <v>62</v>
      </c>
      <c r="R15" s="587">
        <v>50500</v>
      </c>
      <c r="S15" s="587">
        <v>39500</v>
      </c>
      <c r="W15" s="412"/>
      <c r="X15" s="412"/>
      <c r="Y15" s="412"/>
      <c r="AP15" s="412"/>
      <c r="AQ15" s="412"/>
    </row>
    <row r="16" spans="1:43" x14ac:dyDescent="0.2">
      <c r="A16" s="548"/>
      <c r="B16" s="536"/>
      <c r="C16" s="392"/>
      <c r="D16" s="400"/>
      <c r="E16" s="550" t="s">
        <v>1136</v>
      </c>
      <c r="G16" s="255">
        <v>7636.7983055463028</v>
      </c>
      <c r="H16" s="255">
        <v>8130.8386610104208</v>
      </c>
      <c r="I16" s="1312">
        <v>-1</v>
      </c>
      <c r="J16" s="1312">
        <v>-1</v>
      </c>
      <c r="K16" s="224"/>
      <c r="M16" s="536"/>
      <c r="N16" s="392"/>
      <c r="O16" s="400"/>
      <c r="P16" s="550" t="s">
        <v>1136</v>
      </c>
      <c r="R16" s="587">
        <v>7640</v>
      </c>
      <c r="S16" s="587">
        <v>8130</v>
      </c>
      <c r="W16" s="412"/>
      <c r="X16" s="412"/>
      <c r="Y16" s="412"/>
      <c r="AP16" s="412"/>
      <c r="AQ16" s="412"/>
    </row>
    <row r="17" spans="1:43" x14ac:dyDescent="0.2">
      <c r="A17" s="548"/>
      <c r="B17" s="536"/>
      <c r="C17" s="392"/>
      <c r="D17" s="400"/>
      <c r="E17" s="550" t="s">
        <v>63</v>
      </c>
      <c r="G17" s="255">
        <v>122595.44571470271</v>
      </c>
      <c r="H17" s="255">
        <v>146365.61551311292</v>
      </c>
      <c r="I17" s="1312">
        <v>-3</v>
      </c>
      <c r="J17" s="1312">
        <v>-3</v>
      </c>
      <c r="K17" s="480"/>
      <c r="M17" s="536"/>
      <c r="N17" s="392"/>
      <c r="O17" s="400"/>
      <c r="P17" s="550" t="s">
        <v>63</v>
      </c>
      <c r="R17" s="587">
        <v>123000</v>
      </c>
      <c r="S17" s="587">
        <v>146000</v>
      </c>
      <c r="W17" s="412"/>
      <c r="X17" s="412"/>
      <c r="Y17" s="412"/>
      <c r="AP17" s="412"/>
      <c r="AQ17" s="412"/>
    </row>
    <row r="18" spans="1:43" x14ac:dyDescent="0.2">
      <c r="A18" s="548"/>
      <c r="B18" s="536"/>
      <c r="C18" s="392"/>
      <c r="D18" s="400"/>
      <c r="E18" s="550" t="s">
        <v>835</v>
      </c>
      <c r="G18" s="255">
        <v>48839.664126774034</v>
      </c>
      <c r="H18" s="255">
        <v>69824.647727232878</v>
      </c>
      <c r="I18" s="1312">
        <v>-2</v>
      </c>
      <c r="J18" s="1312">
        <v>-2</v>
      </c>
      <c r="K18" s="480"/>
      <c r="M18" s="536"/>
      <c r="N18" s="392"/>
      <c r="O18" s="400"/>
      <c r="P18" s="550" t="s">
        <v>835</v>
      </c>
      <c r="R18" s="587">
        <v>48800</v>
      </c>
      <c r="S18" s="587">
        <v>69800</v>
      </c>
      <c r="W18" s="412"/>
      <c r="X18" s="412"/>
      <c r="Y18" s="412"/>
      <c r="AP18" s="412"/>
      <c r="AQ18" s="412"/>
    </row>
    <row r="19" spans="1:43" x14ac:dyDescent="0.2">
      <c r="A19" s="548"/>
      <c r="B19" s="536"/>
      <c r="C19" s="552" t="s">
        <v>8</v>
      </c>
      <c r="D19" s="552"/>
      <c r="E19" s="552"/>
      <c r="F19" s="552"/>
      <c r="G19" s="553">
        <v>1895030.034232178</v>
      </c>
      <c r="H19" s="553">
        <v>2177035.102117118</v>
      </c>
      <c r="I19" s="1312">
        <v>-4</v>
      </c>
      <c r="J19" s="1312">
        <v>-4</v>
      </c>
      <c r="K19" s="480"/>
      <c r="M19" s="536"/>
      <c r="N19" s="552" t="s">
        <v>8</v>
      </c>
      <c r="O19" s="552"/>
      <c r="P19" s="552"/>
      <c r="Q19" s="552"/>
      <c r="R19" s="776">
        <v>1900000</v>
      </c>
      <c r="S19" s="776">
        <v>2180000</v>
      </c>
      <c r="W19" s="412"/>
      <c r="X19" s="412"/>
      <c r="Y19" s="412"/>
      <c r="AP19" s="412"/>
      <c r="AQ19" s="412"/>
    </row>
    <row r="20" spans="1:43" x14ac:dyDescent="0.2">
      <c r="A20" s="548"/>
      <c r="B20" s="536"/>
      <c r="C20" s="392"/>
      <c r="E20" s="550" t="s">
        <v>1187</v>
      </c>
      <c r="G20" s="255">
        <v>138331.8128123733</v>
      </c>
      <c r="H20" s="255">
        <v>133584.89082315794</v>
      </c>
      <c r="I20" s="1312">
        <v>-3</v>
      </c>
      <c r="J20" s="1312">
        <v>-3</v>
      </c>
      <c r="K20" s="480"/>
      <c r="M20" s="536"/>
      <c r="N20" s="392"/>
      <c r="P20" s="550" t="s">
        <v>1187</v>
      </c>
      <c r="R20" s="587">
        <v>138000</v>
      </c>
      <c r="S20" s="587">
        <v>134000</v>
      </c>
      <c r="W20" s="412"/>
      <c r="X20" s="412"/>
      <c r="Y20" s="412"/>
      <c r="AP20" s="412"/>
      <c r="AQ20" s="412"/>
    </row>
    <row r="21" spans="1:43" x14ac:dyDescent="0.2">
      <c r="A21" s="548"/>
      <c r="B21" s="536"/>
      <c r="C21" s="400"/>
      <c r="E21" s="550" t="s">
        <v>1188</v>
      </c>
      <c r="G21" s="255">
        <v>1756698.2214198047</v>
      </c>
      <c r="H21" s="255">
        <v>2043450.2112939602</v>
      </c>
      <c r="I21" s="1312">
        <v>-4</v>
      </c>
      <c r="J21" s="1312">
        <v>-4</v>
      </c>
      <c r="K21" s="224"/>
      <c r="M21" s="536"/>
      <c r="N21" s="400"/>
      <c r="P21" s="550" t="s">
        <v>1188</v>
      </c>
      <c r="R21" s="587">
        <v>1760000</v>
      </c>
      <c r="S21" s="587">
        <v>2040000</v>
      </c>
      <c r="W21" s="412"/>
      <c r="X21" s="412"/>
      <c r="Y21" s="412"/>
      <c r="AP21" s="412"/>
      <c r="AQ21" s="412"/>
    </row>
    <row r="22" spans="1:43" x14ac:dyDescent="0.2">
      <c r="A22" s="548"/>
      <c r="B22" s="536"/>
      <c r="C22" s="552" t="s">
        <v>815</v>
      </c>
      <c r="D22" s="552"/>
      <c r="E22" s="552"/>
      <c r="F22" s="552"/>
      <c r="G22" s="553">
        <v>11329727.54526259</v>
      </c>
      <c r="H22" s="553">
        <v>11353735.827275094</v>
      </c>
      <c r="I22" s="1312">
        <v>-5</v>
      </c>
      <c r="J22" s="1312">
        <v>-5</v>
      </c>
      <c r="K22" s="224"/>
      <c r="M22" s="536"/>
      <c r="N22" s="552" t="s">
        <v>815</v>
      </c>
      <c r="O22" s="552"/>
      <c r="P22" s="552"/>
      <c r="Q22" s="552"/>
      <c r="R22" s="776">
        <v>11300000</v>
      </c>
      <c r="S22" s="776">
        <v>11400000</v>
      </c>
      <c r="W22" s="412"/>
      <c r="X22" s="412"/>
      <c r="Y22" s="412"/>
      <c r="AP22" s="412"/>
      <c r="AQ22" s="412"/>
    </row>
    <row r="23" spans="1:43" ht="12" customHeight="1" x14ac:dyDescent="0.2">
      <c r="A23" s="536"/>
      <c r="B23" s="712" t="s">
        <v>799</v>
      </c>
      <c r="C23" s="713"/>
      <c r="D23" s="713"/>
      <c r="E23" s="713"/>
      <c r="F23" s="713"/>
      <c r="G23" s="780"/>
      <c r="H23" s="780"/>
      <c r="I23" s="1312">
        <v>0</v>
      </c>
      <c r="J23" s="1312">
        <v>0</v>
      </c>
      <c r="K23" s="224"/>
      <c r="L23" s="423"/>
      <c r="M23" s="712" t="s">
        <v>799</v>
      </c>
      <c r="N23" s="713"/>
      <c r="O23" s="713"/>
      <c r="P23" s="713"/>
      <c r="Q23" s="715"/>
      <c r="R23" s="714" t="s">
        <v>1686</v>
      </c>
      <c r="S23" s="714" t="s">
        <v>1686</v>
      </c>
      <c r="W23" s="412"/>
      <c r="X23" s="412"/>
      <c r="Y23" s="412"/>
      <c r="AP23" s="412"/>
      <c r="AQ23" s="412"/>
    </row>
    <row r="24" spans="1:43" x14ac:dyDescent="0.2">
      <c r="A24" s="555"/>
      <c r="B24" s="179"/>
      <c r="C24" s="549" t="s">
        <v>46</v>
      </c>
      <c r="D24" s="549"/>
      <c r="E24" s="549"/>
      <c r="F24" s="549"/>
      <c r="G24" s="556">
        <v>3762582.2038882519</v>
      </c>
      <c r="H24" s="556">
        <v>4136066.4948832104</v>
      </c>
      <c r="I24" s="1312">
        <v>-4</v>
      </c>
      <c r="J24" s="1312">
        <v>-4</v>
      </c>
      <c r="K24" s="224"/>
      <c r="M24" s="179"/>
      <c r="N24" s="552" t="s">
        <v>46</v>
      </c>
      <c r="O24" s="552"/>
      <c r="P24" s="552"/>
      <c r="Q24" s="552"/>
      <c r="R24" s="775">
        <v>3760000</v>
      </c>
      <c r="S24" s="775">
        <v>4140000</v>
      </c>
      <c r="W24" s="412"/>
      <c r="X24" s="412"/>
      <c r="Y24" s="412"/>
      <c r="AP24" s="412"/>
      <c r="AQ24" s="412"/>
    </row>
    <row r="25" spans="1:43" x14ac:dyDescent="0.2">
      <c r="A25" s="555"/>
      <c r="B25" s="536"/>
      <c r="C25" s="536"/>
      <c r="D25" s="179" t="s">
        <v>797</v>
      </c>
      <c r="E25" s="179"/>
      <c r="F25" s="179"/>
      <c r="G25" s="255">
        <v>1866534.1063584599</v>
      </c>
      <c r="H25" s="255">
        <v>2056709.8333594454</v>
      </c>
      <c r="I25" s="1312">
        <v>-4</v>
      </c>
      <c r="J25" s="1312">
        <v>-4</v>
      </c>
      <c r="K25" s="224"/>
      <c r="M25" s="536"/>
      <c r="N25" s="536"/>
      <c r="O25" s="179" t="s">
        <v>797</v>
      </c>
      <c r="P25" s="179"/>
      <c r="Q25" s="179"/>
      <c r="R25" s="587">
        <v>1870000</v>
      </c>
      <c r="S25" s="587">
        <v>2060000</v>
      </c>
      <c r="T25"/>
      <c r="W25" s="412"/>
      <c r="X25" s="412"/>
      <c r="Y25" s="412"/>
      <c r="AP25" s="412"/>
      <c r="AQ25" s="412"/>
    </row>
    <row r="26" spans="1:43" x14ac:dyDescent="0.2">
      <c r="A26" s="555"/>
      <c r="B26" s="536"/>
      <c r="C26" s="536"/>
      <c r="D26" s="179" t="s">
        <v>801</v>
      </c>
      <c r="E26" s="179"/>
      <c r="F26" s="179"/>
      <c r="G26" s="558"/>
      <c r="H26" s="558"/>
      <c r="I26" s="1312">
        <v>0</v>
      </c>
      <c r="J26" s="1312">
        <v>0</v>
      </c>
      <c r="K26" s="224"/>
      <c r="M26" s="536"/>
      <c r="N26" s="536"/>
      <c r="O26" s="179" t="s">
        <v>817</v>
      </c>
      <c r="P26" s="179"/>
      <c r="Q26" s="179"/>
      <c r="R26" s="777" t="s">
        <v>1686</v>
      </c>
      <c r="S26" s="777" t="s">
        <v>1686</v>
      </c>
      <c r="T26"/>
      <c r="W26" s="412"/>
      <c r="X26" s="412"/>
      <c r="Y26" s="412"/>
      <c r="AP26" s="412"/>
      <c r="AQ26" s="412"/>
    </row>
    <row r="27" spans="1:43" x14ac:dyDescent="0.2">
      <c r="A27" s="555"/>
      <c r="B27" s="536"/>
      <c r="C27" s="536"/>
      <c r="D27" s="536"/>
      <c r="E27" s="562" t="s">
        <v>214</v>
      </c>
      <c r="F27" s="562"/>
      <c r="G27" s="559">
        <v>1565449.9609237434</v>
      </c>
      <c r="H27" s="559">
        <v>1815163.1470527851</v>
      </c>
      <c r="I27" s="1312">
        <v>-4</v>
      </c>
      <c r="J27" s="1312">
        <v>-4</v>
      </c>
      <c r="K27" s="224"/>
      <c r="M27" s="536"/>
      <c r="N27" s="536"/>
      <c r="O27" s="536"/>
      <c r="P27" s="562" t="s">
        <v>214</v>
      </c>
      <c r="Q27" s="536"/>
      <c r="R27" s="778">
        <v>1570000</v>
      </c>
      <c r="S27" s="778">
        <v>1820000</v>
      </c>
      <c r="T27"/>
      <c r="W27" s="412"/>
      <c r="X27" s="412"/>
      <c r="Y27" s="412"/>
      <c r="AP27" s="412"/>
      <c r="AQ27" s="412"/>
    </row>
    <row r="28" spans="1:43" x14ac:dyDescent="0.2">
      <c r="A28" s="555"/>
      <c r="B28" s="536"/>
      <c r="C28" s="536"/>
      <c r="D28" s="536"/>
      <c r="E28" s="562" t="s">
        <v>37</v>
      </c>
      <c r="F28" s="562"/>
      <c r="G28" s="255">
        <v>284427.46213974222</v>
      </c>
      <c r="H28" s="255">
        <v>215035.96310774286</v>
      </c>
      <c r="I28" s="1312">
        <v>-3</v>
      </c>
      <c r="J28" s="1312">
        <v>-3</v>
      </c>
      <c r="K28" s="224"/>
      <c r="M28" s="536"/>
      <c r="N28" s="536"/>
      <c r="O28" s="536"/>
      <c r="P28" s="562" t="s">
        <v>37</v>
      </c>
      <c r="Q28" s="536"/>
      <c r="R28" s="561">
        <v>284000</v>
      </c>
      <c r="S28" s="587">
        <v>215000</v>
      </c>
      <c r="T28"/>
      <c r="W28" s="412"/>
      <c r="X28" s="412"/>
      <c r="Y28" s="412"/>
      <c r="AP28" s="412"/>
      <c r="AQ28" s="412"/>
    </row>
    <row r="29" spans="1:43" x14ac:dyDescent="0.2">
      <c r="A29" s="555"/>
      <c r="B29" s="536"/>
      <c r="C29" s="536"/>
      <c r="D29" s="179" t="s">
        <v>20</v>
      </c>
      <c r="E29" s="536"/>
      <c r="F29" s="536"/>
      <c r="G29" s="255"/>
      <c r="H29" s="255"/>
      <c r="I29" s="1312">
        <v>0</v>
      </c>
      <c r="J29" s="1312">
        <v>0</v>
      </c>
      <c r="K29" s="224"/>
      <c r="M29" s="536"/>
      <c r="N29" s="536"/>
      <c r="O29" s="179" t="s">
        <v>20</v>
      </c>
      <c r="P29" s="536"/>
      <c r="Q29" s="536"/>
      <c r="R29" s="587" t="s">
        <v>1686</v>
      </c>
      <c r="S29" s="587" t="s">
        <v>1686</v>
      </c>
      <c r="W29" s="412"/>
      <c r="X29" s="412"/>
      <c r="Y29" s="412"/>
      <c r="AP29" s="412"/>
      <c r="AQ29" s="412"/>
    </row>
    <row r="30" spans="1:43" x14ac:dyDescent="0.2">
      <c r="A30" s="555"/>
      <c r="B30" s="536"/>
      <c r="C30" s="536"/>
      <c r="D30" s="179"/>
      <c r="E30" s="734" t="s">
        <v>212</v>
      </c>
      <c r="F30" s="562"/>
      <c r="G30" s="255">
        <v>46015.111945072349</v>
      </c>
      <c r="H30" s="255">
        <v>48991.925179167374</v>
      </c>
      <c r="I30" s="1312">
        <v>-2</v>
      </c>
      <c r="J30" s="1312">
        <v>-2</v>
      </c>
      <c r="K30" s="224"/>
      <c r="M30" s="536"/>
      <c r="N30" s="536"/>
      <c r="O30" s="179"/>
      <c r="P30" s="562" t="s">
        <v>212</v>
      </c>
      <c r="Q30" s="536"/>
      <c r="R30" s="561">
        <v>46000</v>
      </c>
      <c r="S30" s="587">
        <v>49000</v>
      </c>
      <c r="W30" s="412"/>
      <c r="X30" s="412"/>
      <c r="Y30" s="412"/>
      <c r="AP30" s="412"/>
      <c r="AQ30" s="412"/>
    </row>
    <row r="31" spans="1:43" x14ac:dyDescent="0.2">
      <c r="A31" s="555"/>
      <c r="B31" s="536"/>
      <c r="C31" s="536"/>
      <c r="D31" s="179"/>
      <c r="E31" s="734" t="s">
        <v>213</v>
      </c>
      <c r="F31" s="562"/>
      <c r="G31" s="255">
        <v>147.64624970976709</v>
      </c>
      <c r="H31" s="255">
        <v>157.19779248608759</v>
      </c>
      <c r="I31" s="1312">
        <v>0</v>
      </c>
      <c r="J31" s="1312">
        <v>0</v>
      </c>
      <c r="K31" s="224"/>
      <c r="M31" s="536"/>
      <c r="N31" s="536"/>
      <c r="O31" s="179"/>
      <c r="P31" s="562" t="s">
        <v>213</v>
      </c>
      <c r="Q31" s="536"/>
      <c r="R31" s="561">
        <v>148</v>
      </c>
      <c r="S31" s="587">
        <v>157</v>
      </c>
      <c r="W31" s="412"/>
      <c r="X31" s="412"/>
      <c r="Y31" s="412"/>
      <c r="AP31" s="412"/>
      <c r="AQ31" s="412"/>
    </row>
    <row r="32" spans="1:43" x14ac:dyDescent="0.2">
      <c r="A32" s="555"/>
      <c r="B32" s="536"/>
      <c r="C32" s="536"/>
      <c r="D32" s="179"/>
      <c r="E32" s="734" t="s">
        <v>316</v>
      </c>
      <c r="F32" s="562"/>
      <c r="G32" s="255">
        <v>7.9162715242516635</v>
      </c>
      <c r="H32" s="255">
        <v>8.4283915831186622</v>
      </c>
      <c r="I32" s="1312">
        <v>0</v>
      </c>
      <c r="J32" s="1312">
        <v>0</v>
      </c>
      <c r="K32" s="224"/>
      <c r="M32" s="536"/>
      <c r="N32" s="536"/>
      <c r="O32" s="179"/>
      <c r="P32" s="562" t="s">
        <v>316</v>
      </c>
      <c r="Q32" s="536"/>
      <c r="R32" s="561">
        <v>8</v>
      </c>
      <c r="S32" s="587">
        <v>8</v>
      </c>
      <c r="W32" s="412"/>
      <c r="X32" s="412"/>
      <c r="Y32" s="412"/>
      <c r="AP32" s="412"/>
      <c r="AQ32" s="412"/>
    </row>
    <row r="33" spans="1:43" x14ac:dyDescent="0.2">
      <c r="A33" s="555"/>
      <c r="B33" s="179"/>
      <c r="C33" s="552" t="s">
        <v>47</v>
      </c>
      <c r="D33" s="552"/>
      <c r="E33" s="552"/>
      <c r="F33" s="552"/>
      <c r="G33" s="553">
        <v>3579791.8019358711</v>
      </c>
      <c r="H33" s="553">
        <v>4044408.9108456257</v>
      </c>
      <c r="I33" s="1312">
        <v>-4</v>
      </c>
      <c r="J33" s="1312">
        <v>-4</v>
      </c>
      <c r="K33" s="224"/>
      <c r="M33" s="179"/>
      <c r="N33" s="552" t="s">
        <v>47</v>
      </c>
      <c r="O33" s="552"/>
      <c r="P33" s="552"/>
      <c r="Q33" s="552"/>
      <c r="R33" s="776">
        <v>3580000</v>
      </c>
      <c r="S33" s="776">
        <v>4040000</v>
      </c>
      <c r="W33" s="412"/>
      <c r="X33" s="412"/>
      <c r="Y33" s="412"/>
      <c r="AP33" s="412"/>
      <c r="AQ33" s="412"/>
    </row>
    <row r="34" spans="1:43" x14ac:dyDescent="0.2">
      <c r="A34" s="555"/>
      <c r="B34" s="536"/>
      <c r="C34" s="536"/>
      <c r="D34" s="179" t="s">
        <v>797</v>
      </c>
      <c r="E34" s="179"/>
      <c r="F34" s="179"/>
      <c r="G34" s="255">
        <v>2001481.2703278386</v>
      </c>
      <c r="H34" s="255">
        <v>2278281.9927048925</v>
      </c>
      <c r="I34" s="1312">
        <v>-4</v>
      </c>
      <c r="J34" s="1312">
        <v>-4</v>
      </c>
      <c r="K34" s="224"/>
      <c r="M34" s="536"/>
      <c r="N34" s="536"/>
      <c r="O34" s="179" t="s">
        <v>797</v>
      </c>
      <c r="P34" s="179"/>
      <c r="Q34" s="179"/>
      <c r="R34" s="587">
        <v>2000000</v>
      </c>
      <c r="S34" s="587">
        <v>2280000</v>
      </c>
      <c r="T34"/>
      <c r="W34" s="412"/>
      <c r="X34" s="412"/>
      <c r="Y34" s="412"/>
      <c r="AP34" s="412"/>
      <c r="AQ34" s="412"/>
    </row>
    <row r="35" spans="1:43" x14ac:dyDescent="0.2">
      <c r="A35" s="555"/>
      <c r="B35" s="536"/>
      <c r="C35" s="536"/>
      <c r="D35" s="179" t="s">
        <v>847</v>
      </c>
      <c r="E35" s="179"/>
      <c r="F35" s="179"/>
      <c r="G35" s="558"/>
      <c r="H35" s="255"/>
      <c r="I35" s="1312">
        <v>0</v>
      </c>
      <c r="J35" s="1312">
        <v>0</v>
      </c>
      <c r="K35" s="224"/>
      <c r="M35" s="536"/>
      <c r="N35" s="536"/>
      <c r="O35" s="179" t="s">
        <v>847</v>
      </c>
      <c r="P35" s="179"/>
      <c r="Q35" s="179"/>
      <c r="R35" s="777" t="s">
        <v>1686</v>
      </c>
      <c r="S35" s="587" t="s">
        <v>1686</v>
      </c>
      <c r="T35"/>
      <c r="W35" s="412"/>
      <c r="X35" s="412"/>
      <c r="Y35" s="412"/>
      <c r="AP35" s="412"/>
      <c r="AQ35" s="412"/>
    </row>
    <row r="36" spans="1:43" x14ac:dyDescent="0.2">
      <c r="A36" s="555"/>
      <c r="B36" s="536"/>
      <c r="C36" s="536"/>
      <c r="D36" s="536"/>
      <c r="E36" s="562" t="s">
        <v>214</v>
      </c>
      <c r="F36" s="536"/>
      <c r="G36" s="255">
        <v>831954.80783429567</v>
      </c>
      <c r="H36" s="255">
        <v>952343.16711714945</v>
      </c>
      <c r="I36" s="1312">
        <v>-3</v>
      </c>
      <c r="J36" s="1312">
        <v>-3</v>
      </c>
      <c r="K36" s="224"/>
      <c r="M36" s="536"/>
      <c r="N36" s="536"/>
      <c r="O36" s="536"/>
      <c r="P36" s="562" t="s">
        <v>214</v>
      </c>
      <c r="Q36" s="536"/>
      <c r="R36" s="561">
        <v>832000</v>
      </c>
      <c r="S36" s="587">
        <v>952000</v>
      </c>
      <c r="T36"/>
      <c r="W36" s="412"/>
      <c r="X36" s="412"/>
      <c r="Y36" s="412"/>
      <c r="AP36" s="412"/>
      <c r="AQ36" s="412"/>
    </row>
    <row r="37" spans="1:43" x14ac:dyDescent="0.2">
      <c r="A37" s="555"/>
      <c r="B37" s="536"/>
      <c r="C37" s="536"/>
      <c r="D37" s="536"/>
      <c r="E37" s="562" t="s">
        <v>37</v>
      </c>
      <c r="F37" s="536"/>
      <c r="G37" s="558">
        <v>208780.99475738493</v>
      </c>
      <c r="H37" s="558">
        <v>227202.69931051467</v>
      </c>
      <c r="I37" s="1312">
        <v>-3</v>
      </c>
      <c r="J37" s="1312">
        <v>-3</v>
      </c>
      <c r="K37" s="224"/>
      <c r="M37" s="536"/>
      <c r="N37" s="536"/>
      <c r="O37" s="536"/>
      <c r="P37" s="562" t="s">
        <v>37</v>
      </c>
      <c r="Q37" s="536"/>
      <c r="R37" s="777">
        <v>209000</v>
      </c>
      <c r="S37" s="587">
        <v>227000</v>
      </c>
      <c r="T37"/>
      <c r="W37" s="412"/>
      <c r="X37" s="412"/>
      <c r="Y37" s="412"/>
      <c r="AP37" s="412"/>
      <c r="AQ37" s="412"/>
    </row>
    <row r="38" spans="1:43" x14ac:dyDescent="0.2">
      <c r="A38" s="555"/>
      <c r="B38" s="536"/>
      <c r="C38" s="536"/>
      <c r="D38" s="512" t="s">
        <v>68</v>
      </c>
      <c r="E38" s="562"/>
      <c r="F38" s="536"/>
      <c r="G38" s="558"/>
      <c r="H38" s="558"/>
      <c r="I38" s="1312"/>
      <c r="J38" s="1312"/>
      <c r="K38" s="224"/>
      <c r="M38" s="536"/>
      <c r="N38" s="536"/>
      <c r="O38" s="179" t="s">
        <v>68</v>
      </c>
      <c r="P38" s="562"/>
      <c r="Q38" s="536"/>
      <c r="R38" s="777"/>
      <c r="S38" s="587"/>
      <c r="T38"/>
      <c r="W38" s="412"/>
      <c r="X38" s="412"/>
      <c r="Y38" s="412"/>
      <c r="AP38" s="412"/>
      <c r="AQ38" s="412"/>
    </row>
    <row r="39" spans="1:43" x14ac:dyDescent="0.2">
      <c r="A39" s="555"/>
      <c r="B39" s="536"/>
      <c r="C39" s="536"/>
      <c r="D39" s="536"/>
      <c r="E39" s="562" t="s">
        <v>213</v>
      </c>
      <c r="F39" s="536"/>
      <c r="G39" s="558">
        <v>100784.79525989</v>
      </c>
      <c r="H39" s="558">
        <v>109403.74801667969</v>
      </c>
      <c r="I39" s="1312">
        <v>-3</v>
      </c>
      <c r="J39" s="1312">
        <v>-3</v>
      </c>
      <c r="K39" s="224"/>
      <c r="M39" s="536"/>
      <c r="N39" s="536"/>
      <c r="O39" s="536"/>
      <c r="P39" s="562" t="s">
        <v>213</v>
      </c>
      <c r="Q39" s="536"/>
      <c r="R39" s="777">
        <v>101000</v>
      </c>
      <c r="S39" s="587">
        <v>109000</v>
      </c>
      <c r="T39"/>
      <c r="W39" s="412"/>
      <c r="X39" s="412"/>
      <c r="Y39" s="412"/>
      <c r="AP39" s="412"/>
      <c r="AQ39" s="412"/>
    </row>
    <row r="40" spans="1:43" x14ac:dyDescent="0.2">
      <c r="A40" s="555"/>
      <c r="B40" s="536"/>
      <c r="C40" s="536"/>
      <c r="D40" s="536"/>
      <c r="E40" s="562" t="s">
        <v>212</v>
      </c>
      <c r="F40" s="536"/>
      <c r="G40" s="558">
        <v>229882.68359006301</v>
      </c>
      <c r="H40" s="558">
        <v>249541.87905062389</v>
      </c>
      <c r="I40" s="1312">
        <v>-3</v>
      </c>
      <c r="J40" s="1312">
        <v>-3</v>
      </c>
      <c r="K40" s="224"/>
      <c r="M40" s="536"/>
      <c r="N40" s="536"/>
      <c r="O40" s="536"/>
      <c r="P40" s="562" t="s">
        <v>212</v>
      </c>
      <c r="Q40" s="536"/>
      <c r="R40" s="777">
        <v>230000</v>
      </c>
      <c r="S40" s="587">
        <v>250000</v>
      </c>
      <c r="W40" s="412"/>
      <c r="X40" s="412"/>
      <c r="Y40" s="412"/>
      <c r="AP40" s="412"/>
      <c r="AQ40" s="412"/>
    </row>
    <row r="41" spans="1:43" x14ac:dyDescent="0.2">
      <c r="A41" s="555"/>
      <c r="B41" s="536"/>
      <c r="C41" s="536"/>
      <c r="D41" s="536"/>
      <c r="E41" s="562" t="s">
        <v>316</v>
      </c>
      <c r="F41" s="536"/>
      <c r="G41" s="558">
        <v>10500.932440345654</v>
      </c>
      <c r="H41" s="558">
        <v>11398.955206301494</v>
      </c>
      <c r="I41" s="1312">
        <v>-2</v>
      </c>
      <c r="J41" s="1312">
        <v>-2</v>
      </c>
      <c r="K41" s="224"/>
      <c r="M41" s="536"/>
      <c r="N41" s="536"/>
      <c r="O41" s="536"/>
      <c r="P41" s="562" t="s">
        <v>316</v>
      </c>
      <c r="Q41" s="536"/>
      <c r="R41" s="777">
        <v>10500</v>
      </c>
      <c r="S41" s="587">
        <v>11400</v>
      </c>
      <c r="W41" s="412"/>
      <c r="X41" s="412"/>
      <c r="Y41" s="412"/>
      <c r="AP41" s="412"/>
      <c r="AQ41" s="412"/>
    </row>
    <row r="42" spans="1:43" x14ac:dyDescent="0.2">
      <c r="A42" s="555"/>
      <c r="B42" s="536"/>
      <c r="C42" s="536"/>
      <c r="D42" s="536"/>
      <c r="E42" s="562" t="s">
        <v>378</v>
      </c>
      <c r="F42" s="536"/>
      <c r="G42" s="558">
        <v>36325.163697133365</v>
      </c>
      <c r="H42" s="558">
        <v>39431.632971401414</v>
      </c>
      <c r="I42" s="1312">
        <v>-2</v>
      </c>
      <c r="J42" s="1312">
        <v>-2</v>
      </c>
      <c r="K42" s="224"/>
      <c r="M42" s="536"/>
      <c r="N42" s="536"/>
      <c r="O42" s="536"/>
      <c r="P42" s="562" t="s">
        <v>378</v>
      </c>
      <c r="Q42" s="536"/>
      <c r="R42" s="777">
        <v>36300</v>
      </c>
      <c r="S42" s="587">
        <v>39400</v>
      </c>
      <c r="W42" s="412"/>
      <c r="X42" s="412"/>
      <c r="Y42" s="412"/>
      <c r="AP42" s="412"/>
      <c r="AQ42" s="412"/>
    </row>
    <row r="43" spans="1:43" x14ac:dyDescent="0.2">
      <c r="A43" s="548"/>
      <c r="B43" s="536"/>
      <c r="C43" s="536"/>
      <c r="D43" s="179" t="s">
        <v>846</v>
      </c>
      <c r="E43" s="179"/>
      <c r="F43" s="179"/>
      <c r="G43" s="558"/>
      <c r="H43" s="255"/>
      <c r="I43" s="1312">
        <v>0</v>
      </c>
      <c r="J43" s="1312">
        <v>0</v>
      </c>
      <c r="K43" s="224"/>
      <c r="M43" s="536"/>
      <c r="N43" s="536"/>
      <c r="O43" s="179" t="s">
        <v>846</v>
      </c>
      <c r="P43" s="179"/>
      <c r="Q43" s="179"/>
      <c r="R43" s="777" t="s">
        <v>1686</v>
      </c>
      <c r="S43" s="587" t="s">
        <v>1686</v>
      </c>
      <c r="W43" s="412"/>
      <c r="X43" s="412"/>
      <c r="Y43" s="412"/>
      <c r="AP43" s="412"/>
      <c r="AQ43" s="412"/>
    </row>
    <row r="44" spans="1:43" x14ac:dyDescent="0.2">
      <c r="A44" s="548"/>
      <c r="B44" s="536"/>
      <c r="C44" s="536"/>
      <c r="D44" s="179"/>
      <c r="E44" s="562" t="s">
        <v>214</v>
      </c>
      <c r="F44" s="536"/>
      <c r="G44" s="559">
        <v>160081.15402892014</v>
      </c>
      <c r="H44" s="559">
        <v>176252.8617572583</v>
      </c>
      <c r="I44" s="1312">
        <v>-3</v>
      </c>
      <c r="J44" s="1312">
        <v>-3</v>
      </c>
      <c r="K44" s="224"/>
      <c r="M44" s="536"/>
      <c r="N44" s="536"/>
      <c r="O44" s="179"/>
      <c r="P44" s="562" t="s">
        <v>214</v>
      </c>
      <c r="Q44" s="536"/>
      <c r="R44" s="778">
        <v>160000</v>
      </c>
      <c r="S44" s="587">
        <v>176000</v>
      </c>
      <c r="W44" s="412"/>
      <c r="X44" s="412"/>
      <c r="Y44" s="412"/>
      <c r="AP44" s="412"/>
      <c r="AQ44" s="412"/>
    </row>
    <row r="45" spans="1:43" x14ac:dyDescent="0.2">
      <c r="A45" s="548"/>
      <c r="B45" s="536"/>
      <c r="C45" s="536"/>
      <c r="D45" s="179"/>
      <c r="E45" s="562" t="s">
        <v>37</v>
      </c>
      <c r="F45" s="536"/>
      <c r="G45" s="559">
        <v>0</v>
      </c>
      <c r="H45" s="559">
        <v>551.97471080411503</v>
      </c>
      <c r="I45" s="1312">
        <v>0</v>
      </c>
      <c r="J45" s="1312">
        <v>0</v>
      </c>
      <c r="K45" s="224"/>
      <c r="M45" s="536"/>
      <c r="N45" s="536"/>
      <c r="O45" s="179"/>
      <c r="P45" s="562" t="s">
        <v>37</v>
      </c>
      <c r="Q45" s="536"/>
      <c r="R45" s="778">
        <v>0</v>
      </c>
      <c r="S45" s="587">
        <v>552</v>
      </c>
      <c r="W45" s="412"/>
      <c r="X45" s="412"/>
      <c r="Y45" s="412"/>
      <c r="AP45" s="412"/>
      <c r="AQ45" s="412"/>
    </row>
    <row r="46" spans="1:43" x14ac:dyDescent="0.2">
      <c r="A46" s="548"/>
      <c r="B46" s="536"/>
      <c r="C46" s="552" t="s">
        <v>815</v>
      </c>
      <c r="D46" s="552"/>
      <c r="E46" s="552"/>
      <c r="F46" s="552"/>
      <c r="G46" s="553">
        <v>7342374.0058241226</v>
      </c>
      <c r="H46" s="553">
        <v>8180475.4057288356</v>
      </c>
      <c r="I46" s="1312">
        <v>-4</v>
      </c>
      <c r="J46" s="1312">
        <v>-4</v>
      </c>
      <c r="K46" s="224"/>
      <c r="M46" s="536"/>
      <c r="N46" s="552" t="s">
        <v>815</v>
      </c>
      <c r="O46" s="552"/>
      <c r="P46" s="552"/>
      <c r="Q46" s="552"/>
      <c r="R46" s="776">
        <v>7340000</v>
      </c>
      <c r="S46" s="776">
        <v>8180000</v>
      </c>
      <c r="W46" s="412"/>
      <c r="X46" s="412"/>
      <c r="Y46" s="412"/>
      <c r="AP46" s="412"/>
      <c r="AQ46" s="412"/>
    </row>
    <row r="47" spans="1:43" ht="12.75" customHeight="1" x14ac:dyDescent="0.2">
      <c r="A47" s="548"/>
      <c r="B47" s="706" t="s">
        <v>1138</v>
      </c>
      <c r="C47" s="704"/>
      <c r="D47" s="704"/>
      <c r="E47" s="704"/>
      <c r="F47" s="704"/>
      <c r="G47" s="727"/>
      <c r="H47" s="727"/>
      <c r="I47" s="1312">
        <v>0</v>
      </c>
      <c r="J47" s="1312">
        <v>0</v>
      </c>
      <c r="K47" s="224"/>
      <c r="M47" s="706" t="s">
        <v>1138</v>
      </c>
      <c r="N47" s="706"/>
      <c r="O47" s="706"/>
      <c r="P47" s="706"/>
      <c r="Q47" s="706"/>
      <c r="R47" s="705" t="s">
        <v>1686</v>
      </c>
      <c r="S47" s="705" t="s">
        <v>1686</v>
      </c>
      <c r="U47"/>
      <c r="W47" s="412"/>
      <c r="X47" s="412"/>
      <c r="Y47" s="412"/>
      <c r="AP47" s="412"/>
      <c r="AQ47" s="412"/>
    </row>
    <row r="48" spans="1:43" x14ac:dyDescent="0.2">
      <c r="A48" s="555"/>
      <c r="B48" s="179"/>
      <c r="C48" s="552" t="s">
        <v>848</v>
      </c>
      <c r="D48" s="552"/>
      <c r="E48" s="552"/>
      <c r="F48" s="552"/>
      <c r="G48" s="553">
        <v>2170588.0378657775</v>
      </c>
      <c r="H48" s="553">
        <v>3349250.4500484988</v>
      </c>
      <c r="I48" s="1312">
        <v>-4</v>
      </c>
      <c r="J48" s="1312">
        <v>-4</v>
      </c>
      <c r="K48" s="224"/>
      <c r="M48" s="179"/>
      <c r="N48" s="552" t="s">
        <v>848</v>
      </c>
      <c r="O48" s="552"/>
      <c r="P48" s="552"/>
      <c r="Q48" s="552"/>
      <c r="R48" s="776">
        <v>2170000</v>
      </c>
      <c r="S48" s="776">
        <v>3350000</v>
      </c>
      <c r="U48"/>
      <c r="W48" s="412"/>
      <c r="X48" s="412"/>
      <c r="Y48" s="412"/>
      <c r="AP48" s="412"/>
      <c r="AQ48" s="412"/>
    </row>
    <row r="49" spans="1:43" x14ac:dyDescent="0.2">
      <c r="A49" s="548"/>
      <c r="B49" s="536"/>
      <c r="C49" s="536"/>
      <c r="D49" s="179" t="s">
        <v>797</v>
      </c>
      <c r="E49" s="179"/>
      <c r="F49" s="537"/>
      <c r="G49" s="558">
        <v>534708.13401730801</v>
      </c>
      <c r="H49" s="558">
        <v>503629.9844031235</v>
      </c>
      <c r="I49" s="1312">
        <v>-3</v>
      </c>
      <c r="J49" s="1312">
        <v>-3</v>
      </c>
      <c r="K49" s="224"/>
      <c r="M49" s="536"/>
      <c r="N49" s="536"/>
      <c r="O49" s="179" t="s">
        <v>797</v>
      </c>
      <c r="P49" s="179"/>
      <c r="Q49" s="537"/>
      <c r="R49" s="777">
        <v>535000</v>
      </c>
      <c r="S49" s="777">
        <v>504000</v>
      </c>
      <c r="V49"/>
      <c r="W49" s="412"/>
      <c r="X49" s="412"/>
      <c r="Y49" s="412"/>
      <c r="AP49" s="412"/>
      <c r="AQ49" s="412"/>
    </row>
    <row r="50" spans="1:43" x14ac:dyDescent="0.2">
      <c r="A50" s="548"/>
      <c r="B50" s="536"/>
      <c r="C50" s="536"/>
      <c r="D50" s="179" t="s">
        <v>801</v>
      </c>
      <c r="E50" s="179"/>
      <c r="F50" s="537"/>
      <c r="G50" s="558"/>
      <c r="H50" s="558"/>
      <c r="I50" s="1312">
        <v>0</v>
      </c>
      <c r="J50" s="1312">
        <v>0</v>
      </c>
      <c r="K50" s="224"/>
      <c r="M50" s="536"/>
      <c r="N50" s="536"/>
      <c r="O50" s="179" t="s">
        <v>801</v>
      </c>
      <c r="P50" s="179"/>
      <c r="Q50" s="537"/>
      <c r="R50" s="777" t="s">
        <v>1686</v>
      </c>
      <c r="S50" s="777" t="s">
        <v>1686</v>
      </c>
      <c r="V50"/>
      <c r="W50" s="412"/>
      <c r="X50" s="412"/>
      <c r="Y50" s="412"/>
      <c r="AP50" s="412"/>
      <c r="AQ50" s="412"/>
    </row>
    <row r="51" spans="1:43" x14ac:dyDescent="0.2">
      <c r="A51" s="548"/>
      <c r="B51" s="536"/>
      <c r="C51" s="536"/>
      <c r="D51" s="536"/>
      <c r="E51" s="562" t="s">
        <v>214</v>
      </c>
      <c r="F51" s="536"/>
      <c r="G51" s="558">
        <v>524162.0912656599</v>
      </c>
      <c r="H51" s="558">
        <v>510643.34432334267</v>
      </c>
      <c r="I51" s="1312">
        <v>-3</v>
      </c>
      <c r="J51" s="1312">
        <v>-3</v>
      </c>
      <c r="K51" s="224"/>
      <c r="M51" s="536"/>
      <c r="N51" s="536"/>
      <c r="O51" s="536"/>
      <c r="P51" s="562" t="s">
        <v>214</v>
      </c>
      <c r="Q51" s="536"/>
      <c r="R51" s="777">
        <v>524000</v>
      </c>
      <c r="S51" s="777">
        <v>511000</v>
      </c>
      <c r="V51"/>
      <c r="W51" s="412"/>
      <c r="X51" s="412"/>
      <c r="Y51" s="412"/>
      <c r="AP51" s="412"/>
      <c r="AQ51" s="412"/>
    </row>
    <row r="52" spans="1:43" x14ac:dyDescent="0.2">
      <c r="A52" s="548"/>
      <c r="B52" s="536"/>
      <c r="C52" s="536"/>
      <c r="D52" s="536"/>
      <c r="E52" s="562" t="s">
        <v>37</v>
      </c>
      <c r="F52" s="536"/>
      <c r="G52" s="558">
        <v>89059.205223995261</v>
      </c>
      <c r="H52" s="558">
        <v>1198922.2301042632</v>
      </c>
      <c r="I52" s="1312">
        <v>-2</v>
      </c>
      <c r="J52" s="1312">
        <v>-4</v>
      </c>
      <c r="K52" s="224"/>
      <c r="M52" s="536"/>
      <c r="N52" s="536"/>
      <c r="O52" s="536"/>
      <c r="P52" s="562" t="s">
        <v>37</v>
      </c>
      <c r="Q52" s="536"/>
      <c r="R52" s="777">
        <v>89100</v>
      </c>
      <c r="S52" s="777">
        <v>1200000</v>
      </c>
      <c r="V52"/>
      <c r="W52" s="412"/>
      <c r="X52" s="412"/>
      <c r="Y52" s="412"/>
      <c r="AP52" s="412"/>
      <c r="AQ52" s="412"/>
    </row>
    <row r="53" spans="1:43" x14ac:dyDescent="0.2">
      <c r="A53" s="548"/>
      <c r="B53" s="536"/>
      <c r="C53" s="179"/>
      <c r="D53" s="179"/>
      <c r="E53" s="734" t="s">
        <v>71</v>
      </c>
      <c r="F53" s="392"/>
      <c r="G53" s="560">
        <v>286186.18622956501</v>
      </c>
      <c r="H53" s="560">
        <v>337941.17712677934</v>
      </c>
      <c r="I53" s="1312">
        <v>-3</v>
      </c>
      <c r="J53" s="1312">
        <v>-3</v>
      </c>
      <c r="K53" s="224"/>
      <c r="M53" s="536"/>
      <c r="N53" s="179"/>
      <c r="O53" s="179"/>
      <c r="P53" s="550" t="s">
        <v>71</v>
      </c>
      <c r="Q53" s="392"/>
      <c r="R53" s="779">
        <v>286000</v>
      </c>
      <c r="S53" s="779">
        <v>338000</v>
      </c>
      <c r="W53" s="412"/>
      <c r="X53" s="412"/>
      <c r="Y53" s="412"/>
      <c r="AP53" s="412"/>
      <c r="AQ53" s="412"/>
    </row>
    <row r="54" spans="1:43" x14ac:dyDescent="0.2">
      <c r="A54" s="548"/>
      <c r="B54" s="536"/>
      <c r="C54" s="179"/>
      <c r="D54" s="179"/>
      <c r="E54" s="734" t="s">
        <v>827</v>
      </c>
      <c r="F54" s="392"/>
      <c r="G54" s="560">
        <v>17013.932732676825</v>
      </c>
      <c r="H54" s="560">
        <v>17128.298879999998</v>
      </c>
      <c r="I54" s="1312">
        <v>-2</v>
      </c>
      <c r="J54" s="1312">
        <v>-2</v>
      </c>
      <c r="K54" s="224"/>
      <c r="M54" s="536"/>
      <c r="N54" s="179"/>
      <c r="O54" s="179"/>
      <c r="P54" s="550" t="s">
        <v>827</v>
      </c>
      <c r="Q54" s="392"/>
      <c r="R54" s="779">
        <v>17000</v>
      </c>
      <c r="S54" s="779">
        <v>17100</v>
      </c>
      <c r="W54" s="412"/>
      <c r="X54" s="412"/>
      <c r="Y54" s="412"/>
      <c r="AP54" s="412"/>
      <c r="AQ54" s="412"/>
    </row>
    <row r="55" spans="1:43" x14ac:dyDescent="0.2">
      <c r="A55" s="548"/>
      <c r="B55" s="536"/>
      <c r="C55" s="536"/>
      <c r="D55" s="512" t="s">
        <v>842</v>
      </c>
      <c r="E55" s="562"/>
      <c r="F55" s="536"/>
      <c r="G55" s="558"/>
      <c r="H55" s="558"/>
      <c r="I55" s="1312"/>
      <c r="J55" s="1312"/>
      <c r="K55" s="224"/>
      <c r="M55" s="536"/>
      <c r="N55" s="536"/>
      <c r="O55" s="179" t="s">
        <v>842</v>
      </c>
      <c r="P55" s="562"/>
      <c r="Q55" s="536"/>
      <c r="R55" s="777"/>
      <c r="S55" s="777"/>
      <c r="V55"/>
      <c r="W55" s="412"/>
      <c r="X55" s="412"/>
      <c r="Y55" s="412"/>
      <c r="AP55" s="412"/>
      <c r="AQ55" s="412"/>
    </row>
    <row r="56" spans="1:43" x14ac:dyDescent="0.2">
      <c r="A56" s="548"/>
      <c r="B56" s="536"/>
      <c r="C56" s="536"/>
      <c r="D56" s="536"/>
      <c r="E56" s="562" t="s">
        <v>213</v>
      </c>
      <c r="F56" s="536"/>
      <c r="G56" s="558">
        <v>560202.29937735747</v>
      </c>
      <c r="H56" s="558">
        <v>608109.89436852338</v>
      </c>
      <c r="I56" s="1312">
        <v>-3</v>
      </c>
      <c r="J56" s="1312">
        <v>-3</v>
      </c>
      <c r="K56" s="224"/>
      <c r="M56" s="536"/>
      <c r="N56" s="536"/>
      <c r="O56" s="536"/>
      <c r="P56" s="562" t="s">
        <v>213</v>
      </c>
      <c r="Q56" s="536"/>
      <c r="R56" s="777">
        <v>560000</v>
      </c>
      <c r="S56" s="777">
        <v>608000</v>
      </c>
      <c r="U56"/>
      <c r="V56"/>
      <c r="W56" s="412"/>
      <c r="X56" s="412"/>
      <c r="Y56" s="412"/>
      <c r="AP56" s="412"/>
      <c r="AQ56" s="412"/>
    </row>
    <row r="57" spans="1:43" x14ac:dyDescent="0.2">
      <c r="A57" s="548"/>
      <c r="B57" s="536"/>
      <c r="C57" s="536"/>
      <c r="D57" s="536"/>
      <c r="E57" s="562" t="s">
        <v>212</v>
      </c>
      <c r="F57" s="536"/>
      <c r="G57" s="558">
        <v>14877.041433345628</v>
      </c>
      <c r="H57" s="558">
        <v>16149.301965742017</v>
      </c>
      <c r="I57" s="1312">
        <v>-2</v>
      </c>
      <c r="J57" s="1312">
        <v>-2</v>
      </c>
      <c r="K57" s="224"/>
      <c r="M57" s="536"/>
      <c r="N57" s="536"/>
      <c r="O57" s="536"/>
      <c r="P57" s="562" t="s">
        <v>212</v>
      </c>
      <c r="Q57" s="536"/>
      <c r="R57" s="777">
        <v>14900</v>
      </c>
      <c r="S57" s="777">
        <v>16100</v>
      </c>
      <c r="V57"/>
      <c r="W57" s="412"/>
      <c r="X57" s="412"/>
      <c r="Y57" s="412"/>
      <c r="AP57" s="412"/>
      <c r="AQ57" s="412"/>
    </row>
    <row r="58" spans="1:43" x14ac:dyDescent="0.2">
      <c r="A58" s="548"/>
      <c r="B58" s="536"/>
      <c r="C58" s="536"/>
      <c r="D58" s="536"/>
      <c r="E58" s="562" t="s">
        <v>316</v>
      </c>
      <c r="F58" s="536"/>
      <c r="G58" s="558">
        <v>96649.941697402654</v>
      </c>
      <c r="H58" s="558">
        <v>104915.28846214342</v>
      </c>
      <c r="I58" s="1312">
        <v>-2</v>
      </c>
      <c r="J58" s="1312">
        <v>-3</v>
      </c>
      <c r="K58" s="224"/>
      <c r="M58" s="536"/>
      <c r="N58" s="536"/>
      <c r="O58" s="536"/>
      <c r="P58" s="562" t="s">
        <v>316</v>
      </c>
      <c r="Q58" s="536"/>
      <c r="R58" s="777">
        <v>96600</v>
      </c>
      <c r="S58" s="777">
        <v>105000</v>
      </c>
      <c r="V58"/>
      <c r="W58" s="412"/>
      <c r="X58" s="412"/>
      <c r="Y58" s="412"/>
      <c r="AP58" s="412"/>
      <c r="AQ58" s="412"/>
    </row>
    <row r="59" spans="1:43" ht="12.75" customHeight="1" x14ac:dyDescent="0.2">
      <c r="A59" s="548"/>
      <c r="B59" s="536"/>
      <c r="C59" s="536"/>
      <c r="D59" s="536"/>
      <c r="E59" s="562" t="s">
        <v>378</v>
      </c>
      <c r="F59" s="536"/>
      <c r="G59" s="558">
        <v>47729.205888466466</v>
      </c>
      <c r="H59" s="558">
        <v>51810.930414581555</v>
      </c>
      <c r="I59" s="1312">
        <v>-2</v>
      </c>
      <c r="J59" s="1312">
        <v>-2</v>
      </c>
      <c r="K59" s="224"/>
      <c r="M59" s="536"/>
      <c r="N59" s="536"/>
      <c r="O59" s="536"/>
      <c r="P59" s="562" t="s">
        <v>378</v>
      </c>
      <c r="Q59" s="536"/>
      <c r="R59" s="777">
        <v>47700</v>
      </c>
      <c r="S59" s="777">
        <v>51800</v>
      </c>
      <c r="V59"/>
      <c r="W59" s="412"/>
      <c r="X59" s="412"/>
      <c r="Y59" s="412"/>
      <c r="AP59" s="412"/>
      <c r="AQ59" s="412"/>
    </row>
    <row r="60" spans="1:43" x14ac:dyDescent="0.2">
      <c r="A60" s="548"/>
      <c r="B60" s="536"/>
      <c r="C60" s="552" t="s">
        <v>80</v>
      </c>
      <c r="D60" s="552"/>
      <c r="E60" s="552"/>
      <c r="F60" s="563"/>
      <c r="G60" s="553">
        <v>451499.23418948852</v>
      </c>
      <c r="H60" s="553">
        <v>435007.8194521399</v>
      </c>
      <c r="I60" s="1312">
        <v>-3</v>
      </c>
      <c r="J60" s="1312">
        <v>-3</v>
      </c>
      <c r="K60" s="224"/>
      <c r="M60" s="536"/>
      <c r="N60" s="552" t="s">
        <v>80</v>
      </c>
      <c r="O60" s="552"/>
      <c r="P60" s="552"/>
      <c r="Q60" s="563"/>
      <c r="R60" s="776">
        <v>451000</v>
      </c>
      <c r="S60" s="776">
        <v>435000</v>
      </c>
      <c r="U60"/>
      <c r="W60" s="412"/>
      <c r="X60" s="412"/>
      <c r="Y60" s="412"/>
      <c r="AP60" s="412"/>
      <c r="AQ60" s="412"/>
    </row>
    <row r="61" spans="1:43" x14ac:dyDescent="0.2">
      <c r="A61" s="548"/>
      <c r="B61" s="536"/>
      <c r="C61" s="179"/>
      <c r="D61" s="179" t="s">
        <v>816</v>
      </c>
      <c r="E61" s="179"/>
      <c r="F61" s="537"/>
      <c r="G61" s="560"/>
      <c r="H61" s="560"/>
      <c r="I61" s="1312">
        <v>0</v>
      </c>
      <c r="J61" s="1312">
        <v>0</v>
      </c>
      <c r="K61" s="224"/>
      <c r="M61" s="536"/>
      <c r="N61" s="179"/>
      <c r="O61" s="179" t="s">
        <v>816</v>
      </c>
      <c r="P61" s="179"/>
      <c r="Q61" s="537"/>
      <c r="R61" s="779" t="s">
        <v>1686</v>
      </c>
      <c r="S61" s="779" t="s">
        <v>1686</v>
      </c>
      <c r="W61" s="412"/>
      <c r="X61" s="412"/>
      <c r="Y61" s="412"/>
      <c r="AP61" s="412"/>
      <c r="AQ61" s="412"/>
    </row>
    <row r="62" spans="1:43" x14ac:dyDescent="0.2">
      <c r="A62" s="548"/>
      <c r="B62" s="536"/>
      <c r="C62" s="179"/>
      <c r="D62" s="179"/>
      <c r="E62" s="734" t="s">
        <v>802</v>
      </c>
      <c r="F62" s="392"/>
      <c r="G62" s="560">
        <v>411380.49062961666</v>
      </c>
      <c r="H62" s="560">
        <v>394643.51949045953</v>
      </c>
      <c r="I62" s="1312">
        <v>-3</v>
      </c>
      <c r="J62" s="1312">
        <v>-3</v>
      </c>
      <c r="K62" s="224"/>
      <c r="M62" s="536"/>
      <c r="N62" s="179"/>
      <c r="O62" s="179"/>
      <c r="P62" s="550" t="s">
        <v>802</v>
      </c>
      <c r="Q62" s="392"/>
      <c r="R62" s="779">
        <v>411000</v>
      </c>
      <c r="S62" s="779">
        <v>395000</v>
      </c>
      <c r="W62" s="412"/>
      <c r="X62" s="412"/>
      <c r="Y62" s="412"/>
      <c r="AP62" s="412"/>
      <c r="AQ62" s="412"/>
    </row>
    <row r="63" spans="1:43" x14ac:dyDescent="0.2">
      <c r="A63" s="548"/>
      <c r="B63" s="536"/>
      <c r="C63" s="536"/>
      <c r="D63" s="179" t="s">
        <v>1082</v>
      </c>
      <c r="E63" s="179"/>
      <c r="F63" s="537"/>
      <c r="G63" s="255">
        <v>40118.743559871873</v>
      </c>
      <c r="H63" s="255">
        <v>40364.299961680372</v>
      </c>
      <c r="I63" s="1312">
        <v>-2</v>
      </c>
      <c r="J63" s="1312">
        <v>-2</v>
      </c>
      <c r="K63" s="224"/>
      <c r="M63" s="536"/>
      <c r="N63" s="536"/>
      <c r="O63" s="179" t="s">
        <v>1082</v>
      </c>
      <c r="P63" s="179"/>
      <c r="Q63" s="537"/>
      <c r="R63" s="587">
        <v>40100</v>
      </c>
      <c r="S63" s="587">
        <v>40400</v>
      </c>
      <c r="W63" s="412"/>
      <c r="X63" s="412"/>
      <c r="Y63" s="412"/>
      <c r="AP63" s="412"/>
      <c r="AQ63" s="412"/>
    </row>
    <row r="64" spans="1:43" x14ac:dyDescent="0.2">
      <c r="A64" s="548"/>
      <c r="B64" s="536"/>
      <c r="C64" s="552" t="s">
        <v>833</v>
      </c>
      <c r="D64" s="552"/>
      <c r="E64" s="552"/>
      <c r="F64" s="563"/>
      <c r="G64" s="553">
        <v>592617.11735346261</v>
      </c>
      <c r="H64" s="553">
        <v>731758.25221599825</v>
      </c>
      <c r="I64" s="1312">
        <v>-3</v>
      </c>
      <c r="J64" s="1312">
        <v>-3</v>
      </c>
      <c r="K64" s="224"/>
      <c r="M64" s="536"/>
      <c r="N64" s="552" t="s">
        <v>833</v>
      </c>
      <c r="O64" s="552"/>
      <c r="P64" s="552"/>
      <c r="Q64" s="563"/>
      <c r="R64" s="776">
        <v>593000</v>
      </c>
      <c r="S64" s="776">
        <v>732000</v>
      </c>
      <c r="W64" s="412"/>
      <c r="X64" s="412"/>
      <c r="Y64" s="412"/>
      <c r="AP64" s="412"/>
      <c r="AQ64" s="412"/>
    </row>
    <row r="65" spans="1:43" x14ac:dyDescent="0.2">
      <c r="A65" s="548"/>
      <c r="B65" s="536"/>
      <c r="C65" s="179"/>
      <c r="D65" s="557" t="s">
        <v>1139</v>
      </c>
      <c r="E65" s="179"/>
      <c r="F65" s="536"/>
      <c r="G65" s="558">
        <v>541770.95647584868</v>
      </c>
      <c r="H65" s="558">
        <v>675579.35552460991</v>
      </c>
      <c r="I65" s="1312">
        <v>-3</v>
      </c>
      <c r="J65" s="1312">
        <v>-3</v>
      </c>
      <c r="K65" s="224"/>
      <c r="M65" s="536"/>
      <c r="N65" s="179"/>
      <c r="O65" s="179" t="s">
        <v>1139</v>
      </c>
      <c r="P65" s="179"/>
      <c r="Q65" s="537"/>
      <c r="R65" s="587">
        <v>542000</v>
      </c>
      <c r="S65" s="587">
        <v>676000</v>
      </c>
      <c r="W65" s="412"/>
      <c r="X65" s="412"/>
      <c r="Y65" s="412"/>
      <c r="AP65" s="412"/>
      <c r="AQ65" s="412"/>
    </row>
    <row r="66" spans="1:43" x14ac:dyDescent="0.2">
      <c r="A66" s="548"/>
      <c r="B66" s="536"/>
      <c r="C66" s="536"/>
      <c r="D66" s="179" t="s">
        <v>1084</v>
      </c>
      <c r="E66" s="179"/>
      <c r="F66" s="537"/>
      <c r="G66" s="255">
        <v>50846.160877613882</v>
      </c>
      <c r="H66" s="255">
        <v>56178.896691388327</v>
      </c>
      <c r="I66" s="1312">
        <v>-2</v>
      </c>
      <c r="J66" s="1312">
        <v>-2</v>
      </c>
      <c r="K66" s="224"/>
      <c r="M66" s="536"/>
      <c r="N66" s="536"/>
      <c r="O66" s="179" t="s">
        <v>1084</v>
      </c>
      <c r="P66" s="179"/>
      <c r="Q66" s="537"/>
      <c r="R66" s="587">
        <v>50800</v>
      </c>
      <c r="S66" s="587">
        <v>56200</v>
      </c>
      <c r="W66" s="412"/>
      <c r="X66" s="412"/>
      <c r="Y66" s="412"/>
      <c r="AP66" s="412"/>
      <c r="AQ66" s="412"/>
    </row>
    <row r="67" spans="1:43" x14ac:dyDescent="0.2">
      <c r="A67" s="548"/>
      <c r="B67" s="536"/>
      <c r="C67" s="552" t="s">
        <v>815</v>
      </c>
      <c r="D67" s="552"/>
      <c r="E67" s="552"/>
      <c r="F67" s="552"/>
      <c r="G67" s="553">
        <v>3214704.3894087286</v>
      </c>
      <c r="H67" s="553">
        <v>4516016.5217166375</v>
      </c>
      <c r="I67" s="1312">
        <v>-4</v>
      </c>
      <c r="J67" s="1312">
        <v>-4</v>
      </c>
      <c r="K67" s="224"/>
      <c r="M67" s="536"/>
      <c r="N67" s="552" t="s">
        <v>815</v>
      </c>
      <c r="O67" s="552"/>
      <c r="P67" s="552"/>
      <c r="Q67" s="552"/>
      <c r="R67" s="776">
        <v>3210000</v>
      </c>
      <c r="S67" s="776">
        <v>4520000</v>
      </c>
      <c r="W67" s="412"/>
      <c r="X67" s="412"/>
      <c r="Y67" s="412"/>
      <c r="AP67" s="412"/>
      <c r="AQ67" s="412"/>
    </row>
    <row r="68" spans="1:43" x14ac:dyDescent="0.2">
      <c r="A68" s="555"/>
      <c r="B68" s="762" t="s">
        <v>836</v>
      </c>
      <c r="C68" s="763"/>
      <c r="D68" s="763"/>
      <c r="E68" s="763"/>
      <c r="F68" s="763"/>
      <c r="G68" s="781"/>
      <c r="H68" s="781"/>
      <c r="I68" s="1312">
        <v>0</v>
      </c>
      <c r="J68" s="1312">
        <v>0</v>
      </c>
      <c r="K68" s="480"/>
      <c r="M68" s="762" t="s">
        <v>836</v>
      </c>
      <c r="N68" s="763"/>
      <c r="O68" s="763"/>
      <c r="P68" s="763"/>
      <c r="Q68" s="763"/>
      <c r="R68" s="764"/>
      <c r="S68" s="764"/>
      <c r="W68" s="412"/>
      <c r="X68" s="412"/>
      <c r="Y68" s="412"/>
      <c r="AP68" s="412"/>
      <c r="AQ68" s="412"/>
    </row>
    <row r="69" spans="1:43" x14ac:dyDescent="0.2">
      <c r="A69" s="548"/>
      <c r="B69" s="536"/>
      <c r="C69" s="392"/>
      <c r="D69" s="309" t="s">
        <v>1137</v>
      </c>
      <c r="E69" s="392"/>
      <c r="F69" s="392"/>
      <c r="G69" s="255">
        <v>214235.46650713612</v>
      </c>
      <c r="H69" s="255">
        <v>212784.80998784158</v>
      </c>
      <c r="I69" s="1312">
        <v>-3</v>
      </c>
      <c r="J69" s="1312">
        <v>-3</v>
      </c>
      <c r="K69" s="480"/>
      <c r="M69" s="536"/>
      <c r="N69" s="392"/>
      <c r="O69" s="309" t="s">
        <v>1137</v>
      </c>
      <c r="P69" s="392"/>
      <c r="Q69" s="392"/>
      <c r="R69" s="587">
        <v>214000</v>
      </c>
      <c r="S69" s="587">
        <v>213000</v>
      </c>
      <c r="W69" s="412"/>
      <c r="X69" s="412"/>
      <c r="Y69" s="412"/>
      <c r="AP69" s="412"/>
      <c r="AQ69" s="412"/>
    </row>
    <row r="70" spans="1:43" x14ac:dyDescent="0.2">
      <c r="A70" s="548"/>
      <c r="B70" s="536"/>
      <c r="C70" s="392"/>
      <c r="D70" s="309" t="s">
        <v>19</v>
      </c>
      <c r="E70" s="392"/>
      <c r="F70" s="392"/>
      <c r="G70" s="255">
        <v>3693.0787502028761</v>
      </c>
      <c r="H70" s="255">
        <v>3931.9916906143217</v>
      </c>
      <c r="I70" s="1312">
        <v>-1</v>
      </c>
      <c r="J70" s="1312">
        <v>-1</v>
      </c>
      <c r="K70" s="480"/>
      <c r="M70" s="536"/>
      <c r="N70" s="392"/>
      <c r="O70" s="309" t="s">
        <v>19</v>
      </c>
      <c r="P70" s="392"/>
      <c r="Q70" s="392"/>
      <c r="R70" s="587">
        <v>3690</v>
      </c>
      <c r="S70" s="587">
        <v>3930</v>
      </c>
      <c r="W70" s="412"/>
      <c r="X70" s="412"/>
      <c r="Y70" s="412"/>
      <c r="AP70" s="412"/>
      <c r="AQ70" s="412"/>
    </row>
    <row r="71" spans="1:43" x14ac:dyDescent="0.2">
      <c r="A71" s="548"/>
      <c r="B71" s="536"/>
      <c r="C71" s="552" t="s">
        <v>815</v>
      </c>
      <c r="D71" s="552"/>
      <c r="E71" s="552"/>
      <c r="F71" s="552"/>
      <c r="G71" s="553">
        <v>217928.54525733899</v>
      </c>
      <c r="H71" s="553">
        <v>216716.8016784559</v>
      </c>
      <c r="I71" s="1312">
        <v>-3</v>
      </c>
      <c r="J71" s="1312">
        <v>-3</v>
      </c>
      <c r="K71" s="224"/>
      <c r="M71" s="536"/>
      <c r="N71" s="552" t="s">
        <v>815</v>
      </c>
      <c r="O71" s="552"/>
      <c r="P71" s="552"/>
      <c r="Q71" s="552"/>
      <c r="R71" s="776">
        <v>218000</v>
      </c>
      <c r="S71" s="776">
        <v>217000</v>
      </c>
      <c r="W71" s="412"/>
      <c r="X71" s="412"/>
      <c r="Y71" s="412"/>
      <c r="AP71" s="412"/>
      <c r="AQ71" s="412"/>
    </row>
    <row r="72" spans="1:43" x14ac:dyDescent="0.2">
      <c r="A72" s="548"/>
      <c r="B72" s="701" t="s">
        <v>888</v>
      </c>
      <c r="C72" s="702"/>
      <c r="D72" s="702"/>
      <c r="E72" s="702"/>
      <c r="F72" s="702"/>
      <c r="G72" s="782"/>
      <c r="H72" s="782"/>
      <c r="I72" s="1312"/>
      <c r="J72" s="1312"/>
      <c r="K72" s="480"/>
      <c r="M72" s="701" t="s">
        <v>888</v>
      </c>
      <c r="N72" s="702"/>
      <c r="O72" s="702"/>
      <c r="P72" s="702"/>
      <c r="Q72" s="702"/>
      <c r="R72" s="703"/>
      <c r="S72" s="703"/>
      <c r="W72" s="412"/>
      <c r="X72" s="412"/>
      <c r="Y72" s="412"/>
      <c r="AP72" s="412"/>
      <c r="AQ72" s="412"/>
    </row>
    <row r="73" spans="1:43" x14ac:dyDescent="0.2">
      <c r="A73" s="548"/>
      <c r="B73" s="536"/>
      <c r="C73" s="309" t="s">
        <v>859</v>
      </c>
      <c r="E73" s="392"/>
      <c r="F73" s="392"/>
      <c r="G73" s="255">
        <v>52395.657299999999</v>
      </c>
      <c r="H73" s="255">
        <v>56590.1578128275</v>
      </c>
      <c r="I73" s="1312">
        <v>-2</v>
      </c>
      <c r="J73" s="1312">
        <v>-2</v>
      </c>
      <c r="K73" s="480"/>
      <c r="M73" s="536"/>
      <c r="N73" s="309" t="s">
        <v>859</v>
      </c>
      <c r="P73" s="392"/>
      <c r="Q73" s="392"/>
      <c r="R73" s="587">
        <v>52400</v>
      </c>
      <c r="S73" s="587">
        <v>56600</v>
      </c>
      <c r="W73" s="412"/>
      <c r="X73" s="412"/>
      <c r="Y73" s="412"/>
      <c r="AP73" s="412"/>
      <c r="AQ73" s="412"/>
    </row>
    <row r="74" spans="1:43" x14ac:dyDescent="0.2">
      <c r="A74" s="548"/>
      <c r="B74" s="536"/>
      <c r="C74" s="309" t="s">
        <v>858</v>
      </c>
      <c r="E74" s="392"/>
      <c r="F74" s="392"/>
      <c r="G74" s="255">
        <v>84659.819800961515</v>
      </c>
      <c r="H74" s="255">
        <v>94432.705838738912</v>
      </c>
      <c r="I74" s="1312">
        <v>-2</v>
      </c>
      <c r="J74" s="1312">
        <v>-2</v>
      </c>
      <c r="K74" s="480"/>
      <c r="M74" s="536"/>
      <c r="N74" s="309" t="s">
        <v>858</v>
      </c>
      <c r="P74" s="392"/>
      <c r="Q74" s="392"/>
      <c r="R74" s="587">
        <v>84700</v>
      </c>
      <c r="S74" s="587">
        <v>94400</v>
      </c>
      <c r="W74" s="412"/>
      <c r="X74" s="412"/>
      <c r="Y74" s="412"/>
      <c r="AP74" s="412"/>
      <c r="AQ74" s="412"/>
    </row>
    <row r="75" spans="1:43" x14ac:dyDescent="0.2">
      <c r="A75" s="548"/>
      <c r="B75" s="536"/>
      <c r="C75" s="309" t="s">
        <v>1083</v>
      </c>
      <c r="E75" s="392"/>
      <c r="F75" s="392"/>
      <c r="G75" s="255">
        <v>7451.6379772401069</v>
      </c>
      <c r="H75" s="255">
        <v>6488.2056724530139</v>
      </c>
      <c r="I75" s="1312">
        <v>-1</v>
      </c>
      <c r="J75" s="1312">
        <v>-1</v>
      </c>
      <c r="K75" s="480"/>
      <c r="M75" s="536"/>
      <c r="N75" s="309" t="s">
        <v>1083</v>
      </c>
      <c r="P75" s="392"/>
      <c r="Q75" s="392"/>
      <c r="R75" s="587">
        <v>7450</v>
      </c>
      <c r="S75" s="587">
        <v>6490</v>
      </c>
      <c r="W75" s="412"/>
      <c r="X75" s="412"/>
      <c r="Y75" s="412"/>
      <c r="AP75" s="412"/>
      <c r="AQ75" s="412"/>
    </row>
    <row r="76" spans="1:43" x14ac:dyDescent="0.2">
      <c r="A76" s="548"/>
      <c r="B76" s="536"/>
      <c r="C76" s="552" t="s">
        <v>815</v>
      </c>
      <c r="D76" s="552"/>
      <c r="E76" s="552"/>
      <c r="F76" s="552"/>
      <c r="G76" s="553">
        <v>144507.11507820163</v>
      </c>
      <c r="H76" s="553">
        <v>157511.06932401942</v>
      </c>
      <c r="I76" s="1312">
        <v>-3</v>
      </c>
      <c r="J76" s="1312">
        <v>-3</v>
      </c>
      <c r="K76" s="480"/>
      <c r="M76" s="536"/>
      <c r="N76" s="309" t="s">
        <v>815</v>
      </c>
      <c r="P76" s="392"/>
      <c r="Q76" s="392"/>
      <c r="R76" s="271">
        <v>145000</v>
      </c>
      <c r="S76" s="271">
        <v>158000</v>
      </c>
      <c r="W76" s="412"/>
      <c r="X76" s="412"/>
      <c r="Y76" s="412"/>
      <c r="AP76" s="412"/>
      <c r="AQ76" s="412"/>
    </row>
    <row r="77" spans="1:43" x14ac:dyDescent="0.2">
      <c r="A77" s="548"/>
      <c r="B77" s="765" t="s">
        <v>1263</v>
      </c>
      <c r="C77" s="766"/>
      <c r="D77" s="766"/>
      <c r="E77" s="766"/>
      <c r="F77" s="766"/>
      <c r="G77" s="783"/>
      <c r="H77" s="783"/>
      <c r="I77" s="1312"/>
      <c r="J77" s="1312"/>
      <c r="K77" s="480"/>
      <c r="M77" s="765" t="s">
        <v>1263</v>
      </c>
      <c r="N77" s="766"/>
      <c r="O77" s="766"/>
      <c r="P77" s="766"/>
      <c r="Q77" s="766"/>
      <c r="R77" s="767"/>
      <c r="S77" s="767"/>
      <c r="W77" s="412"/>
      <c r="X77" s="412"/>
      <c r="Y77" s="412"/>
      <c r="AP77" s="412"/>
      <c r="AQ77" s="412"/>
    </row>
    <row r="78" spans="1:43" x14ac:dyDescent="0.2">
      <c r="A78" s="548"/>
      <c r="B78" s="536"/>
      <c r="C78" s="309" t="s">
        <v>1264</v>
      </c>
      <c r="E78" s="392"/>
      <c r="F78" s="392"/>
      <c r="G78" s="255">
        <v>122780.83821320487</v>
      </c>
      <c r="H78" s="255">
        <v>53277.493728684618</v>
      </c>
      <c r="I78" s="1312">
        <v>-3</v>
      </c>
      <c r="J78" s="1312">
        <v>-2</v>
      </c>
      <c r="K78" s="480"/>
      <c r="M78" s="536"/>
      <c r="N78" s="309" t="s">
        <v>1264</v>
      </c>
      <c r="P78" s="392"/>
      <c r="Q78" s="392"/>
      <c r="R78" s="587">
        <v>123000</v>
      </c>
      <c r="S78" s="587">
        <v>53300</v>
      </c>
      <c r="W78" s="412"/>
      <c r="X78" s="412"/>
      <c r="Y78" s="412"/>
      <c r="AP78" s="412"/>
      <c r="AQ78" s="412"/>
    </row>
    <row r="79" spans="1:43" x14ac:dyDescent="0.2">
      <c r="A79" s="548"/>
      <c r="B79" s="536"/>
      <c r="C79" s="552" t="s">
        <v>815</v>
      </c>
      <c r="D79" s="552"/>
      <c r="E79" s="552"/>
      <c r="F79" s="552"/>
      <c r="G79" s="553">
        <v>122780.83821320487</v>
      </c>
      <c r="H79" s="553">
        <v>53277.493728684618</v>
      </c>
      <c r="I79" s="1312">
        <v>-3</v>
      </c>
      <c r="J79" s="1312">
        <v>-2</v>
      </c>
      <c r="K79" s="480"/>
      <c r="M79" s="536"/>
      <c r="N79" s="309" t="s">
        <v>815</v>
      </c>
      <c r="P79" s="392"/>
      <c r="Q79" s="392"/>
      <c r="R79" s="587">
        <v>123000</v>
      </c>
      <c r="S79" s="587">
        <v>53300</v>
      </c>
      <c r="W79" s="412"/>
      <c r="X79" s="412"/>
      <c r="Y79" s="412"/>
      <c r="AP79" s="412"/>
      <c r="AQ79" s="412"/>
    </row>
    <row r="80" spans="1:43" ht="12.75" thickBot="1" x14ac:dyDescent="0.25">
      <c r="A80" s="548"/>
      <c r="B80" s="735" t="s">
        <v>1142</v>
      </c>
      <c r="C80" s="736"/>
      <c r="D80" s="736"/>
      <c r="E80" s="736"/>
      <c r="F80" s="736"/>
      <c r="G80" s="784">
        <v>22372022.439044189</v>
      </c>
      <c r="H80" s="784">
        <v>24477733.119451731</v>
      </c>
      <c r="I80" s="1312">
        <v>-5</v>
      </c>
      <c r="J80" s="1312">
        <v>-5</v>
      </c>
      <c r="K80" s="1324">
        <v>2.1057106804075429</v>
      </c>
      <c r="L80" s="1198">
        <v>9.4122499927972808E-2</v>
      </c>
      <c r="M80" s="735" t="s">
        <v>1142</v>
      </c>
      <c r="N80" s="736"/>
      <c r="O80" s="736"/>
      <c r="P80" s="736"/>
      <c r="Q80" s="736"/>
      <c r="R80" s="737">
        <v>22400000</v>
      </c>
      <c r="S80" s="737">
        <v>24500000</v>
      </c>
      <c r="T80" s="700"/>
      <c r="W80" s="412"/>
      <c r="X80" s="412"/>
      <c r="Y80" s="412"/>
      <c r="AP80" s="412"/>
      <c r="AQ80" s="412"/>
    </row>
    <row r="81" spans="1:232" s="478" customFormat="1" ht="12" customHeight="1" x14ac:dyDescent="0.2">
      <c r="A81" s="392"/>
      <c r="B81" s="309"/>
      <c r="C81" s="392"/>
      <c r="D81" s="564"/>
      <c r="E81" s="392"/>
      <c r="F81" s="392"/>
      <c r="G81" s="392"/>
      <c r="H81" s="270"/>
      <c r="I81" s="1314"/>
      <c r="J81" s="1315"/>
      <c r="K81" s="224"/>
      <c r="N81" s="301"/>
      <c r="O81" s="301"/>
      <c r="P81" s="224"/>
      <c r="Q81" s="224"/>
      <c r="R81" s="565"/>
      <c r="S81" s="566"/>
    </row>
    <row r="82" spans="1:232" s="478" customFormat="1" ht="12" customHeight="1" x14ac:dyDescent="0.2">
      <c r="A82" s="392"/>
      <c r="B82" s="309"/>
      <c r="C82" s="392"/>
      <c r="D82" s="564"/>
      <c r="E82" s="392"/>
      <c r="F82" s="392"/>
      <c r="G82" s="392"/>
      <c r="H82" s="270"/>
      <c r="I82" s="1314"/>
      <c r="J82" s="1315"/>
      <c r="K82" s="224"/>
      <c r="R82" s="480"/>
    </row>
    <row r="83" spans="1:232" s="726" customFormat="1" x14ac:dyDescent="0.2">
      <c r="A83" s="720" t="s">
        <v>825</v>
      </c>
      <c r="B83" s="721"/>
      <c r="C83" s="721"/>
      <c r="D83" s="721"/>
      <c r="E83" s="721"/>
      <c r="F83" s="722"/>
      <c r="G83" s="721"/>
      <c r="H83" s="721"/>
      <c r="I83" s="1316"/>
      <c r="J83" s="1316"/>
      <c r="K83" s="723"/>
      <c r="L83" s="723"/>
      <c r="M83" s="723"/>
      <c r="N83" s="723"/>
      <c r="O83" s="723"/>
      <c r="P83" s="723"/>
      <c r="Q83" s="723"/>
      <c r="R83" s="723"/>
      <c r="S83" s="723"/>
      <c r="T83" s="723"/>
      <c r="U83" s="723"/>
      <c r="V83" s="720"/>
      <c r="W83" s="721"/>
      <c r="X83" s="721"/>
      <c r="Y83" s="721"/>
      <c r="Z83" s="721"/>
      <c r="AA83" s="722"/>
      <c r="AB83" s="721"/>
      <c r="AC83" s="721"/>
      <c r="AD83" s="723"/>
      <c r="AE83" s="723"/>
      <c r="AF83" s="723"/>
      <c r="AG83" s="723"/>
      <c r="AH83" s="723"/>
      <c r="AI83" s="723"/>
      <c r="AJ83" s="723"/>
      <c r="AK83" s="723"/>
      <c r="AL83" s="723"/>
      <c r="AM83" s="723"/>
      <c r="AN83" s="723"/>
      <c r="AO83" s="723"/>
      <c r="AP83" s="723"/>
      <c r="AQ83" s="720"/>
      <c r="AR83" s="720"/>
      <c r="AS83" s="721"/>
      <c r="AT83" s="721"/>
      <c r="AU83" s="724"/>
      <c r="AV83" s="724"/>
      <c r="AW83" s="725"/>
      <c r="AX83" s="721"/>
      <c r="AY83" s="721"/>
      <c r="AZ83" s="723"/>
      <c r="BA83" s="723"/>
      <c r="BB83" s="723"/>
      <c r="BC83" s="720"/>
      <c r="BD83" s="720"/>
      <c r="BE83" s="721"/>
      <c r="BF83" s="721"/>
      <c r="BG83" s="724"/>
      <c r="BH83" s="724"/>
      <c r="BI83" s="725"/>
      <c r="BJ83" s="721"/>
      <c r="BK83" s="721"/>
      <c r="BL83" s="721"/>
      <c r="BM83" s="721"/>
      <c r="BN83" s="721"/>
      <c r="BO83" s="721"/>
      <c r="BP83" s="721"/>
      <c r="BQ83" s="721"/>
      <c r="BR83" s="721"/>
      <c r="BS83" s="721"/>
      <c r="BT83" s="721"/>
      <c r="BU83" s="723"/>
      <c r="BV83" s="723"/>
      <c r="BW83" s="723"/>
      <c r="BX83" s="723"/>
      <c r="BY83" s="723"/>
      <c r="BZ83" s="723"/>
      <c r="CA83" s="723"/>
      <c r="CB83" s="723"/>
      <c r="CC83" s="723"/>
      <c r="CD83" s="723"/>
      <c r="CE83" s="723"/>
      <c r="CF83" s="723"/>
      <c r="CG83" s="723"/>
      <c r="CH83" s="723"/>
      <c r="CI83" s="720"/>
      <c r="CJ83" s="721"/>
      <c r="CK83" s="721"/>
      <c r="CL83" s="721"/>
      <c r="CM83" s="721"/>
      <c r="CN83" s="722"/>
      <c r="CO83" s="721"/>
      <c r="CP83" s="721"/>
      <c r="CQ83" s="723"/>
      <c r="CR83" s="723"/>
      <c r="CS83" s="723"/>
      <c r="CT83" s="723"/>
      <c r="CU83" s="723"/>
      <c r="CV83" s="723"/>
      <c r="CW83" s="723"/>
      <c r="CX83" s="723"/>
      <c r="CY83" s="723"/>
      <c r="CZ83" s="723"/>
      <c r="DA83" s="723"/>
      <c r="DB83" s="723"/>
      <c r="DC83" s="723"/>
      <c r="DD83" s="723"/>
      <c r="DE83" s="720"/>
      <c r="DF83" s="721"/>
      <c r="DG83" s="721"/>
      <c r="DH83" s="721"/>
      <c r="DI83" s="721"/>
      <c r="DJ83" s="722"/>
      <c r="DK83" s="721"/>
      <c r="DL83" s="721"/>
      <c r="DM83" s="723"/>
      <c r="DN83" s="723"/>
      <c r="DO83" s="723"/>
      <c r="DP83" s="723"/>
      <c r="DQ83" s="723"/>
      <c r="DR83" s="723"/>
      <c r="DS83" s="723"/>
      <c r="DT83" s="723"/>
      <c r="DU83" s="723"/>
      <c r="DV83" s="723"/>
      <c r="DW83" s="723"/>
      <c r="DX83" s="723"/>
      <c r="DY83" s="723"/>
      <c r="DZ83" s="723"/>
      <c r="EA83" s="720"/>
      <c r="EB83" s="721"/>
      <c r="EC83" s="721"/>
      <c r="ED83" s="721"/>
      <c r="EE83" s="721"/>
      <c r="EF83" s="722"/>
      <c r="EG83" s="721"/>
      <c r="EH83" s="721"/>
      <c r="EI83" s="723"/>
      <c r="EJ83" s="723"/>
      <c r="EK83" s="723"/>
      <c r="EL83" s="723"/>
      <c r="EM83" s="723"/>
      <c r="EN83" s="723"/>
      <c r="EO83" s="723"/>
      <c r="EP83" s="723"/>
      <c r="EQ83" s="723"/>
      <c r="ER83" s="723"/>
      <c r="ES83" s="723"/>
      <c r="ET83" s="723"/>
      <c r="EU83" s="723"/>
      <c r="EV83" s="723"/>
      <c r="EW83" s="720"/>
      <c r="EX83" s="721"/>
      <c r="EY83" s="721"/>
      <c r="EZ83" s="721"/>
      <c r="FA83" s="721"/>
      <c r="FB83" s="722"/>
      <c r="FC83" s="721"/>
      <c r="FD83" s="721"/>
      <c r="FE83" s="723"/>
      <c r="FF83" s="723"/>
      <c r="FG83" s="723"/>
      <c r="FH83" s="723"/>
      <c r="FI83" s="723"/>
      <c r="FJ83" s="723"/>
      <c r="FK83" s="723"/>
      <c r="FL83" s="723"/>
      <c r="FM83" s="723"/>
      <c r="FN83" s="723"/>
      <c r="FO83" s="723"/>
      <c r="FP83" s="723"/>
      <c r="FQ83" s="723"/>
      <c r="FR83" s="723"/>
      <c r="FS83" s="720"/>
      <c r="FT83" s="721"/>
      <c r="FU83" s="721"/>
      <c r="FV83" s="721"/>
      <c r="FW83" s="721"/>
      <c r="FX83" s="722"/>
      <c r="FY83" s="721"/>
      <c r="FZ83" s="721"/>
      <c r="GA83" s="723"/>
      <c r="GB83" s="723"/>
      <c r="GC83" s="723"/>
      <c r="GD83" s="723"/>
      <c r="GE83" s="723"/>
      <c r="GF83" s="723"/>
      <c r="GG83" s="723"/>
      <c r="GH83" s="723"/>
      <c r="GI83" s="723"/>
      <c r="GJ83" s="723"/>
      <c r="GK83" s="723"/>
      <c r="GL83" s="723"/>
      <c r="GM83" s="723"/>
      <c r="GN83" s="723"/>
      <c r="GO83" s="720"/>
      <c r="GP83" s="721"/>
      <c r="GQ83" s="721"/>
      <c r="GR83" s="721"/>
      <c r="GS83" s="721"/>
      <c r="GT83" s="722"/>
      <c r="GU83" s="721"/>
      <c r="GV83" s="721"/>
      <c r="GW83" s="723"/>
      <c r="GX83" s="723"/>
      <c r="GY83" s="723"/>
      <c r="GZ83" s="723"/>
      <c r="HA83" s="723"/>
      <c r="HB83" s="723"/>
      <c r="HC83" s="723"/>
      <c r="HD83" s="723"/>
      <c r="HE83" s="723"/>
      <c r="HF83" s="723"/>
      <c r="HG83" s="723"/>
      <c r="HH83" s="723"/>
      <c r="HI83" s="723"/>
      <c r="HJ83" s="723"/>
      <c r="HK83" s="720"/>
      <c r="HL83" s="721"/>
      <c r="HM83" s="721"/>
      <c r="HN83" s="721"/>
      <c r="HO83" s="721"/>
      <c r="HP83" s="722"/>
      <c r="HQ83" s="721"/>
      <c r="HR83" s="721"/>
      <c r="HS83" s="723"/>
      <c r="HT83" s="723"/>
      <c r="HU83" s="723"/>
      <c r="HV83" s="723"/>
      <c r="HW83" s="723"/>
      <c r="HX83" s="723"/>
    </row>
    <row r="84" spans="1:232" x14ac:dyDescent="0.2">
      <c r="G84" s="412"/>
      <c r="I84" s="1312"/>
      <c r="J84" s="1312"/>
      <c r="W84" s="412"/>
      <c r="X84" s="412"/>
      <c r="Y84" s="412"/>
      <c r="AP84" s="412"/>
      <c r="AQ84" s="412"/>
    </row>
    <row r="85" spans="1:232" x14ac:dyDescent="0.2">
      <c r="A85" s="290" t="s">
        <v>826</v>
      </c>
      <c r="B85" s="174"/>
      <c r="C85" s="400"/>
      <c r="D85" s="400"/>
      <c r="E85" s="75"/>
      <c r="F85" s="75"/>
      <c r="G85" s="412"/>
      <c r="I85" s="1312"/>
      <c r="J85" s="1312"/>
      <c r="N85" s="290" t="s">
        <v>826</v>
      </c>
      <c r="O85" s="174"/>
      <c r="W85" s="412"/>
      <c r="X85" s="412"/>
      <c r="Y85" s="412"/>
      <c r="AP85" s="412"/>
      <c r="AQ85" s="412"/>
    </row>
    <row r="86" spans="1:232" ht="12.75" thickBot="1" x14ac:dyDescent="0.25">
      <c r="A86" s="163"/>
      <c r="G86" s="412"/>
      <c r="I86" s="1312"/>
      <c r="J86" s="1313"/>
      <c r="W86" s="412"/>
      <c r="X86" s="412"/>
      <c r="Y86" s="412"/>
      <c r="AP86" s="412"/>
      <c r="AQ86" s="412"/>
    </row>
    <row r="87" spans="1:232" ht="14.25" customHeight="1" thickTop="1" x14ac:dyDescent="0.25">
      <c r="F87" s="426"/>
      <c r="G87" s="2531" t="s">
        <v>81</v>
      </c>
      <c r="H87" s="2531"/>
      <c r="I87" s="1312"/>
      <c r="J87" s="1313"/>
      <c r="N87" s="163"/>
      <c r="P87" s="144"/>
      <c r="Q87" s="144"/>
      <c r="R87" s="2531" t="s">
        <v>81</v>
      </c>
      <c r="S87" s="2531"/>
      <c r="W87" s="412"/>
      <c r="X87" s="412"/>
      <c r="Y87" s="412"/>
      <c r="AP87" s="412"/>
      <c r="AQ87" s="412"/>
    </row>
    <row r="88" spans="1:232" x14ac:dyDescent="0.2">
      <c r="F88" s="427"/>
      <c r="G88" s="483">
        <v>2003</v>
      </c>
      <c r="H88" s="483">
        <v>2008</v>
      </c>
      <c r="I88" s="1312"/>
      <c r="J88" s="1313"/>
      <c r="P88" s="165"/>
      <c r="Q88" s="165"/>
      <c r="R88" s="397">
        <v>2003</v>
      </c>
      <c r="S88" s="397">
        <v>2008</v>
      </c>
      <c r="W88" s="412"/>
      <c r="X88" s="412"/>
      <c r="Y88" s="412"/>
      <c r="AP88" s="412"/>
      <c r="AQ88" s="412"/>
    </row>
    <row r="89" spans="1:232" x14ac:dyDescent="0.2">
      <c r="F89" s="484" t="s">
        <v>837</v>
      </c>
      <c r="G89" s="1075">
        <v>3076682.7195889056</v>
      </c>
      <c r="H89" s="1075">
        <v>3115451.630561586</v>
      </c>
      <c r="I89" s="1312">
        <v>-4</v>
      </c>
      <c r="J89" s="1312">
        <v>-4</v>
      </c>
      <c r="P89" s="486" t="s">
        <v>837</v>
      </c>
      <c r="Q89" s="488"/>
      <c r="R89" s="485">
        <v>3080000</v>
      </c>
      <c r="S89" s="485">
        <v>3120000</v>
      </c>
      <c r="W89" s="412"/>
      <c r="X89" s="412"/>
      <c r="Y89" s="412"/>
      <c r="AP89" s="412"/>
      <c r="AQ89" s="412"/>
    </row>
    <row r="90" spans="1:232" x14ac:dyDescent="0.2">
      <c r="F90" s="484" t="s">
        <v>828</v>
      </c>
      <c r="G90" s="1075">
        <v>121023.21678847107</v>
      </c>
      <c r="H90" s="1075">
        <v>112679.09272403718</v>
      </c>
      <c r="I90" s="1312">
        <v>-3</v>
      </c>
      <c r="J90" s="1312">
        <v>-3</v>
      </c>
      <c r="P90" s="486" t="s">
        <v>828</v>
      </c>
      <c r="Q90" s="488"/>
      <c r="R90" s="485">
        <v>121000</v>
      </c>
      <c r="S90" s="485">
        <v>113000</v>
      </c>
      <c r="W90" s="412"/>
      <c r="X90" s="412"/>
      <c r="Y90" s="412"/>
      <c r="AP90" s="412"/>
      <c r="AQ90" s="412"/>
    </row>
    <row r="91" spans="1:232" x14ac:dyDescent="0.2">
      <c r="F91" s="484" t="s">
        <v>810</v>
      </c>
      <c r="G91" s="1075">
        <v>5963832.73751067</v>
      </c>
      <c r="H91" s="1075">
        <v>5633434.8276841715</v>
      </c>
      <c r="I91" s="1312">
        <v>-4</v>
      </c>
      <c r="J91" s="1312">
        <v>-4</v>
      </c>
      <c r="P91" s="486" t="s">
        <v>810</v>
      </c>
      <c r="Q91" s="488"/>
      <c r="R91" s="485">
        <v>5960000</v>
      </c>
      <c r="S91" s="485">
        <v>5630000</v>
      </c>
      <c r="W91" s="412"/>
      <c r="X91" s="412"/>
      <c r="Y91" s="412"/>
      <c r="AP91" s="412"/>
      <c r="AQ91" s="412"/>
    </row>
    <row r="92" spans="1:232" x14ac:dyDescent="0.2">
      <c r="F92" s="484" t="s">
        <v>818</v>
      </c>
      <c r="G92" s="1079">
        <v>7038.1640553379557</v>
      </c>
      <c r="H92" s="1079">
        <v>6258.7856325154926</v>
      </c>
      <c r="I92" s="1312">
        <v>-1</v>
      </c>
      <c r="J92" s="1312">
        <v>-1</v>
      </c>
      <c r="P92" s="486" t="s">
        <v>818</v>
      </c>
      <c r="Q92" s="488"/>
      <c r="R92" s="489">
        <v>7040</v>
      </c>
      <c r="S92" s="489">
        <v>6260</v>
      </c>
      <c r="W92" s="412"/>
      <c r="X92" s="412"/>
      <c r="Y92" s="412"/>
      <c r="AP92" s="412"/>
      <c r="AQ92" s="412"/>
    </row>
    <row r="93" spans="1:232" ht="12.75" thickBot="1" x14ac:dyDescent="0.25">
      <c r="F93" s="430" t="s">
        <v>819</v>
      </c>
      <c r="G93" s="1093">
        <v>9168576.8379433844</v>
      </c>
      <c r="H93" s="1093">
        <v>8867824.3366023097</v>
      </c>
      <c r="I93" s="1312">
        <v>-4</v>
      </c>
      <c r="J93" s="1312">
        <v>-4</v>
      </c>
      <c r="P93" s="171" t="s">
        <v>819</v>
      </c>
      <c r="Q93" s="171"/>
      <c r="R93" s="490">
        <v>9170000</v>
      </c>
      <c r="S93" s="490">
        <v>8870000</v>
      </c>
      <c r="W93" s="412"/>
      <c r="X93" s="412"/>
      <c r="Y93" s="412"/>
      <c r="AP93" s="412"/>
      <c r="AQ93" s="412"/>
    </row>
    <row r="94" spans="1:232" ht="12.75" thickTop="1" x14ac:dyDescent="0.2">
      <c r="A94" s="163"/>
      <c r="F94" s="491"/>
      <c r="G94" s="491" t="b">
        <v>1</v>
      </c>
      <c r="H94" s="491" t="b">
        <v>1</v>
      </c>
      <c r="I94" s="1312"/>
      <c r="J94" s="1312"/>
      <c r="P94" s="491"/>
      <c r="Q94" s="491"/>
      <c r="R94" s="491"/>
      <c r="S94" s="491"/>
      <c r="W94" s="412"/>
      <c r="X94" s="412"/>
      <c r="Y94" s="412"/>
      <c r="AP94" s="412"/>
      <c r="AQ94" s="412"/>
    </row>
    <row r="95" spans="1:232" x14ac:dyDescent="0.2">
      <c r="A95" s="147" t="s">
        <v>1080</v>
      </c>
      <c r="B95" s="76"/>
      <c r="C95" s="76"/>
      <c r="D95" s="76"/>
      <c r="E95" s="76"/>
      <c r="F95" s="76"/>
      <c r="G95" s="412"/>
      <c r="I95" s="1312"/>
      <c r="J95" s="1312"/>
      <c r="N95" s="147" t="s">
        <v>1080</v>
      </c>
      <c r="O95" s="76"/>
      <c r="P95" s="76"/>
      <c r="W95" s="412"/>
      <c r="X95" s="412"/>
      <c r="Y95" s="412"/>
      <c r="AP95" s="412"/>
      <c r="AQ95" s="412"/>
    </row>
    <row r="96" spans="1:232" ht="12.75" thickBot="1" x14ac:dyDescent="0.25">
      <c r="A96" s="163"/>
      <c r="G96" s="412"/>
      <c r="I96" s="1312"/>
      <c r="J96" s="1312"/>
      <c r="W96" s="412"/>
      <c r="X96" s="412"/>
      <c r="Y96" s="412"/>
      <c r="AP96" s="412"/>
      <c r="AQ96" s="412"/>
    </row>
    <row r="97" spans="1:43" ht="14.25" customHeight="1" thickTop="1" x14ac:dyDescent="0.25">
      <c r="F97" s="426"/>
      <c r="G97" s="2531" t="s">
        <v>81</v>
      </c>
      <c r="H97" s="2531"/>
      <c r="I97" s="1312"/>
      <c r="J97" s="1312"/>
      <c r="N97" s="163"/>
      <c r="P97" s="144"/>
      <c r="Q97" s="144"/>
      <c r="R97" s="2531" t="s">
        <v>81</v>
      </c>
      <c r="S97" s="2531"/>
      <c r="W97" s="412"/>
      <c r="X97" s="412"/>
      <c r="Y97" s="412"/>
      <c r="AP97" s="412"/>
      <c r="AQ97" s="412"/>
    </row>
    <row r="98" spans="1:43" x14ac:dyDescent="0.2">
      <c r="F98" s="427"/>
      <c r="G98" s="483">
        <v>2003</v>
      </c>
      <c r="H98" s="483" t="s">
        <v>205</v>
      </c>
      <c r="I98" s="1312"/>
      <c r="J98" s="1312"/>
      <c r="P98" s="165"/>
      <c r="Q98" s="165"/>
      <c r="R98" s="483">
        <v>2003</v>
      </c>
      <c r="S98" s="483" t="s">
        <v>205</v>
      </c>
      <c r="W98" s="412"/>
      <c r="X98" s="412"/>
      <c r="Y98" s="412"/>
      <c r="AP98" s="412"/>
      <c r="AQ98" s="412"/>
    </row>
    <row r="99" spans="1:43" x14ac:dyDescent="0.2">
      <c r="F99" s="484" t="s">
        <v>811</v>
      </c>
      <c r="G99" s="1075">
        <v>1307.6914887476212</v>
      </c>
      <c r="H99" s="1075">
        <v>1392.288769190274</v>
      </c>
      <c r="I99" s="1312">
        <v>-1</v>
      </c>
      <c r="J99" s="1312">
        <v>-1</v>
      </c>
      <c r="P99" s="488" t="s">
        <v>811</v>
      </c>
      <c r="Q99" s="488"/>
      <c r="R99" s="492">
        <v>1310</v>
      </c>
      <c r="S99" s="492">
        <v>1390</v>
      </c>
      <c r="W99" s="412"/>
      <c r="X99" s="412"/>
      <c r="Y99" s="412"/>
      <c r="AP99" s="412"/>
      <c r="AQ99" s="412"/>
    </row>
    <row r="100" spans="1:43" x14ac:dyDescent="0.2">
      <c r="F100" s="484" t="s">
        <v>812</v>
      </c>
      <c r="G100" s="1075">
        <v>6329.1068167986814</v>
      </c>
      <c r="H100" s="1075">
        <v>6738.5498918201465</v>
      </c>
      <c r="I100" s="1312">
        <v>-1</v>
      </c>
      <c r="J100" s="1312">
        <v>-1</v>
      </c>
      <c r="P100" s="488" t="s">
        <v>812</v>
      </c>
      <c r="Q100" s="488"/>
      <c r="R100" s="492">
        <v>6330</v>
      </c>
      <c r="S100" s="492">
        <v>6740</v>
      </c>
      <c r="W100" s="412"/>
      <c r="X100" s="412"/>
      <c r="Y100" s="412"/>
      <c r="AP100" s="412"/>
      <c r="AQ100" s="412"/>
    </row>
    <row r="101" spans="1:43" x14ac:dyDescent="0.2">
      <c r="F101" s="494" t="s">
        <v>62</v>
      </c>
      <c r="G101" s="1087">
        <v>50518.578380974206</v>
      </c>
      <c r="H101" s="1087">
        <v>39489.073049157698</v>
      </c>
      <c r="I101" s="1312">
        <v>-2</v>
      </c>
      <c r="J101" s="1312">
        <v>-2</v>
      </c>
      <c r="P101" s="496" t="s">
        <v>62</v>
      </c>
      <c r="Q101" s="496"/>
      <c r="R101" s="495">
        <v>50500</v>
      </c>
      <c r="S101" s="495">
        <v>39500</v>
      </c>
      <c r="W101" s="412"/>
      <c r="X101" s="412"/>
      <c r="Y101" s="412"/>
      <c r="AP101" s="412"/>
      <c r="AQ101" s="412"/>
    </row>
    <row r="102" spans="1:43" x14ac:dyDescent="0.2">
      <c r="F102" s="494" t="s">
        <v>63</v>
      </c>
      <c r="G102" s="1087">
        <v>122595.44571470271</v>
      </c>
      <c r="H102" s="1087">
        <v>146365.61551311292</v>
      </c>
      <c r="I102" s="1312">
        <v>-3</v>
      </c>
      <c r="J102" s="1312">
        <v>-3</v>
      </c>
      <c r="P102" s="496" t="s">
        <v>63</v>
      </c>
      <c r="Q102" s="496"/>
      <c r="R102" s="495">
        <v>123000</v>
      </c>
      <c r="S102" s="495">
        <v>146000</v>
      </c>
      <c r="W102" s="412"/>
      <c r="X102" s="412"/>
      <c r="Y102" s="412"/>
      <c r="AP102" s="412"/>
      <c r="AQ102" s="412"/>
    </row>
    <row r="103" spans="1:43" x14ac:dyDescent="0.2">
      <c r="F103" s="494" t="s">
        <v>829</v>
      </c>
      <c r="G103" s="1088">
        <v>36530.186559029287</v>
      </c>
      <c r="H103" s="1088">
        <v>45066.213605152559</v>
      </c>
      <c r="I103" s="1312">
        <v>-2</v>
      </c>
      <c r="J103" s="1312">
        <v>-2</v>
      </c>
      <c r="P103" s="496" t="s">
        <v>829</v>
      </c>
      <c r="Q103" s="496"/>
      <c r="R103" s="497">
        <v>36500</v>
      </c>
      <c r="S103" s="497">
        <v>45100</v>
      </c>
      <c r="W103" s="412"/>
      <c r="X103" s="412"/>
      <c r="Y103" s="412"/>
      <c r="AP103" s="412"/>
      <c r="AQ103" s="412"/>
    </row>
    <row r="104" spans="1:43" hidden="1" x14ac:dyDescent="0.2">
      <c r="F104" s="494" t="s">
        <v>813</v>
      </c>
      <c r="G104" s="1081" t="e">
        <v>#REF!</v>
      </c>
      <c r="H104" s="1081" t="e">
        <v>#REF!</v>
      </c>
      <c r="I104" s="1312" t="e">
        <v>#REF!</v>
      </c>
      <c r="J104" s="1312" t="e">
        <v>#REF!</v>
      </c>
      <c r="P104" s="496" t="s">
        <v>813</v>
      </c>
      <c r="Q104" s="496"/>
      <c r="R104" s="495" t="e">
        <v>#REF!</v>
      </c>
      <c r="S104" s="495" t="e">
        <v>#REF!</v>
      </c>
      <c r="W104" s="412"/>
      <c r="X104" s="412"/>
      <c r="Y104" s="412"/>
      <c r="AP104" s="412"/>
      <c r="AQ104" s="412"/>
    </row>
    <row r="105" spans="1:43" ht="12.75" thickBot="1" x14ac:dyDescent="0.25">
      <c r="F105" s="434" t="s">
        <v>819</v>
      </c>
      <c r="G105" s="1076">
        <v>217281.00896025251</v>
      </c>
      <c r="H105" s="1076">
        <v>239051.7408284336</v>
      </c>
      <c r="I105" s="1312">
        <v>-3</v>
      </c>
      <c r="J105" s="1312">
        <v>-3</v>
      </c>
      <c r="P105" s="172" t="s">
        <v>819</v>
      </c>
      <c r="Q105" s="172"/>
      <c r="R105" s="498">
        <v>217000</v>
      </c>
      <c r="S105" s="498">
        <v>239000</v>
      </c>
      <c r="W105" s="412"/>
      <c r="X105" s="412"/>
      <c r="Y105" s="412"/>
      <c r="AP105" s="412"/>
      <c r="AQ105" s="412"/>
    </row>
    <row r="106" spans="1:43" ht="12.75" thickTop="1" x14ac:dyDescent="0.2">
      <c r="F106" s="163"/>
      <c r="G106" s="163" t="b">
        <v>1</v>
      </c>
      <c r="H106" s="163" t="b">
        <v>1</v>
      </c>
      <c r="I106" s="1312"/>
      <c r="J106" s="1312"/>
      <c r="P106" s="163"/>
      <c r="Q106" s="163"/>
      <c r="R106" s="163"/>
      <c r="S106" s="163"/>
      <c r="W106" s="412"/>
      <c r="X106" s="412"/>
      <c r="Y106" s="412"/>
      <c r="AP106" s="412"/>
      <c r="AQ106" s="412"/>
    </row>
    <row r="107" spans="1:43" x14ac:dyDescent="0.2">
      <c r="A107" s="147" t="s">
        <v>813</v>
      </c>
      <c r="B107" s="76"/>
      <c r="C107" s="76"/>
      <c r="D107" s="76"/>
      <c r="E107" s="76"/>
      <c r="F107" s="76"/>
      <c r="G107" s="163"/>
      <c r="H107" s="163"/>
      <c r="I107" s="1312"/>
      <c r="J107" s="1312"/>
      <c r="N107" s="147" t="s">
        <v>813</v>
      </c>
      <c r="O107" s="76"/>
      <c r="P107" s="76"/>
      <c r="W107" s="412"/>
      <c r="X107" s="412"/>
      <c r="Y107" s="412"/>
      <c r="AP107" s="412"/>
      <c r="AQ107" s="412"/>
    </row>
    <row r="108" spans="1:43" ht="12.75" thickBot="1" x14ac:dyDescent="0.25">
      <c r="F108" s="163"/>
      <c r="G108" s="163"/>
      <c r="H108" s="163"/>
      <c r="I108" s="1312"/>
      <c r="J108" s="1312"/>
      <c r="W108" s="412"/>
      <c r="X108" s="412"/>
      <c r="Y108" s="412"/>
      <c r="AP108" s="412"/>
      <c r="AQ108" s="412"/>
    </row>
    <row r="109" spans="1:43" ht="13.5" customHeight="1" thickTop="1" x14ac:dyDescent="0.25">
      <c r="F109" s="429"/>
      <c r="G109" s="2531" t="s">
        <v>81</v>
      </c>
      <c r="H109" s="2531"/>
      <c r="I109" s="1312"/>
      <c r="J109" s="1312"/>
      <c r="N109" s="163"/>
      <c r="P109" s="144"/>
      <c r="Q109" s="144"/>
      <c r="R109" s="2531" t="s">
        <v>81</v>
      </c>
      <c r="S109" s="2531"/>
      <c r="W109" s="412"/>
      <c r="X109" s="412"/>
      <c r="Y109" s="412"/>
      <c r="AP109" s="412"/>
      <c r="AQ109" s="412"/>
    </row>
    <row r="110" spans="1:43" x14ac:dyDescent="0.2">
      <c r="F110" s="431"/>
      <c r="G110" s="483">
        <v>2003</v>
      </c>
      <c r="H110" s="500" t="s">
        <v>205</v>
      </c>
      <c r="I110" s="1312"/>
      <c r="J110" s="1312"/>
      <c r="P110" s="165"/>
      <c r="Q110" s="165"/>
      <c r="R110" s="483">
        <v>2003</v>
      </c>
      <c r="S110" s="483" t="s">
        <v>205</v>
      </c>
      <c r="W110" s="412"/>
      <c r="X110" s="412"/>
      <c r="Y110" s="412"/>
      <c r="AP110" s="412"/>
      <c r="AQ110" s="412"/>
    </row>
    <row r="111" spans="1:43" x14ac:dyDescent="0.2">
      <c r="F111" s="501" t="s">
        <v>845</v>
      </c>
      <c r="G111" s="1074">
        <v>11109.477951823716</v>
      </c>
      <c r="H111" s="1074">
        <v>15882.897605643078</v>
      </c>
      <c r="I111" s="1312">
        <v>-2</v>
      </c>
      <c r="J111" s="1312">
        <v>-2</v>
      </c>
      <c r="P111" s="488" t="s">
        <v>845</v>
      </c>
      <c r="Q111" s="488"/>
      <c r="R111" s="492">
        <v>11100</v>
      </c>
      <c r="S111" s="492">
        <v>15900</v>
      </c>
      <c r="W111" s="412"/>
      <c r="X111" s="412"/>
      <c r="Y111" s="412"/>
      <c r="AP111" s="412"/>
      <c r="AQ111" s="412"/>
    </row>
    <row r="112" spans="1:43" x14ac:dyDescent="0.2">
      <c r="F112" s="502" t="s">
        <v>844</v>
      </c>
      <c r="G112" s="1075">
        <v>13748.310283386569</v>
      </c>
      <c r="H112" s="1075">
        <v>19655.559462701171</v>
      </c>
      <c r="I112" s="1312">
        <v>-2</v>
      </c>
      <c r="J112" s="1312">
        <v>-2</v>
      </c>
      <c r="P112" s="488" t="s">
        <v>844</v>
      </c>
      <c r="Q112" s="488"/>
      <c r="R112" s="492">
        <v>13700</v>
      </c>
      <c r="S112" s="492">
        <v>19700</v>
      </c>
      <c r="W112" s="412"/>
      <c r="X112" s="412"/>
      <c r="Y112" s="412"/>
      <c r="AP112" s="412"/>
      <c r="AQ112" s="412"/>
    </row>
    <row r="113" spans="1:232" x14ac:dyDescent="0.2">
      <c r="F113" s="503" t="s">
        <v>840</v>
      </c>
      <c r="G113" s="1075">
        <v>23981.875891563755</v>
      </c>
      <c r="H113" s="1075">
        <v>34286.190658888627</v>
      </c>
      <c r="I113" s="1312">
        <v>-2</v>
      </c>
      <c r="J113" s="1312">
        <v>-2</v>
      </c>
      <c r="P113" s="496" t="s">
        <v>840</v>
      </c>
      <c r="Q113" s="496"/>
      <c r="R113" s="495">
        <v>24000</v>
      </c>
      <c r="S113" s="495">
        <v>34300</v>
      </c>
      <c r="W113" s="412"/>
      <c r="X113" s="412"/>
      <c r="Y113" s="412"/>
      <c r="AP113" s="412"/>
      <c r="AQ113" s="412"/>
    </row>
    <row r="114" spans="1:232" ht="12.75" thickBot="1" x14ac:dyDescent="0.25">
      <c r="F114" s="428" t="s">
        <v>841</v>
      </c>
      <c r="G114" s="1092">
        <v>48839.664126774034</v>
      </c>
      <c r="H114" s="1092">
        <v>69824.647727232878</v>
      </c>
      <c r="I114" s="1312">
        <v>-2</v>
      </c>
      <c r="J114" s="1312">
        <v>-2</v>
      </c>
      <c r="P114" s="428" t="s">
        <v>841</v>
      </c>
      <c r="Q114" s="504"/>
      <c r="R114" s="1083">
        <v>48800</v>
      </c>
      <c r="S114" s="1083">
        <v>69800</v>
      </c>
      <c r="W114" s="412"/>
      <c r="X114" s="412"/>
      <c r="Y114" s="412"/>
      <c r="AP114" s="412"/>
      <c r="AQ114" s="412"/>
    </row>
    <row r="115" spans="1:232" ht="12.75" thickTop="1" x14ac:dyDescent="0.2">
      <c r="G115" s="412" t="b">
        <v>1</v>
      </c>
      <c r="H115" s="412" t="b">
        <v>1</v>
      </c>
      <c r="I115" s="1312"/>
      <c r="J115" s="1312"/>
      <c r="W115" s="412"/>
      <c r="X115" s="412"/>
      <c r="Y115" s="412"/>
      <c r="AP115" s="412"/>
      <c r="AQ115" s="412"/>
    </row>
    <row r="116" spans="1:232" x14ac:dyDescent="0.2">
      <c r="C116" s="423"/>
      <c r="D116" s="423"/>
      <c r="E116" s="423"/>
      <c r="F116" s="423"/>
      <c r="G116" s="423"/>
      <c r="H116" s="423"/>
      <c r="I116" s="1312"/>
      <c r="J116" s="1312"/>
      <c r="O116" s="423"/>
      <c r="P116" s="423"/>
      <c r="Q116" s="423"/>
      <c r="R116" s="423"/>
      <c r="S116" s="423"/>
      <c r="W116" s="412"/>
      <c r="X116" s="412"/>
      <c r="Y116" s="412"/>
      <c r="AP116" s="412"/>
      <c r="AQ116" s="412"/>
    </row>
    <row r="117" spans="1:232" x14ac:dyDescent="0.2">
      <c r="A117" s="147" t="s">
        <v>58</v>
      </c>
      <c r="B117" s="76"/>
      <c r="C117" s="76"/>
      <c r="D117" s="76"/>
      <c r="E117" s="76"/>
      <c r="F117" s="280"/>
      <c r="G117" s="280"/>
      <c r="H117" s="280"/>
      <c r="I117" s="1312"/>
      <c r="J117" s="1312"/>
      <c r="N117" s="147" t="s">
        <v>58</v>
      </c>
      <c r="O117" s="76"/>
      <c r="P117" s="76"/>
      <c r="W117" s="412"/>
      <c r="X117" s="412"/>
      <c r="Y117" s="412"/>
      <c r="AP117" s="412"/>
      <c r="AQ117" s="412"/>
    </row>
    <row r="118" spans="1:232" ht="12.75" thickBot="1" x14ac:dyDescent="0.25">
      <c r="F118" s="163"/>
      <c r="G118" s="163"/>
      <c r="H118" s="163"/>
      <c r="I118" s="1312"/>
      <c r="J118" s="1312"/>
      <c r="P118" s="163"/>
      <c r="Q118" s="163"/>
      <c r="R118" s="289"/>
      <c r="S118" s="289"/>
      <c r="W118" s="412"/>
      <c r="X118" s="412"/>
      <c r="Y118" s="412"/>
      <c r="AP118" s="412"/>
      <c r="AQ118" s="412"/>
    </row>
    <row r="119" spans="1:232" ht="14.25" customHeight="1" thickTop="1" x14ac:dyDescent="0.25">
      <c r="F119" s="426"/>
      <c r="G119" s="2531" t="s">
        <v>81</v>
      </c>
      <c r="H119" s="2531"/>
      <c r="I119" s="1312"/>
      <c r="J119" s="1312"/>
      <c r="N119" s="423"/>
      <c r="O119" s="423"/>
      <c r="P119" s="144"/>
      <c r="Q119" s="144"/>
      <c r="R119" s="2531" t="s">
        <v>81</v>
      </c>
      <c r="S119" s="2531"/>
      <c r="W119" s="412"/>
      <c r="X119" s="412"/>
      <c r="Y119" s="412"/>
      <c r="AP119" s="412"/>
      <c r="AQ119" s="412"/>
    </row>
    <row r="120" spans="1:232" x14ac:dyDescent="0.2">
      <c r="F120" s="427"/>
      <c r="G120" s="483">
        <v>2003</v>
      </c>
      <c r="H120" s="500" t="s">
        <v>205</v>
      </c>
      <c r="I120" s="1312"/>
      <c r="J120" s="1312"/>
      <c r="N120" s="423"/>
      <c r="O120" s="423"/>
      <c r="P120" s="148"/>
      <c r="Q120" s="148"/>
      <c r="R120" s="664">
        <v>2003</v>
      </c>
      <c r="S120" s="506" t="s">
        <v>205</v>
      </c>
      <c r="W120" s="412"/>
      <c r="X120" s="412"/>
      <c r="Y120" s="412"/>
      <c r="AP120" s="412"/>
      <c r="AQ120" s="412"/>
    </row>
    <row r="121" spans="1:232" x14ac:dyDescent="0.2">
      <c r="F121" s="503" t="s">
        <v>236</v>
      </c>
      <c r="G121" s="1077">
        <v>138331.8128123733</v>
      </c>
      <c r="H121" s="1074">
        <v>133584.89082315794</v>
      </c>
      <c r="I121" s="1312">
        <v>-3</v>
      </c>
      <c r="J121" s="1312">
        <v>-3</v>
      </c>
      <c r="N121" s="423"/>
      <c r="O121" s="423"/>
      <c r="P121" s="507" t="s">
        <v>236</v>
      </c>
      <c r="Q121" s="697"/>
      <c r="R121" s="501">
        <v>138000</v>
      </c>
      <c r="S121" s="501">
        <v>134000</v>
      </c>
      <c r="W121" s="412"/>
      <c r="X121" s="412"/>
      <c r="Y121" s="412"/>
      <c r="AP121" s="412"/>
      <c r="AQ121" s="412"/>
    </row>
    <row r="122" spans="1:232" x14ac:dyDescent="0.2">
      <c r="F122" s="503" t="s">
        <v>830</v>
      </c>
      <c r="G122" s="1078">
        <v>1756698.2214198047</v>
      </c>
      <c r="H122" s="1079">
        <v>2043450.2112939602</v>
      </c>
      <c r="I122" s="1312">
        <v>-4</v>
      </c>
      <c r="J122" s="1312">
        <v>-4</v>
      </c>
      <c r="N122" s="423"/>
      <c r="O122" s="423"/>
      <c r="P122" s="509" t="s">
        <v>830</v>
      </c>
      <c r="Q122" s="503"/>
      <c r="R122" s="508">
        <v>1760000</v>
      </c>
      <c r="S122" s="508">
        <v>2040000</v>
      </c>
      <c r="W122" s="412"/>
      <c r="X122" s="412"/>
      <c r="Y122" s="412"/>
      <c r="AP122" s="412"/>
      <c r="AQ122" s="412"/>
    </row>
    <row r="123" spans="1:232" ht="12.75" thickBot="1" x14ac:dyDescent="0.25">
      <c r="F123" s="428" t="s">
        <v>819</v>
      </c>
      <c r="G123" s="1076">
        <v>1895030.034232178</v>
      </c>
      <c r="H123" s="1076">
        <v>2177035.102117118</v>
      </c>
      <c r="I123" s="1312">
        <v>-4</v>
      </c>
      <c r="J123" s="1312">
        <v>-4</v>
      </c>
      <c r="N123" s="423"/>
      <c r="O123" s="423"/>
      <c r="P123" s="173" t="s">
        <v>819</v>
      </c>
      <c r="Q123" s="428"/>
      <c r="R123" s="504">
        <v>1900000</v>
      </c>
      <c r="S123" s="504">
        <v>2180000</v>
      </c>
      <c r="W123" s="412"/>
      <c r="X123" s="412"/>
      <c r="Y123" s="412"/>
      <c r="AP123" s="412"/>
      <c r="AQ123" s="412"/>
    </row>
    <row r="124" spans="1:232" ht="12.75" thickTop="1" x14ac:dyDescent="0.2">
      <c r="F124" s="163"/>
      <c r="G124" s="163" t="b">
        <v>1</v>
      </c>
      <c r="H124" s="163" t="b">
        <v>1</v>
      </c>
      <c r="I124" s="1317"/>
      <c r="J124" s="1317"/>
      <c r="N124" s="423"/>
      <c r="O124" s="423"/>
      <c r="P124" s="163"/>
      <c r="Q124" s="163"/>
      <c r="R124" s="289"/>
      <c r="S124" s="289"/>
      <c r="W124" s="412"/>
      <c r="X124" s="412"/>
      <c r="Y124" s="412"/>
      <c r="AP124" s="412"/>
      <c r="AQ124" s="412"/>
    </row>
    <row r="125" spans="1:232" s="478" customFormat="1" ht="11.25" customHeight="1" x14ac:dyDescent="0.2">
      <c r="A125" s="392"/>
      <c r="B125" s="309"/>
      <c r="C125" s="392"/>
      <c r="D125" s="564"/>
      <c r="E125" s="392"/>
      <c r="F125" s="392"/>
      <c r="I125" s="1318"/>
      <c r="J125" s="1319"/>
    </row>
    <row r="126" spans="1:232" s="719" customFormat="1" x14ac:dyDescent="0.2">
      <c r="A126" s="716" t="s">
        <v>849</v>
      </c>
      <c r="B126" s="715"/>
      <c r="C126" s="715"/>
      <c r="D126" s="715"/>
      <c r="E126" s="715"/>
      <c r="F126" s="717"/>
      <c r="G126" s="716"/>
      <c r="H126" s="715"/>
      <c r="I126" s="1320"/>
      <c r="J126" s="1320"/>
      <c r="K126" s="717"/>
      <c r="L126" s="716"/>
      <c r="M126" s="715"/>
      <c r="N126" s="715"/>
      <c r="O126" s="715"/>
      <c r="P126" s="715"/>
      <c r="Q126" s="717"/>
      <c r="R126" s="716"/>
      <c r="S126" s="715"/>
      <c r="T126" s="715"/>
      <c r="U126" s="715"/>
      <c r="V126" s="715"/>
      <c r="W126" s="717"/>
      <c r="X126" s="716"/>
      <c r="Y126" s="715"/>
      <c r="Z126" s="715"/>
      <c r="AA126" s="715"/>
      <c r="AB126" s="715"/>
      <c r="AC126" s="717"/>
      <c r="AD126" s="716"/>
      <c r="AE126" s="715"/>
      <c r="AF126" s="715"/>
      <c r="AG126" s="715"/>
      <c r="AH126" s="715"/>
      <c r="AI126" s="717"/>
      <c r="AJ126" s="716"/>
      <c r="AK126" s="715"/>
      <c r="AL126" s="715"/>
      <c r="AM126" s="715"/>
      <c r="AN126" s="715"/>
      <c r="AO126" s="717"/>
      <c r="AP126" s="716"/>
      <c r="AQ126" s="715"/>
      <c r="AR126" s="715"/>
      <c r="AS126" s="715"/>
      <c r="AT126" s="715"/>
      <c r="AU126" s="718" t="s">
        <v>849</v>
      </c>
      <c r="AV126" s="716"/>
      <c r="AW126" s="715"/>
      <c r="AX126" s="715"/>
      <c r="AY126" s="715" t="s">
        <v>1686</v>
      </c>
      <c r="AZ126" s="715"/>
      <c r="BA126" s="717"/>
      <c r="BB126" s="716"/>
      <c r="BC126" s="715"/>
      <c r="BD126" s="715"/>
      <c r="BE126" s="715"/>
      <c r="BF126" s="715"/>
      <c r="BG126" s="717"/>
      <c r="BH126" s="716"/>
      <c r="BI126" s="715"/>
      <c r="BJ126" s="715"/>
      <c r="BK126" s="715"/>
      <c r="BL126" s="715"/>
      <c r="BM126" s="717"/>
      <c r="BN126" s="716"/>
      <c r="BO126" s="715"/>
      <c r="BP126" s="715"/>
      <c r="BQ126" s="715"/>
      <c r="BR126" s="715"/>
      <c r="BS126" s="715"/>
      <c r="BT126" s="717"/>
      <c r="BU126" s="716"/>
      <c r="BV126" s="715"/>
      <c r="BW126" s="715"/>
      <c r="BX126" s="715"/>
      <c r="BY126" s="715"/>
      <c r="BZ126" s="717"/>
      <c r="CA126" s="716"/>
      <c r="CB126" s="715"/>
      <c r="CC126" s="715"/>
      <c r="CD126" s="715"/>
      <c r="CE126" s="715"/>
      <c r="CF126" s="717"/>
      <c r="CG126" s="716"/>
      <c r="CH126" s="715"/>
      <c r="CI126" s="715"/>
      <c r="CJ126" s="715"/>
      <c r="CK126" s="715"/>
      <c r="CL126" s="717"/>
      <c r="CM126" s="716"/>
      <c r="CN126" s="715"/>
      <c r="CO126" s="715"/>
      <c r="CP126" s="715"/>
      <c r="CQ126" s="715"/>
      <c r="CR126" s="717"/>
      <c r="CS126" s="716"/>
      <c r="CT126" s="715"/>
      <c r="CU126" s="715"/>
      <c r="CV126" s="715"/>
      <c r="CW126" s="715"/>
      <c r="CX126" s="717"/>
      <c r="CY126" s="716"/>
      <c r="CZ126" s="715"/>
      <c r="DA126" s="715"/>
      <c r="DB126" s="715"/>
      <c r="DC126" s="715"/>
      <c r="DD126" s="717"/>
      <c r="DE126" s="716"/>
      <c r="DF126" s="715"/>
      <c r="DG126" s="715"/>
      <c r="DH126" s="715"/>
      <c r="DI126" s="715"/>
      <c r="DJ126" s="717"/>
      <c r="DK126" s="716"/>
      <c r="DL126" s="715"/>
      <c r="DM126" s="715"/>
      <c r="DN126" s="715"/>
      <c r="DO126" s="715"/>
      <c r="DP126" s="717"/>
      <c r="DQ126" s="716"/>
      <c r="DR126" s="715"/>
      <c r="DS126" s="715"/>
      <c r="DT126" s="715"/>
      <c r="DU126" s="715"/>
      <c r="DV126" s="717"/>
      <c r="DW126" s="716"/>
      <c r="DX126" s="715"/>
      <c r="DY126" s="715"/>
      <c r="DZ126" s="715"/>
      <c r="EA126" s="715"/>
      <c r="EB126" s="717"/>
      <c r="EC126" s="716"/>
      <c r="ED126" s="715"/>
      <c r="EE126" s="715"/>
      <c r="EF126" s="715"/>
      <c r="EG126" s="715"/>
      <c r="EH126" s="717"/>
      <c r="EI126" s="716"/>
      <c r="EJ126" s="715"/>
      <c r="EK126" s="715"/>
      <c r="EL126" s="715"/>
      <c r="EM126" s="715"/>
      <c r="EN126" s="717"/>
      <c r="EO126" s="716"/>
      <c r="EP126" s="715"/>
      <c r="EQ126" s="715"/>
      <c r="ER126" s="715"/>
      <c r="ES126" s="715"/>
      <c r="ET126" s="717"/>
      <c r="EU126" s="716"/>
      <c r="EV126" s="715"/>
      <c r="EW126" s="715"/>
      <c r="EX126" s="715"/>
      <c r="EY126" s="715"/>
      <c r="EZ126" s="717"/>
      <c r="FA126" s="716"/>
      <c r="FB126" s="715"/>
      <c r="FC126" s="715"/>
      <c r="FD126" s="715"/>
      <c r="FE126" s="715"/>
      <c r="FF126" s="717"/>
      <c r="FG126" s="716"/>
      <c r="FH126" s="715"/>
      <c r="FI126" s="715"/>
      <c r="FJ126" s="715"/>
      <c r="FK126" s="715"/>
      <c r="FL126" s="717"/>
      <c r="FM126" s="716"/>
      <c r="FN126" s="715"/>
      <c r="FO126" s="715"/>
      <c r="FP126" s="715"/>
      <c r="FQ126" s="715"/>
      <c r="FR126" s="717"/>
      <c r="FS126" s="716"/>
      <c r="FT126" s="715"/>
      <c r="FU126" s="715"/>
      <c r="FV126" s="715"/>
      <c r="FW126" s="715"/>
      <c r="FX126" s="717"/>
      <c r="FY126" s="716"/>
      <c r="FZ126" s="715"/>
      <c r="GA126" s="715"/>
      <c r="GB126" s="715"/>
      <c r="GC126" s="715"/>
      <c r="GD126" s="717"/>
      <c r="GE126" s="716"/>
      <c r="GF126" s="715"/>
      <c r="GG126" s="715"/>
      <c r="GH126" s="715"/>
      <c r="GI126" s="715"/>
      <c r="GJ126" s="717"/>
      <c r="GK126" s="716"/>
      <c r="GL126" s="715"/>
      <c r="GM126" s="715"/>
      <c r="GN126" s="715"/>
      <c r="GO126" s="715"/>
      <c r="GP126" s="717"/>
      <c r="GQ126" s="716"/>
      <c r="GR126" s="715"/>
      <c r="GS126" s="715"/>
      <c r="GT126" s="715"/>
      <c r="GU126" s="715"/>
      <c r="GV126" s="717"/>
      <c r="GW126" s="716"/>
      <c r="GX126" s="715"/>
      <c r="GY126" s="715"/>
      <c r="GZ126" s="715"/>
      <c r="HA126" s="715"/>
      <c r="HB126" s="717"/>
      <c r="HC126" s="716"/>
      <c r="HD126" s="715"/>
      <c r="HE126" s="715"/>
      <c r="HF126" s="715"/>
      <c r="HG126" s="715"/>
      <c r="HH126" s="717"/>
      <c r="HI126" s="716"/>
      <c r="HJ126" s="715"/>
      <c r="HK126" s="715"/>
      <c r="HL126" s="715"/>
      <c r="HM126" s="715"/>
      <c r="HN126" s="717"/>
      <c r="HO126" s="716"/>
      <c r="HP126" s="715"/>
      <c r="HQ126" s="715"/>
      <c r="HR126" s="715"/>
      <c r="HS126" s="715"/>
      <c r="HT126" s="717"/>
      <c r="HU126" s="716"/>
      <c r="HV126" s="715"/>
      <c r="HW126" s="715"/>
      <c r="HX126" s="715"/>
    </row>
    <row r="127" spans="1:232" x14ac:dyDescent="0.2">
      <c r="A127" s="163"/>
      <c r="G127" s="412"/>
      <c r="I127" s="1317"/>
      <c r="K127" s="224"/>
      <c r="L127" s="482"/>
      <c r="N127" s="163"/>
      <c r="W127" s="412"/>
      <c r="X127" s="412"/>
      <c r="Y127" s="412"/>
      <c r="AP127" s="412"/>
      <c r="AQ127" s="412"/>
    </row>
    <row r="128" spans="1:232" x14ac:dyDescent="0.2">
      <c r="A128" s="163"/>
      <c r="G128" s="412"/>
      <c r="I128" s="1317"/>
      <c r="J128" s="1317"/>
      <c r="K128" s="480"/>
      <c r="L128" s="482"/>
      <c r="N128" s="163"/>
      <c r="W128" s="412"/>
      <c r="X128" s="412"/>
      <c r="Y128" s="412"/>
      <c r="AP128" s="412"/>
      <c r="AQ128" s="412"/>
    </row>
    <row r="129" spans="1:43" x14ac:dyDescent="0.2">
      <c r="A129" s="147" t="s">
        <v>798</v>
      </c>
      <c r="B129" s="76"/>
      <c r="C129" s="76"/>
      <c r="D129" s="76"/>
      <c r="E129" s="76"/>
      <c r="F129" s="76"/>
      <c r="G129" s="412"/>
      <c r="I129" s="1317"/>
      <c r="J129" s="1317"/>
      <c r="K129" s="480"/>
      <c r="L129" s="482"/>
      <c r="N129" s="147" t="s">
        <v>798</v>
      </c>
      <c r="O129" s="76"/>
      <c r="P129" s="76"/>
      <c r="W129" s="412"/>
      <c r="X129" s="412"/>
      <c r="Y129" s="412"/>
      <c r="AP129" s="412"/>
      <c r="AQ129" s="412"/>
    </row>
    <row r="130" spans="1:43" ht="12.75" thickBot="1" x14ac:dyDescent="0.25">
      <c r="A130" s="163"/>
      <c r="G130" s="412"/>
      <c r="I130" s="1317"/>
      <c r="J130" s="1317"/>
      <c r="K130" s="480"/>
      <c r="L130" s="482"/>
      <c r="N130" s="163"/>
      <c r="W130" s="412"/>
      <c r="X130" s="412"/>
      <c r="Y130" s="412"/>
      <c r="AH130" s="412" t="s">
        <v>1085</v>
      </c>
      <c r="AP130" s="412"/>
      <c r="AQ130" s="412"/>
    </row>
    <row r="131" spans="1:43" ht="14.25" thickTop="1" x14ac:dyDescent="0.25">
      <c r="F131" s="426"/>
      <c r="G131" s="2531" t="s">
        <v>81</v>
      </c>
      <c r="H131" s="2531"/>
      <c r="I131" s="1317"/>
      <c r="J131" s="1317"/>
      <c r="K131" s="480"/>
      <c r="L131" s="482"/>
      <c r="P131" s="426"/>
      <c r="Q131" s="2531" t="s">
        <v>81</v>
      </c>
      <c r="R131" s="2531"/>
      <c r="W131" s="412"/>
      <c r="X131" s="412"/>
      <c r="Y131" s="412"/>
      <c r="AP131" s="412"/>
      <c r="AQ131" s="412"/>
    </row>
    <row r="132" spans="1:43" x14ac:dyDescent="0.2">
      <c r="F132" s="427"/>
      <c r="G132" s="483">
        <v>2003</v>
      </c>
      <c r="H132" s="483" t="s">
        <v>205</v>
      </c>
      <c r="I132" s="1317"/>
      <c r="J132" s="1317"/>
      <c r="K132" s="480"/>
      <c r="L132" s="482"/>
      <c r="P132" s="427"/>
      <c r="Q132" s="483">
        <v>2003</v>
      </c>
      <c r="R132" s="483" t="s">
        <v>205</v>
      </c>
      <c r="W132" s="412"/>
      <c r="X132" s="412"/>
      <c r="Y132" s="412"/>
      <c r="AP132" s="412"/>
      <c r="AQ132" s="412"/>
    </row>
    <row r="133" spans="1:43" x14ac:dyDescent="0.2">
      <c r="F133" s="510" t="s">
        <v>843</v>
      </c>
      <c r="G133" s="1075">
        <v>1866534.1063584599</v>
      </c>
      <c r="H133" s="1075">
        <v>2056709.8333594454</v>
      </c>
      <c r="I133" s="1312">
        <v>-4</v>
      </c>
      <c r="J133" s="1312">
        <v>-4</v>
      </c>
      <c r="K133" s="224"/>
      <c r="L133" s="482"/>
      <c r="P133" s="510" t="s">
        <v>843</v>
      </c>
      <c r="Q133" s="502">
        <v>1870000</v>
      </c>
      <c r="R133" s="502">
        <v>2060000</v>
      </c>
      <c r="W133" s="412"/>
      <c r="X133" s="412"/>
      <c r="Y133" s="412"/>
      <c r="AP133" s="412"/>
      <c r="AQ133" s="412"/>
    </row>
    <row r="134" spans="1:43" x14ac:dyDescent="0.2">
      <c r="F134" s="510" t="s">
        <v>801</v>
      </c>
      <c r="G134" s="1075"/>
      <c r="H134" s="1075"/>
      <c r="I134" s="1312">
        <v>0</v>
      </c>
      <c r="J134" s="1312">
        <v>0</v>
      </c>
      <c r="K134" s="224"/>
      <c r="L134" s="482"/>
      <c r="P134" s="510" t="s">
        <v>801</v>
      </c>
      <c r="Q134" s="502" t="s">
        <v>1686</v>
      </c>
      <c r="R134" s="502" t="s">
        <v>1686</v>
      </c>
      <c r="W134" s="412"/>
      <c r="X134" s="412"/>
      <c r="Y134" s="412"/>
      <c r="AP134" s="412"/>
      <c r="AQ134" s="412"/>
    </row>
    <row r="135" spans="1:43" x14ac:dyDescent="0.2">
      <c r="F135" s="513" t="s">
        <v>173</v>
      </c>
      <c r="G135" s="1075">
        <v>1565449.9609237434</v>
      </c>
      <c r="H135" s="1075">
        <v>1815163.1470527851</v>
      </c>
      <c r="I135" s="1312">
        <v>-4</v>
      </c>
      <c r="J135" s="1312">
        <v>-4</v>
      </c>
      <c r="K135" s="224"/>
      <c r="L135" s="482"/>
      <c r="P135" s="513" t="s">
        <v>173</v>
      </c>
      <c r="Q135" s="485">
        <v>1570000</v>
      </c>
      <c r="R135" s="485">
        <v>1820000</v>
      </c>
      <c r="W135" s="412"/>
      <c r="X135" s="412"/>
      <c r="Y135" s="412"/>
      <c r="AP135" s="412"/>
      <c r="AQ135" s="412"/>
    </row>
    <row r="136" spans="1:43" x14ac:dyDescent="0.2">
      <c r="F136" s="513" t="s">
        <v>37</v>
      </c>
      <c r="G136" s="1075">
        <v>284427.46213974222</v>
      </c>
      <c r="H136" s="1075">
        <v>215035.96310774286</v>
      </c>
      <c r="I136" s="1312">
        <v>-3</v>
      </c>
      <c r="J136" s="1312">
        <v>-3</v>
      </c>
      <c r="K136" s="487"/>
      <c r="L136" s="482"/>
      <c r="P136" s="513" t="s">
        <v>37</v>
      </c>
      <c r="Q136" s="485">
        <v>284000</v>
      </c>
      <c r="R136" s="485">
        <v>215000</v>
      </c>
      <c r="W136" s="412"/>
      <c r="X136" s="412"/>
      <c r="Y136" s="412"/>
      <c r="AP136" s="412"/>
      <c r="AQ136" s="412"/>
    </row>
    <row r="137" spans="1:43" x14ac:dyDescent="0.2">
      <c r="F137" s="512" t="s">
        <v>20</v>
      </c>
      <c r="G137" s="1075"/>
      <c r="H137" s="1075"/>
      <c r="I137" s="1312">
        <v>0</v>
      </c>
      <c r="J137" s="1312">
        <v>0</v>
      </c>
      <c r="K137" s="487"/>
      <c r="L137" s="482"/>
      <c r="P137" s="512" t="s">
        <v>20</v>
      </c>
      <c r="Q137" s="485" t="s">
        <v>1686</v>
      </c>
      <c r="R137" s="485" t="s">
        <v>1686</v>
      </c>
      <c r="W137" s="412"/>
      <c r="X137" s="412"/>
      <c r="Y137" s="412"/>
      <c r="AP137" s="412"/>
      <c r="AQ137" s="412"/>
    </row>
    <row r="138" spans="1:43" x14ac:dyDescent="0.2">
      <c r="F138" s="513" t="s">
        <v>212</v>
      </c>
      <c r="G138" s="1075">
        <v>46015.111945072349</v>
      </c>
      <c r="H138" s="1075">
        <v>48991.925179167374</v>
      </c>
      <c r="I138" s="1312">
        <v>-2</v>
      </c>
      <c r="J138" s="1312">
        <v>-2</v>
      </c>
      <c r="K138" s="224"/>
      <c r="L138" s="482"/>
      <c r="P138" s="513" t="s">
        <v>212</v>
      </c>
      <c r="Q138" s="485">
        <v>46000</v>
      </c>
      <c r="R138" s="485">
        <v>49000</v>
      </c>
      <c r="W138" s="412"/>
      <c r="X138" s="412"/>
      <c r="Y138" s="412"/>
      <c r="AP138" s="412"/>
      <c r="AQ138" s="412"/>
    </row>
    <row r="139" spans="1:43" x14ac:dyDescent="0.2">
      <c r="F139" s="513" t="s">
        <v>213</v>
      </c>
      <c r="G139" s="1075">
        <v>147.64624970976709</v>
      </c>
      <c r="H139" s="1075">
        <v>157.19779248608759</v>
      </c>
      <c r="I139" s="1312">
        <v>0</v>
      </c>
      <c r="J139" s="1312">
        <v>0</v>
      </c>
      <c r="K139" s="224"/>
      <c r="L139" s="482"/>
      <c r="P139" s="513" t="s">
        <v>213</v>
      </c>
      <c r="Q139" s="485">
        <v>148</v>
      </c>
      <c r="R139" s="485">
        <v>157</v>
      </c>
      <c r="W139" s="412"/>
      <c r="X139" s="412"/>
      <c r="Y139" s="412"/>
      <c r="AP139" s="412"/>
      <c r="AQ139" s="412"/>
    </row>
    <row r="140" spans="1:43" x14ac:dyDescent="0.2">
      <c r="F140" s="513" t="s">
        <v>316</v>
      </c>
      <c r="G140" s="1079">
        <v>7.9162715242516635</v>
      </c>
      <c r="H140" s="1079">
        <v>8.4283915831186622</v>
      </c>
      <c r="I140" s="1312">
        <v>0</v>
      </c>
      <c r="J140" s="1312">
        <v>0</v>
      </c>
      <c r="K140" s="224"/>
      <c r="L140" s="482"/>
      <c r="P140" s="513" t="s">
        <v>316</v>
      </c>
      <c r="Q140" s="489">
        <v>8</v>
      </c>
      <c r="R140" s="489">
        <v>8</v>
      </c>
      <c r="W140" s="412"/>
      <c r="X140" s="412"/>
      <c r="Y140" s="412"/>
      <c r="AP140" s="412"/>
      <c r="AQ140" s="412"/>
    </row>
    <row r="141" spans="1:43" ht="12.75" thickBot="1" x14ac:dyDescent="0.25">
      <c r="F141" s="428" t="s">
        <v>819</v>
      </c>
      <c r="G141" s="1084">
        <v>3762582.2038882519</v>
      </c>
      <c r="H141" s="1084">
        <v>4136066.4948832104</v>
      </c>
      <c r="I141" s="1312">
        <v>-4</v>
      </c>
      <c r="J141" s="1312">
        <v>-4</v>
      </c>
      <c r="K141" s="480"/>
      <c r="L141" s="482"/>
      <c r="P141" s="428" t="s">
        <v>819</v>
      </c>
      <c r="Q141" s="514">
        <v>3760000</v>
      </c>
      <c r="R141" s="514">
        <v>4140000</v>
      </c>
      <c r="W141" s="412"/>
      <c r="X141" s="412"/>
      <c r="Y141" s="412"/>
      <c r="AP141" s="412"/>
      <c r="AQ141" s="412"/>
    </row>
    <row r="142" spans="1:43" ht="12.75" thickTop="1" x14ac:dyDescent="0.2">
      <c r="G142" s="478" t="b">
        <v>1</v>
      </c>
      <c r="H142" s="478" t="b">
        <v>1</v>
      </c>
      <c r="I142" s="1312"/>
      <c r="J142" s="1312"/>
      <c r="K142" s="480"/>
      <c r="L142" s="482"/>
      <c r="S142" s="423"/>
      <c r="W142" s="412"/>
      <c r="X142" s="412"/>
      <c r="Y142" s="412"/>
      <c r="AP142" s="412"/>
      <c r="AQ142" s="412"/>
    </row>
    <row r="143" spans="1:43" x14ac:dyDescent="0.2">
      <c r="A143" s="147" t="s">
        <v>27</v>
      </c>
      <c r="G143" s="412"/>
      <c r="I143" s="1312"/>
      <c r="J143" s="1312"/>
      <c r="K143" s="480"/>
      <c r="L143" s="482"/>
      <c r="N143" s="147" t="s">
        <v>27</v>
      </c>
      <c r="Q143" s="412" t="s">
        <v>1686</v>
      </c>
      <c r="R143" s="412" t="s">
        <v>1686</v>
      </c>
      <c r="S143" s="423"/>
      <c r="W143" s="412"/>
      <c r="X143" s="412"/>
      <c r="Y143" s="412"/>
      <c r="AP143" s="412"/>
      <c r="AQ143" s="412"/>
    </row>
    <row r="144" spans="1:43" ht="12.75" thickBot="1" x14ac:dyDescent="0.25">
      <c r="A144" s="163"/>
      <c r="G144" s="412"/>
      <c r="I144" s="1312"/>
      <c r="J144" s="1312"/>
      <c r="K144" s="224"/>
      <c r="L144" s="482"/>
      <c r="Q144" s="412" t="s">
        <v>1686</v>
      </c>
      <c r="R144" s="412" t="s">
        <v>1686</v>
      </c>
      <c r="S144" s="423"/>
      <c r="W144" s="412"/>
      <c r="X144" s="412"/>
      <c r="Y144" s="412"/>
      <c r="AH144" s="412" t="s">
        <v>1085</v>
      </c>
      <c r="AP144" s="412"/>
      <c r="AQ144" s="412"/>
    </row>
    <row r="145" spans="2:43" ht="14.25" thickTop="1" x14ac:dyDescent="0.25">
      <c r="F145" s="426"/>
      <c r="G145" s="2531" t="s">
        <v>81</v>
      </c>
      <c r="H145" s="2531"/>
      <c r="I145" s="1312"/>
      <c r="J145" s="1312"/>
      <c r="K145" s="224"/>
      <c r="L145" s="482"/>
      <c r="P145" s="426"/>
      <c r="Q145" s="2531" t="s">
        <v>81</v>
      </c>
      <c r="R145" s="2531"/>
      <c r="S145" s="148"/>
      <c r="W145" s="412"/>
      <c r="X145" s="412"/>
      <c r="Y145" s="412"/>
      <c r="AP145" s="412"/>
      <c r="AQ145" s="412"/>
    </row>
    <row r="146" spans="2:43" x14ac:dyDescent="0.2">
      <c r="F146" s="427"/>
      <c r="G146" s="483">
        <v>2003</v>
      </c>
      <c r="H146" s="483" t="s">
        <v>205</v>
      </c>
      <c r="I146" s="1312"/>
      <c r="J146" s="1312"/>
      <c r="K146" s="224"/>
      <c r="L146" s="482"/>
      <c r="P146" s="427"/>
      <c r="Q146" s="483">
        <v>2003</v>
      </c>
      <c r="R146" s="483" t="s">
        <v>205</v>
      </c>
      <c r="S146" s="148"/>
      <c r="W146" s="412"/>
      <c r="X146" s="412"/>
      <c r="Y146" s="412"/>
      <c r="AP146" s="412"/>
      <c r="AQ146" s="412"/>
    </row>
    <row r="147" spans="2:43" x14ac:dyDescent="0.2">
      <c r="F147" s="510" t="s">
        <v>797</v>
      </c>
      <c r="G147" s="1080">
        <v>2001481.2703278386</v>
      </c>
      <c r="H147" s="1080">
        <v>2278281.9927048925</v>
      </c>
      <c r="I147" s="1312">
        <v>-4</v>
      </c>
      <c r="J147" s="1312">
        <v>-4</v>
      </c>
      <c r="K147" s="224"/>
      <c r="L147" s="482"/>
      <c r="P147" s="493" t="s">
        <v>797</v>
      </c>
      <c r="Q147" s="502">
        <v>2000000</v>
      </c>
      <c r="R147" s="502">
        <v>2280000</v>
      </c>
      <c r="S147" s="148"/>
      <c r="W147" s="412"/>
      <c r="X147" s="412"/>
      <c r="Y147" s="412"/>
      <c r="AP147" s="412"/>
      <c r="AQ147" s="412"/>
    </row>
    <row r="148" spans="2:43" x14ac:dyDescent="0.2">
      <c r="F148" s="510" t="s">
        <v>801</v>
      </c>
      <c r="G148" s="1080"/>
      <c r="H148" s="1080"/>
      <c r="I148" s="1312">
        <v>0</v>
      </c>
      <c r="J148" s="1312">
        <v>0</v>
      </c>
      <c r="K148" s="224"/>
      <c r="L148" s="482"/>
      <c r="P148" s="148" t="s">
        <v>801</v>
      </c>
      <c r="Q148" s="502" t="s">
        <v>1686</v>
      </c>
      <c r="R148" s="502" t="s">
        <v>1686</v>
      </c>
      <c r="S148" s="148"/>
      <c r="W148" s="412"/>
      <c r="X148" s="412"/>
      <c r="Y148" s="412"/>
      <c r="AP148" s="412"/>
      <c r="AQ148" s="412"/>
    </row>
    <row r="149" spans="2:43" x14ac:dyDescent="0.2">
      <c r="F149" s="513" t="s">
        <v>214</v>
      </c>
      <c r="G149" s="1080">
        <v>831954.80783429567</v>
      </c>
      <c r="H149" s="1080">
        <v>952343.16711714945</v>
      </c>
      <c r="I149" s="1312">
        <v>-3</v>
      </c>
      <c r="J149" s="1312">
        <v>-3</v>
      </c>
      <c r="K149" s="480"/>
      <c r="L149" s="482"/>
      <c r="P149" s="486" t="s">
        <v>214</v>
      </c>
      <c r="Q149" s="485">
        <v>832000</v>
      </c>
      <c r="R149" s="485">
        <v>952000</v>
      </c>
      <c r="S149" s="486"/>
      <c r="W149" s="412"/>
      <c r="X149" s="412"/>
      <c r="Y149" s="412"/>
      <c r="AP149" s="412"/>
      <c r="AQ149" s="412"/>
    </row>
    <row r="150" spans="2:43" x14ac:dyDescent="0.2">
      <c r="F150" s="513" t="s">
        <v>37</v>
      </c>
      <c r="G150" s="1080">
        <v>208780.99475738493</v>
      </c>
      <c r="H150" s="1080">
        <v>227202.69931051467</v>
      </c>
      <c r="I150" s="1312">
        <v>-3</v>
      </c>
      <c r="J150" s="1312">
        <v>-3</v>
      </c>
      <c r="K150" s="480"/>
      <c r="L150" s="482"/>
      <c r="P150" s="486" t="s">
        <v>37</v>
      </c>
      <c r="Q150" s="485">
        <v>209000</v>
      </c>
      <c r="R150" s="485">
        <v>227000</v>
      </c>
      <c r="S150" s="486"/>
      <c r="W150" s="412"/>
      <c r="X150" s="412"/>
      <c r="Y150" s="412"/>
      <c r="AP150" s="412"/>
      <c r="AQ150" s="412"/>
    </row>
    <row r="151" spans="2:43" x14ac:dyDescent="0.2">
      <c r="F151" s="512" t="s">
        <v>68</v>
      </c>
      <c r="G151" s="1080"/>
      <c r="H151" s="1080"/>
      <c r="I151" s="1312">
        <v>0</v>
      </c>
      <c r="J151" s="1312">
        <v>0</v>
      </c>
      <c r="K151" s="480"/>
      <c r="L151" s="482"/>
      <c r="P151" s="486"/>
      <c r="Q151" s="485" t="s">
        <v>1686</v>
      </c>
      <c r="R151" s="485" t="s">
        <v>1686</v>
      </c>
      <c r="S151" s="486"/>
      <c r="W151" s="412"/>
      <c r="X151" s="412"/>
      <c r="Y151" s="412"/>
      <c r="AP151" s="412"/>
      <c r="AQ151" s="412"/>
    </row>
    <row r="152" spans="2:43" x14ac:dyDescent="0.2">
      <c r="F152" s="513" t="s">
        <v>823</v>
      </c>
      <c r="G152" s="1080">
        <v>100784.79525989</v>
      </c>
      <c r="H152" s="1080">
        <v>109403.74801667969</v>
      </c>
      <c r="I152" s="1312">
        <v>-3</v>
      </c>
      <c r="J152" s="1312">
        <v>-3</v>
      </c>
      <c r="K152" s="480"/>
      <c r="L152" s="482"/>
      <c r="P152" s="486" t="s">
        <v>823</v>
      </c>
      <c r="Q152" s="485">
        <v>101000</v>
      </c>
      <c r="R152" s="485">
        <v>109000</v>
      </c>
      <c r="S152" s="486"/>
      <c r="W152" s="412"/>
      <c r="X152" s="412"/>
      <c r="Y152" s="412"/>
      <c r="AP152" s="412"/>
      <c r="AQ152" s="412"/>
    </row>
    <row r="153" spans="2:43" x14ac:dyDescent="0.2">
      <c r="F153" s="513" t="s">
        <v>824</v>
      </c>
      <c r="G153" s="1080">
        <v>229882.68359006301</v>
      </c>
      <c r="H153" s="1080">
        <v>249541.87905062389</v>
      </c>
      <c r="I153" s="1312">
        <v>-3</v>
      </c>
      <c r="J153" s="1312">
        <v>-3</v>
      </c>
      <c r="K153" s="224"/>
      <c r="L153" s="482"/>
      <c r="P153" s="486" t="s">
        <v>824</v>
      </c>
      <c r="Q153" s="485">
        <v>230000</v>
      </c>
      <c r="R153" s="485">
        <v>250000</v>
      </c>
      <c r="S153" s="486"/>
      <c r="W153" s="412"/>
      <c r="X153" s="412"/>
      <c r="Y153" s="412"/>
      <c r="AP153" s="412"/>
      <c r="AQ153" s="412"/>
    </row>
    <row r="154" spans="2:43" x14ac:dyDescent="0.2">
      <c r="F154" s="515" t="s">
        <v>820</v>
      </c>
      <c r="G154" s="1081">
        <v>10500.932440345654</v>
      </c>
      <c r="H154" s="1081">
        <v>11398.955206301494</v>
      </c>
      <c r="I154" s="1312">
        <v>-2</v>
      </c>
      <c r="J154" s="1312">
        <v>-2</v>
      </c>
      <c r="K154" s="224"/>
      <c r="L154" s="482"/>
      <c r="P154" s="517" t="s">
        <v>820</v>
      </c>
      <c r="Q154" s="516">
        <v>10500</v>
      </c>
      <c r="R154" s="516">
        <v>11400</v>
      </c>
      <c r="S154" s="517"/>
      <c r="W154" s="412"/>
      <c r="X154" s="412"/>
      <c r="Y154" s="412"/>
      <c r="AP154" s="412"/>
      <c r="AQ154" s="412"/>
    </row>
    <row r="155" spans="2:43" x14ac:dyDescent="0.2">
      <c r="F155" s="515" t="s">
        <v>821</v>
      </c>
      <c r="G155" s="1081">
        <v>36325.163697133365</v>
      </c>
      <c r="H155" s="1081">
        <v>39431.632971401414</v>
      </c>
      <c r="I155" s="1312">
        <v>-2</v>
      </c>
      <c r="J155" s="1312">
        <v>-2</v>
      </c>
      <c r="K155" s="224"/>
      <c r="L155" s="482"/>
      <c r="P155" s="517" t="s">
        <v>821</v>
      </c>
      <c r="Q155" s="516">
        <v>36300</v>
      </c>
      <c r="R155" s="516">
        <v>39400</v>
      </c>
      <c r="S155" s="517"/>
      <c r="W155" s="412"/>
      <c r="X155" s="412"/>
      <c r="Y155" s="412"/>
      <c r="AP155" s="412"/>
      <c r="AQ155" s="412"/>
    </row>
    <row r="156" spans="2:43" x14ac:dyDescent="0.2">
      <c r="F156" s="518" t="s">
        <v>148</v>
      </c>
      <c r="G156" s="1081"/>
      <c r="H156" s="1081"/>
      <c r="I156" s="1312">
        <v>0</v>
      </c>
      <c r="J156" s="1312">
        <v>0</v>
      </c>
      <c r="K156" s="487"/>
      <c r="L156" s="482"/>
      <c r="P156" s="155" t="s">
        <v>148</v>
      </c>
      <c r="Q156" s="495" t="s">
        <v>1686</v>
      </c>
      <c r="R156" s="495" t="s">
        <v>1686</v>
      </c>
      <c r="S156" s="155"/>
      <c r="W156" s="412"/>
      <c r="X156" s="412"/>
      <c r="Y156" s="412"/>
      <c r="AP156" s="412"/>
      <c r="AQ156" s="412"/>
    </row>
    <row r="157" spans="2:43" x14ac:dyDescent="0.2">
      <c r="F157" s="515" t="s">
        <v>214</v>
      </c>
      <c r="G157" s="1081">
        <v>160081.15402892014</v>
      </c>
      <c r="H157" s="1081">
        <v>176252.8617572583</v>
      </c>
      <c r="I157" s="1312">
        <v>-3</v>
      </c>
      <c r="J157" s="1312">
        <v>-3</v>
      </c>
      <c r="K157" s="224"/>
      <c r="L157" s="482"/>
      <c r="P157" s="517" t="s">
        <v>214</v>
      </c>
      <c r="Q157" s="516">
        <v>160000</v>
      </c>
      <c r="R157" s="516">
        <v>176000</v>
      </c>
      <c r="S157" s="517"/>
      <c r="W157" s="412"/>
      <c r="X157" s="412"/>
      <c r="Y157" s="412"/>
      <c r="AP157" s="412"/>
      <c r="AQ157" s="412"/>
    </row>
    <row r="158" spans="2:43" x14ac:dyDescent="0.2">
      <c r="F158" s="515" t="s">
        <v>822</v>
      </c>
      <c r="G158" s="1082">
        <v>0</v>
      </c>
      <c r="H158" s="1082">
        <v>551.97471080411503</v>
      </c>
      <c r="I158" s="1312">
        <v>0</v>
      </c>
      <c r="J158" s="1312">
        <v>0</v>
      </c>
      <c r="K158" s="480"/>
      <c r="L158" s="482"/>
      <c r="P158" s="517" t="s">
        <v>822</v>
      </c>
      <c r="Q158" s="519">
        <v>0</v>
      </c>
      <c r="R158" s="519">
        <v>552</v>
      </c>
      <c r="S158" s="517"/>
      <c r="W158" s="412"/>
      <c r="X158" s="412"/>
      <c r="Y158" s="412"/>
      <c r="AP158" s="412"/>
      <c r="AQ158" s="412"/>
    </row>
    <row r="159" spans="2:43" ht="12.75" thickBot="1" x14ac:dyDescent="0.25">
      <c r="F159" s="428" t="s">
        <v>819</v>
      </c>
      <c r="G159" s="1085">
        <v>3579791.8019358711</v>
      </c>
      <c r="H159" s="1085">
        <v>4044408.9108456257</v>
      </c>
      <c r="I159" s="1312">
        <v>-4</v>
      </c>
      <c r="J159" s="1312">
        <v>-4</v>
      </c>
      <c r="K159" s="480"/>
      <c r="L159" s="482"/>
      <c r="P159" s="173" t="s">
        <v>819</v>
      </c>
      <c r="Q159" s="514">
        <v>3580000</v>
      </c>
      <c r="R159" s="514">
        <v>4040000</v>
      </c>
      <c r="S159" s="148"/>
      <c r="W159" s="412"/>
      <c r="X159" s="412"/>
      <c r="Y159" s="412"/>
      <c r="AP159" s="412"/>
      <c r="AQ159" s="412"/>
    </row>
    <row r="160" spans="2:43" ht="12.75" thickTop="1" x14ac:dyDescent="0.2">
      <c r="B160" s="491"/>
      <c r="D160" s="491"/>
      <c r="E160" s="491"/>
      <c r="F160" s="491"/>
      <c r="G160" s="757" t="b">
        <v>1</v>
      </c>
      <c r="H160" s="757" t="b">
        <v>1</v>
      </c>
      <c r="I160" s="1312"/>
      <c r="J160" s="1312"/>
      <c r="K160" s="480"/>
      <c r="L160" s="482"/>
      <c r="O160" s="491"/>
      <c r="P160" s="491"/>
      <c r="Q160" s="491"/>
      <c r="R160" s="491"/>
      <c r="S160" s="520"/>
      <c r="W160" s="412"/>
      <c r="X160" s="412"/>
      <c r="Y160" s="412"/>
      <c r="AP160" s="412"/>
      <c r="AQ160" s="412"/>
    </row>
    <row r="161" spans="1:43" x14ac:dyDescent="0.2">
      <c r="A161" s="147" t="s">
        <v>796</v>
      </c>
      <c r="B161" s="76"/>
      <c r="C161" s="76"/>
      <c r="D161" s="76"/>
      <c r="E161" s="76"/>
      <c r="F161" s="76"/>
      <c r="G161" s="412"/>
      <c r="I161" s="1312"/>
      <c r="J161" s="1312"/>
      <c r="K161" s="480"/>
      <c r="L161" s="482"/>
      <c r="N161" s="147" t="s">
        <v>796</v>
      </c>
      <c r="O161" s="491"/>
      <c r="Q161" s="412" t="s">
        <v>1686</v>
      </c>
      <c r="R161" s="412" t="s">
        <v>1686</v>
      </c>
      <c r="S161" s="423"/>
      <c r="W161" s="412"/>
      <c r="X161" s="412"/>
      <c r="Y161" s="412"/>
      <c r="AP161" s="412"/>
      <c r="AQ161" s="412"/>
    </row>
    <row r="162" spans="1:43" ht="12.75" thickBot="1" x14ac:dyDescent="0.25">
      <c r="A162" s="163"/>
      <c r="G162" s="412"/>
      <c r="I162" s="1312"/>
      <c r="J162" s="1312"/>
      <c r="K162" s="224"/>
      <c r="L162" s="482"/>
      <c r="O162" s="76"/>
      <c r="Q162" s="412" t="s">
        <v>1686</v>
      </c>
      <c r="R162" s="412" t="s">
        <v>1686</v>
      </c>
      <c r="S162" s="423"/>
      <c r="W162" s="412"/>
      <c r="X162" s="412"/>
      <c r="Y162" s="412"/>
      <c r="AH162" s="412" t="s">
        <v>1085</v>
      </c>
      <c r="AP162" s="412"/>
      <c r="AQ162" s="412"/>
    </row>
    <row r="163" spans="1:43" ht="14.25" thickTop="1" x14ac:dyDescent="0.25">
      <c r="F163" s="426"/>
      <c r="G163" s="2531" t="s">
        <v>81</v>
      </c>
      <c r="H163" s="2531"/>
      <c r="I163" s="1312"/>
      <c r="J163" s="1312"/>
      <c r="K163" s="224"/>
      <c r="L163" s="482"/>
      <c r="N163" s="163"/>
      <c r="P163" s="426"/>
      <c r="Q163" s="2531" t="s">
        <v>81</v>
      </c>
      <c r="R163" s="2531"/>
      <c r="S163" s="148"/>
      <c r="W163" s="412"/>
      <c r="X163" s="412"/>
      <c r="Y163" s="412"/>
      <c r="AP163" s="412"/>
      <c r="AQ163" s="412"/>
    </row>
    <row r="164" spans="1:43" x14ac:dyDescent="0.2">
      <c r="F164" s="427"/>
      <c r="G164" s="483">
        <v>2003</v>
      </c>
      <c r="H164" s="483" t="s">
        <v>205</v>
      </c>
      <c r="I164" s="1312"/>
      <c r="J164" s="1312"/>
      <c r="K164" s="224"/>
      <c r="L164" s="482"/>
      <c r="P164" s="427"/>
      <c r="Q164" s="483">
        <v>2003</v>
      </c>
      <c r="R164" s="483" t="s">
        <v>205</v>
      </c>
      <c r="S164" s="148"/>
      <c r="W164" s="412"/>
      <c r="X164" s="412"/>
      <c r="Y164" s="412"/>
      <c r="AP164" s="412"/>
      <c r="AQ164" s="412"/>
    </row>
    <row r="165" spans="1:43" x14ac:dyDescent="0.2">
      <c r="F165" s="510" t="s">
        <v>797</v>
      </c>
      <c r="G165" s="1075">
        <v>534708.13401730801</v>
      </c>
      <c r="H165" s="1075">
        <v>503629.9844031235</v>
      </c>
      <c r="I165" s="1312">
        <v>-3</v>
      </c>
      <c r="J165" s="1312">
        <v>-3</v>
      </c>
      <c r="K165" s="487"/>
      <c r="L165" s="482"/>
      <c r="P165" s="493" t="s">
        <v>797</v>
      </c>
      <c r="Q165" s="502">
        <v>535000</v>
      </c>
      <c r="R165" s="502">
        <v>504000</v>
      </c>
      <c r="S165" s="148"/>
      <c r="W165" s="412"/>
      <c r="X165" s="412"/>
      <c r="Y165" s="412"/>
      <c r="AP165" s="412"/>
      <c r="AQ165" s="412"/>
    </row>
    <row r="166" spans="1:43" x14ac:dyDescent="0.2">
      <c r="F166" s="510" t="s">
        <v>832</v>
      </c>
      <c r="G166" s="1075"/>
      <c r="H166" s="1075"/>
      <c r="I166" s="1312">
        <v>0</v>
      </c>
      <c r="J166" s="1312">
        <v>0</v>
      </c>
      <c r="K166" s="224"/>
      <c r="L166" s="482"/>
      <c r="P166" s="148" t="s">
        <v>832</v>
      </c>
      <c r="Q166" s="502" t="s">
        <v>1686</v>
      </c>
      <c r="R166" s="502" t="s">
        <v>1686</v>
      </c>
      <c r="S166" s="148"/>
      <c r="W166" s="412"/>
      <c r="X166" s="412"/>
      <c r="Y166" s="412"/>
      <c r="AP166" s="412"/>
      <c r="AQ166" s="412"/>
    </row>
    <row r="167" spans="1:43" x14ac:dyDescent="0.2">
      <c r="F167" s="513" t="s">
        <v>173</v>
      </c>
      <c r="G167" s="1075">
        <v>524162.0912656599</v>
      </c>
      <c r="H167" s="1075">
        <v>510643.34432334267</v>
      </c>
      <c r="I167" s="1312">
        <v>-3</v>
      </c>
      <c r="J167" s="1312">
        <v>-3</v>
      </c>
      <c r="K167" s="480"/>
      <c r="L167" s="482"/>
      <c r="P167" s="486" t="s">
        <v>173</v>
      </c>
      <c r="Q167" s="485">
        <v>524000</v>
      </c>
      <c r="R167" s="485">
        <v>511000</v>
      </c>
      <c r="S167" s="486"/>
      <c r="W167" s="412"/>
      <c r="X167" s="412"/>
      <c r="Y167" s="412"/>
      <c r="AP167" s="412"/>
      <c r="AQ167" s="412"/>
    </row>
    <row r="168" spans="1:43" x14ac:dyDescent="0.2">
      <c r="F168" s="513" t="s">
        <v>37</v>
      </c>
      <c r="G168" s="1075">
        <v>89059.205223995261</v>
      </c>
      <c r="H168" s="1075">
        <v>1198922.2301042632</v>
      </c>
      <c r="I168" s="1312">
        <v>-2</v>
      </c>
      <c r="J168" s="1312">
        <v>-4</v>
      </c>
      <c r="K168" s="480"/>
      <c r="L168" s="482"/>
      <c r="P168" s="486" t="s">
        <v>37</v>
      </c>
      <c r="Q168" s="485">
        <v>89100</v>
      </c>
      <c r="R168" s="485">
        <v>1200000</v>
      </c>
      <c r="S168" s="486"/>
      <c r="W168" s="412"/>
      <c r="X168" s="412"/>
      <c r="Y168" s="412"/>
      <c r="AP168" s="412"/>
      <c r="AQ168" s="412"/>
    </row>
    <row r="169" spans="1:43" x14ac:dyDescent="0.2">
      <c r="F169" s="512" t="s">
        <v>842</v>
      </c>
      <c r="G169" s="1075"/>
      <c r="H169" s="1075"/>
      <c r="I169" s="1312">
        <v>0</v>
      </c>
      <c r="J169" s="1312">
        <v>0</v>
      </c>
      <c r="K169" s="480"/>
      <c r="L169" s="482"/>
      <c r="P169" s="486"/>
      <c r="Q169" s="485" t="s">
        <v>1686</v>
      </c>
      <c r="R169" s="485" t="s">
        <v>1686</v>
      </c>
      <c r="S169" s="486"/>
      <c r="W169" s="412"/>
      <c r="X169" s="412"/>
      <c r="Y169" s="412"/>
      <c r="AP169" s="412"/>
      <c r="AQ169" s="412"/>
    </row>
    <row r="170" spans="1:43" x14ac:dyDescent="0.2">
      <c r="F170" s="513" t="s">
        <v>213</v>
      </c>
      <c r="G170" s="1075">
        <v>560202.29937735747</v>
      </c>
      <c r="H170" s="1075">
        <v>608109.89436852338</v>
      </c>
      <c r="I170" s="1312">
        <v>-3</v>
      </c>
      <c r="J170" s="1312">
        <v>-3</v>
      </c>
      <c r="K170" s="480"/>
      <c r="L170" s="482"/>
      <c r="P170" s="486" t="s">
        <v>213</v>
      </c>
      <c r="Q170" s="485">
        <v>560000</v>
      </c>
      <c r="R170" s="485">
        <v>608000</v>
      </c>
      <c r="S170" s="486"/>
      <c r="W170" s="412"/>
      <c r="X170" s="412"/>
      <c r="Y170" s="412"/>
      <c r="AP170" s="412"/>
      <c r="AQ170" s="412"/>
    </row>
    <row r="171" spans="1:43" x14ac:dyDescent="0.2">
      <c r="F171" s="513" t="s">
        <v>212</v>
      </c>
      <c r="G171" s="1075">
        <v>14877.041433345628</v>
      </c>
      <c r="H171" s="1075">
        <v>16149.301965742017</v>
      </c>
      <c r="I171" s="1312">
        <v>-2</v>
      </c>
      <c r="J171" s="1312">
        <v>-2</v>
      </c>
      <c r="K171" s="480"/>
      <c r="L171" s="482"/>
      <c r="P171" s="486" t="s">
        <v>212</v>
      </c>
      <c r="Q171" s="485">
        <v>14900</v>
      </c>
      <c r="R171" s="485">
        <v>16100</v>
      </c>
      <c r="S171" s="486"/>
      <c r="W171" s="412"/>
      <c r="X171" s="412"/>
      <c r="Y171" s="412"/>
      <c r="AP171" s="412"/>
      <c r="AQ171" s="412"/>
    </row>
    <row r="172" spans="1:43" x14ac:dyDescent="0.2">
      <c r="F172" s="515" t="s">
        <v>316</v>
      </c>
      <c r="G172" s="1087">
        <v>96649.941697402654</v>
      </c>
      <c r="H172" s="1087">
        <v>104915.28846214342</v>
      </c>
      <c r="I172" s="1312">
        <v>-2</v>
      </c>
      <c r="J172" s="1312">
        <v>-3</v>
      </c>
      <c r="K172" s="480"/>
      <c r="L172" s="482"/>
      <c r="P172" s="486" t="s">
        <v>316</v>
      </c>
      <c r="Q172" s="516">
        <v>96600</v>
      </c>
      <c r="R172" s="516">
        <v>105000</v>
      </c>
      <c r="S172" s="517"/>
      <c r="W172" s="412"/>
      <c r="X172" s="412"/>
      <c r="Y172" s="412"/>
      <c r="AP172" s="412"/>
      <c r="AQ172" s="412"/>
    </row>
    <row r="173" spans="1:43" x14ac:dyDescent="0.2">
      <c r="F173" s="521" t="s">
        <v>378</v>
      </c>
      <c r="G173" s="1088">
        <v>47729.205888466466</v>
      </c>
      <c r="H173" s="1088">
        <v>51810.930414581555</v>
      </c>
      <c r="I173" s="1312">
        <v>-2</v>
      </c>
      <c r="J173" s="1312">
        <v>-2</v>
      </c>
      <c r="K173" s="480"/>
      <c r="L173" s="482"/>
      <c r="P173" s="517" t="s">
        <v>378</v>
      </c>
      <c r="Q173" s="519">
        <v>47700</v>
      </c>
      <c r="R173" s="519">
        <v>51800</v>
      </c>
      <c r="S173" s="522"/>
      <c r="W173" s="412"/>
      <c r="X173" s="412"/>
      <c r="Y173" s="412"/>
      <c r="AP173" s="412"/>
      <c r="AQ173" s="412"/>
    </row>
    <row r="174" spans="1:43" ht="12.75" thickBot="1" x14ac:dyDescent="0.25">
      <c r="F174" s="430" t="s">
        <v>819</v>
      </c>
      <c r="G174" s="1089">
        <v>1867387.9189035355</v>
      </c>
      <c r="H174" s="1089">
        <v>2994180.9740417195</v>
      </c>
      <c r="I174" s="1312">
        <v>-4</v>
      </c>
      <c r="J174" s="1312">
        <v>-4</v>
      </c>
      <c r="K174" s="480"/>
      <c r="L174" s="482"/>
      <c r="P174" s="173" t="s">
        <v>819</v>
      </c>
      <c r="Q174" s="523">
        <v>1870000</v>
      </c>
      <c r="R174" s="523">
        <v>2990000</v>
      </c>
      <c r="S174" s="155"/>
      <c r="W174" s="412"/>
      <c r="X174" s="412"/>
      <c r="Y174" s="412"/>
      <c r="AP174" s="412"/>
      <c r="AQ174" s="412"/>
    </row>
    <row r="175" spans="1:43" ht="12.75" thickTop="1" x14ac:dyDescent="0.2">
      <c r="A175" s="163"/>
      <c r="F175" s="491"/>
      <c r="G175" s="757" t="b">
        <v>1</v>
      </c>
      <c r="H175" s="757" t="b">
        <v>1</v>
      </c>
      <c r="I175" s="1317"/>
      <c r="K175" s="224"/>
      <c r="L175" s="482"/>
      <c r="P175" s="491"/>
      <c r="Q175" s="491"/>
      <c r="R175" s="491"/>
      <c r="S175" s="520"/>
      <c r="W175" s="412"/>
      <c r="X175" s="412"/>
      <c r="Y175" s="412"/>
      <c r="AP175" s="412"/>
      <c r="AQ175" s="412"/>
    </row>
    <row r="176" spans="1:43" x14ac:dyDescent="0.2">
      <c r="G176" s="700"/>
      <c r="I176" s="1317"/>
      <c r="K176" s="224"/>
      <c r="L176" s="482"/>
      <c r="N176" s="163"/>
      <c r="W176" s="412"/>
      <c r="X176" s="412"/>
      <c r="Y176" s="412"/>
      <c r="AP176" s="412"/>
      <c r="AQ176" s="412"/>
    </row>
    <row r="177" spans="1:229" s="711" customFormat="1" x14ac:dyDescent="0.2">
      <c r="A177" s="707" t="s">
        <v>800</v>
      </c>
      <c r="B177" s="708"/>
      <c r="C177" s="708"/>
      <c r="D177" s="708"/>
      <c r="E177" s="708"/>
      <c r="F177" s="709"/>
      <c r="G177" s="708"/>
      <c r="H177" s="708"/>
      <c r="I177" s="1321"/>
      <c r="J177" s="1321"/>
      <c r="K177" s="705"/>
      <c r="L177" s="705"/>
      <c r="M177" s="705"/>
      <c r="N177" s="705"/>
      <c r="O177" s="705"/>
      <c r="P177" s="705"/>
      <c r="Q177" s="705"/>
      <c r="R177" s="705"/>
      <c r="S177" s="707"/>
      <c r="T177" s="708"/>
      <c r="U177" s="709"/>
      <c r="V177" s="708"/>
      <c r="W177" s="708"/>
      <c r="X177" s="705"/>
      <c r="Y177" s="705"/>
      <c r="Z177" s="705"/>
      <c r="AA177" s="705"/>
      <c r="AB177" s="705"/>
      <c r="AC177" s="705"/>
      <c r="AD177" s="708"/>
      <c r="AE177" s="708"/>
      <c r="AF177" s="705"/>
      <c r="AG177" s="705"/>
      <c r="AH177" s="705"/>
      <c r="AI177" s="705"/>
      <c r="AJ177" s="708"/>
      <c r="AK177" s="708"/>
      <c r="AL177" s="705"/>
      <c r="AM177" s="705"/>
      <c r="AN177" s="705"/>
      <c r="AO177" s="705"/>
      <c r="AP177" s="705"/>
      <c r="AQ177" s="705"/>
      <c r="AR177" s="707" t="s">
        <v>800</v>
      </c>
      <c r="AS177" s="705"/>
      <c r="AT177" s="705"/>
      <c r="AU177" s="705"/>
      <c r="AV177" s="705"/>
      <c r="AW177" s="705"/>
      <c r="AX177" s="705"/>
      <c r="AY177" s="705"/>
      <c r="AZ177" s="705"/>
      <c r="BA177" s="705"/>
      <c r="BB177" s="707"/>
      <c r="BC177" s="708"/>
      <c r="BD177" s="708"/>
      <c r="BE177" s="708"/>
      <c r="BF177" s="708"/>
      <c r="BG177" s="709"/>
      <c r="BH177" s="708"/>
      <c r="BI177" s="708"/>
      <c r="BJ177" s="705"/>
      <c r="BK177" s="705"/>
      <c r="BL177" s="705"/>
      <c r="BM177" s="705"/>
      <c r="BN177" s="705"/>
      <c r="BO177" s="705"/>
      <c r="BP177" s="705"/>
      <c r="BQ177" s="707"/>
      <c r="BR177" s="708"/>
      <c r="BS177" s="708"/>
      <c r="BT177" s="708"/>
      <c r="BU177" s="708"/>
      <c r="BV177" s="709"/>
      <c r="BW177" s="708"/>
      <c r="BX177" s="708"/>
      <c r="BY177" s="705"/>
      <c r="BZ177" s="705"/>
      <c r="CA177" s="705"/>
      <c r="CB177" s="705"/>
      <c r="CC177" s="705"/>
      <c r="CD177" s="705"/>
      <c r="CE177" s="705"/>
      <c r="CF177" s="705"/>
      <c r="CG177" s="705"/>
      <c r="CH177" s="705"/>
      <c r="CI177" s="705"/>
      <c r="CJ177" s="707"/>
      <c r="CK177" s="708"/>
      <c r="CL177" s="708"/>
      <c r="CM177" s="708"/>
      <c r="CN177" s="708"/>
      <c r="CO177" s="709"/>
      <c r="CP177" s="708"/>
      <c r="CQ177" s="708"/>
      <c r="CR177" s="705"/>
      <c r="CS177" s="705"/>
      <c r="CT177" s="705"/>
      <c r="CU177" s="705"/>
      <c r="CV177" s="705"/>
      <c r="CW177" s="705"/>
      <c r="CX177" s="705"/>
      <c r="CY177" s="705"/>
      <c r="CZ177" s="705"/>
      <c r="DA177" s="705"/>
      <c r="DB177" s="705"/>
      <c r="DC177" s="707"/>
      <c r="DD177" s="708"/>
      <c r="DE177" s="708"/>
      <c r="DF177" s="708"/>
      <c r="DG177" s="708"/>
      <c r="DH177" s="709"/>
      <c r="DI177" s="708"/>
      <c r="DJ177" s="708"/>
      <c r="DK177" s="705"/>
      <c r="DL177" s="705"/>
      <c r="DM177" s="705"/>
      <c r="DN177" s="705"/>
      <c r="DO177" s="705"/>
      <c r="DP177" s="705"/>
      <c r="DQ177" s="705"/>
      <c r="DR177" s="705"/>
      <c r="DS177" s="705"/>
      <c r="DT177" s="705"/>
      <c r="DU177" s="705"/>
      <c r="DV177" s="707"/>
      <c r="DW177" s="708"/>
      <c r="DX177" s="708"/>
      <c r="DY177" s="708"/>
      <c r="DZ177" s="708"/>
      <c r="EA177" s="709"/>
      <c r="EB177" s="708"/>
      <c r="EC177" s="708"/>
      <c r="ED177" s="705"/>
      <c r="EE177" s="705"/>
      <c r="EF177" s="705"/>
      <c r="EG177" s="705"/>
      <c r="EH177" s="705"/>
      <c r="EI177" s="705"/>
      <c r="EJ177" s="705"/>
      <c r="EK177" s="705"/>
      <c r="EL177" s="705"/>
      <c r="EM177" s="705"/>
      <c r="EN177" s="705"/>
      <c r="EO177" s="707"/>
      <c r="EP177" s="708"/>
      <c r="EQ177" s="708"/>
      <c r="ER177" s="708"/>
      <c r="ES177" s="708"/>
      <c r="ET177" s="709"/>
      <c r="EU177" s="708"/>
      <c r="EV177" s="708"/>
      <c r="EW177" s="705"/>
      <c r="EX177" s="705"/>
      <c r="EY177" s="705"/>
      <c r="EZ177" s="705"/>
      <c r="FA177" s="705"/>
      <c r="FB177" s="705"/>
      <c r="FC177" s="705"/>
      <c r="FD177" s="705"/>
      <c r="FE177" s="705"/>
      <c r="FF177" s="705"/>
      <c r="FG177" s="705"/>
      <c r="FH177" s="707"/>
      <c r="FI177" s="708"/>
      <c r="FJ177" s="708"/>
      <c r="FK177" s="708"/>
      <c r="FL177" s="708"/>
      <c r="FM177" s="709"/>
      <c r="FN177" s="708"/>
      <c r="FO177" s="708"/>
      <c r="FP177" s="705"/>
      <c r="FQ177" s="705"/>
      <c r="FR177" s="705"/>
      <c r="FS177" s="705"/>
      <c r="FT177" s="705"/>
      <c r="FU177" s="705"/>
      <c r="FV177" s="705"/>
      <c r="FW177" s="705"/>
      <c r="FX177" s="705"/>
      <c r="FY177" s="705"/>
      <c r="FZ177" s="705"/>
      <c r="GA177" s="707"/>
      <c r="GB177" s="708"/>
      <c r="GC177" s="708"/>
      <c r="GD177" s="708"/>
      <c r="GE177" s="708"/>
      <c r="GF177" s="709"/>
      <c r="GG177" s="708"/>
      <c r="GH177" s="708"/>
      <c r="GI177" s="705"/>
      <c r="GJ177" s="705"/>
      <c r="GK177" s="705"/>
      <c r="GL177" s="705"/>
      <c r="GM177" s="705"/>
      <c r="GN177" s="705"/>
      <c r="GO177" s="705"/>
      <c r="GP177" s="705"/>
      <c r="GQ177" s="705"/>
      <c r="GR177" s="705"/>
      <c r="GS177" s="705"/>
      <c r="GT177" s="707"/>
      <c r="GU177" s="708"/>
      <c r="GV177" s="708"/>
      <c r="GW177" s="708"/>
      <c r="GX177" s="708"/>
      <c r="GY177" s="709"/>
      <c r="GZ177" s="708"/>
      <c r="HA177" s="708"/>
      <c r="HB177" s="705"/>
      <c r="HC177" s="705"/>
      <c r="HD177" s="705"/>
      <c r="HE177" s="705"/>
      <c r="HF177" s="705"/>
      <c r="HG177" s="705"/>
      <c r="HH177" s="705"/>
      <c r="HI177" s="705"/>
      <c r="HJ177" s="705"/>
      <c r="HK177" s="705"/>
      <c r="HL177" s="705"/>
      <c r="HM177" s="707"/>
      <c r="HN177" s="708"/>
      <c r="HO177" s="708"/>
      <c r="HP177" s="708"/>
      <c r="HQ177" s="708"/>
      <c r="HR177" s="709"/>
      <c r="HS177" s="708"/>
      <c r="HT177" s="708"/>
      <c r="HU177" s="705"/>
    </row>
    <row r="178" spans="1:229" x14ac:dyDescent="0.2">
      <c r="G178" s="412"/>
      <c r="I178" s="1312"/>
      <c r="J178" s="1313"/>
      <c r="K178" s="482"/>
      <c r="W178" s="412"/>
      <c r="X178" s="412"/>
      <c r="Y178" s="412"/>
      <c r="AP178" s="412"/>
      <c r="AQ178" s="412"/>
    </row>
    <row r="179" spans="1:229" x14ac:dyDescent="0.2">
      <c r="A179" s="290" t="s">
        <v>1081</v>
      </c>
      <c r="B179" s="174"/>
      <c r="C179" s="400"/>
      <c r="D179" s="400"/>
      <c r="E179" s="75"/>
      <c r="F179" s="75"/>
      <c r="G179" s="412"/>
      <c r="I179" s="1312"/>
      <c r="J179" s="1312"/>
      <c r="K179" s="482"/>
      <c r="N179" s="290" t="s">
        <v>1081</v>
      </c>
      <c r="O179" s="174"/>
      <c r="P179" s="400"/>
      <c r="Q179" s="400"/>
      <c r="W179" s="412"/>
      <c r="X179" s="412"/>
      <c r="Y179" s="412"/>
      <c r="AH179" s="412" t="s">
        <v>1085</v>
      </c>
      <c r="AP179" s="412"/>
      <c r="AQ179" s="412"/>
    </row>
    <row r="180" spans="1:229" ht="12.75" thickBot="1" x14ac:dyDescent="0.25">
      <c r="A180" s="163"/>
      <c r="B180" s="524"/>
      <c r="G180" s="412"/>
      <c r="I180" s="1312"/>
      <c r="J180" s="1312"/>
      <c r="K180" s="482"/>
      <c r="W180" s="412"/>
      <c r="X180" s="412"/>
      <c r="Y180" s="412"/>
      <c r="AP180" s="412"/>
      <c r="AQ180" s="412"/>
    </row>
    <row r="181" spans="1:229" ht="15.75" customHeight="1" thickTop="1" x14ac:dyDescent="0.25">
      <c r="F181" s="426"/>
      <c r="G181" s="2531" t="s">
        <v>81</v>
      </c>
      <c r="H181" s="2531"/>
      <c r="I181" s="1312"/>
      <c r="J181" s="1312"/>
      <c r="K181" s="482"/>
      <c r="N181" s="499"/>
      <c r="O181" s="525"/>
      <c r="P181" s="144"/>
      <c r="Q181" s="144"/>
      <c r="R181" s="2531" t="s">
        <v>81</v>
      </c>
      <c r="S181" s="2531"/>
      <c r="W181" s="412"/>
      <c r="X181" s="412"/>
      <c r="Y181" s="412"/>
      <c r="AP181" s="412"/>
      <c r="AQ181" s="412"/>
    </row>
    <row r="182" spans="1:229" x14ac:dyDescent="0.2">
      <c r="F182" s="427"/>
      <c r="G182" s="483">
        <v>2003</v>
      </c>
      <c r="H182" s="483" t="s">
        <v>205</v>
      </c>
      <c r="I182" s="1312"/>
      <c r="J182" s="1312"/>
      <c r="K182" s="482"/>
      <c r="N182" s="423"/>
      <c r="O182" s="423"/>
      <c r="P182" s="165"/>
      <c r="Q182" s="165"/>
      <c r="R182" s="397">
        <v>2003</v>
      </c>
      <c r="S182" s="397" t="s">
        <v>205</v>
      </c>
      <c r="W182" s="412"/>
      <c r="X182" s="412"/>
      <c r="Y182" s="412"/>
      <c r="AP182" s="412"/>
      <c r="AQ182" s="412"/>
    </row>
    <row r="183" spans="1:229" x14ac:dyDescent="0.2">
      <c r="F183" s="510" t="s">
        <v>834</v>
      </c>
      <c r="G183" s="511"/>
      <c r="H183" s="511"/>
      <c r="I183" s="1312"/>
      <c r="J183" s="1312"/>
      <c r="K183" s="482"/>
      <c r="N183" s="423"/>
      <c r="O183" s="423"/>
      <c r="P183" s="148" t="s">
        <v>834</v>
      </c>
      <c r="Q183" s="510"/>
      <c r="R183" s="511"/>
      <c r="S183" s="511"/>
      <c r="W183" s="412"/>
      <c r="X183" s="412"/>
      <c r="Y183" s="412"/>
      <c r="AP183" s="412"/>
      <c r="AQ183" s="412"/>
    </row>
    <row r="184" spans="1:229" x14ac:dyDescent="0.2">
      <c r="F184" s="510" t="s">
        <v>831</v>
      </c>
      <c r="G184" s="1086"/>
      <c r="H184" s="1086"/>
      <c r="I184" s="1312"/>
      <c r="J184" s="1313"/>
      <c r="K184" s="482"/>
      <c r="N184" s="423"/>
      <c r="O184" s="423"/>
      <c r="P184" s="148" t="s">
        <v>831</v>
      </c>
      <c r="Q184" s="510"/>
      <c r="R184" s="502" t="s">
        <v>1686</v>
      </c>
      <c r="S184" s="502" t="s">
        <v>1686</v>
      </c>
      <c r="W184" s="412"/>
      <c r="X184" s="412"/>
      <c r="Y184" s="412"/>
      <c r="AP184" s="412"/>
      <c r="AQ184" s="412"/>
    </row>
    <row r="185" spans="1:229" x14ac:dyDescent="0.2">
      <c r="F185" s="513" t="s">
        <v>802</v>
      </c>
      <c r="G185" s="1086">
        <v>411380.49062961666</v>
      </c>
      <c r="H185" s="1086">
        <v>394643.51949045953</v>
      </c>
      <c r="I185" s="1312">
        <v>-3</v>
      </c>
      <c r="J185" s="1312">
        <v>-3</v>
      </c>
      <c r="K185" s="482"/>
      <c r="N185" s="423"/>
      <c r="O185" s="423"/>
      <c r="P185" s="486" t="s">
        <v>802</v>
      </c>
      <c r="Q185" s="513"/>
      <c r="R185" s="485">
        <v>411000</v>
      </c>
      <c r="S185" s="485">
        <v>395000</v>
      </c>
      <c r="W185" s="412"/>
      <c r="X185" s="412"/>
      <c r="Y185" s="412"/>
      <c r="AP185" s="412"/>
      <c r="AQ185" s="412"/>
    </row>
    <row r="186" spans="1:229" x14ac:dyDescent="0.2">
      <c r="F186" s="513" t="s">
        <v>71</v>
      </c>
      <c r="G186" s="1086">
        <v>286186.18622956501</v>
      </c>
      <c r="H186" s="1086">
        <v>337941.17712677934</v>
      </c>
      <c r="I186" s="1312">
        <v>-3</v>
      </c>
      <c r="J186" s="1312">
        <v>-3</v>
      </c>
      <c r="K186" s="482"/>
      <c r="N186" s="423"/>
      <c r="O186" s="423"/>
      <c r="P186" s="486" t="s">
        <v>71</v>
      </c>
      <c r="Q186" s="513"/>
      <c r="R186" s="485">
        <v>286000</v>
      </c>
      <c r="S186" s="485">
        <v>338000</v>
      </c>
      <c r="W186" s="412"/>
      <c r="X186" s="412"/>
      <c r="Y186" s="412"/>
      <c r="AP186" s="412"/>
      <c r="AQ186" s="412"/>
    </row>
    <row r="187" spans="1:229" ht="11.25" customHeight="1" x14ac:dyDescent="0.2">
      <c r="F187" s="513" t="s">
        <v>827</v>
      </c>
      <c r="G187" s="1090">
        <v>17013.932732676825</v>
      </c>
      <c r="H187" s="1090">
        <v>17128.298879999998</v>
      </c>
      <c r="I187" s="1312">
        <v>-2</v>
      </c>
      <c r="J187" s="1312">
        <v>-2</v>
      </c>
      <c r="K187" s="482"/>
      <c r="N187" s="423"/>
      <c r="O187" s="423"/>
      <c r="P187" s="486" t="s">
        <v>827</v>
      </c>
      <c r="Q187" s="513"/>
      <c r="R187" s="485">
        <v>17000</v>
      </c>
      <c r="S187" s="485">
        <v>17100</v>
      </c>
      <c r="W187" s="412"/>
      <c r="X187" s="412"/>
      <c r="Y187" s="412"/>
      <c r="AP187" s="412"/>
      <c r="AQ187" s="412"/>
    </row>
    <row r="188" spans="1:229" x14ac:dyDescent="0.2">
      <c r="F188" s="512" t="s">
        <v>18</v>
      </c>
      <c r="G188" s="1086">
        <v>3078.5219532432993</v>
      </c>
      <c r="H188" s="1086">
        <v>3175.320706613707</v>
      </c>
      <c r="I188" s="1312">
        <v>-1</v>
      </c>
      <c r="J188" s="1312">
        <v>-1</v>
      </c>
      <c r="K188" s="482"/>
      <c r="N188" s="423"/>
      <c r="O188" s="423"/>
      <c r="P188" s="148" t="s">
        <v>18</v>
      </c>
      <c r="Q188" s="512"/>
      <c r="R188" s="485">
        <v>3080</v>
      </c>
      <c r="S188" s="485">
        <v>3180</v>
      </c>
      <c r="W188" s="412"/>
      <c r="X188" s="412"/>
      <c r="Y188" s="412"/>
      <c r="AP188" s="412"/>
      <c r="AQ188" s="412"/>
    </row>
    <row r="189" spans="1:229" x14ac:dyDescent="0.2">
      <c r="F189" s="512" t="s">
        <v>1145</v>
      </c>
      <c r="G189" s="1086">
        <v>37040.221606628576</v>
      </c>
      <c r="H189" s="1086">
        <v>37188.979255066668</v>
      </c>
      <c r="I189" s="1312"/>
      <c r="J189" s="1312"/>
      <c r="K189" s="482"/>
      <c r="N189" s="423"/>
      <c r="O189" s="423"/>
      <c r="P189" s="148" t="s">
        <v>1145</v>
      </c>
      <c r="Q189" s="512"/>
      <c r="R189" s="485"/>
      <c r="S189" s="485"/>
      <c r="W189" s="412"/>
      <c r="X189" s="412"/>
      <c r="Y189" s="412"/>
      <c r="AP189" s="412"/>
      <c r="AQ189" s="412"/>
    </row>
    <row r="190" spans="1:229" x14ac:dyDescent="0.2">
      <c r="F190" s="518" t="s">
        <v>833</v>
      </c>
      <c r="G190" s="1090"/>
      <c r="H190" s="1090"/>
      <c r="I190" s="1312">
        <v>-2</v>
      </c>
      <c r="J190" s="1312">
        <v>-2</v>
      </c>
      <c r="K190" s="482"/>
      <c r="N190" s="423"/>
      <c r="O190" s="423"/>
      <c r="P190" s="698" t="s">
        <v>833</v>
      </c>
      <c r="Q190" s="518"/>
      <c r="R190" s="516"/>
      <c r="S190" s="516"/>
      <c r="W190" s="412"/>
      <c r="X190" s="412"/>
      <c r="Y190" s="412"/>
      <c r="AP190" s="412"/>
      <c r="AQ190" s="412"/>
    </row>
    <row r="191" spans="1:229" x14ac:dyDescent="0.2">
      <c r="F191" s="513" t="s">
        <v>1139</v>
      </c>
      <c r="G191" s="1086">
        <v>541770.95647584868</v>
      </c>
      <c r="H191" s="1086">
        <v>675579.35552460991</v>
      </c>
      <c r="I191" s="1312"/>
      <c r="J191" s="1312"/>
      <c r="K191" s="482"/>
      <c r="N191" s="423"/>
      <c r="O191" s="423"/>
      <c r="P191" s="513" t="s">
        <v>1139</v>
      </c>
      <c r="Q191" s="518"/>
      <c r="R191" s="516"/>
      <c r="S191" s="516"/>
      <c r="W191" s="412"/>
      <c r="X191" s="412"/>
      <c r="Y191" s="412"/>
      <c r="AP191" s="412"/>
      <c r="AQ191" s="412"/>
    </row>
    <row r="192" spans="1:229" x14ac:dyDescent="0.2">
      <c r="F192" s="513" t="s">
        <v>1084</v>
      </c>
      <c r="G192" s="1086">
        <v>50846.160877613882</v>
      </c>
      <c r="H192" s="1086">
        <v>56178.896691388327</v>
      </c>
      <c r="I192" s="1312"/>
      <c r="J192" s="1312"/>
      <c r="K192" s="482"/>
      <c r="N192" s="423"/>
      <c r="O192" s="423"/>
      <c r="P192" s="513" t="s">
        <v>1084</v>
      </c>
      <c r="Q192" s="518"/>
      <c r="R192" s="516">
        <v>50846.160877613882</v>
      </c>
      <c r="S192" s="516">
        <v>56178.896691388327</v>
      </c>
      <c r="W192" s="412"/>
      <c r="X192" s="412"/>
      <c r="Y192" s="412"/>
      <c r="AP192" s="412"/>
      <c r="AQ192" s="412"/>
    </row>
    <row r="193" spans="1:69" ht="12.75" thickBot="1" x14ac:dyDescent="0.25">
      <c r="F193" s="430" t="s">
        <v>819</v>
      </c>
      <c r="G193" s="1091">
        <v>1347316.4705051929</v>
      </c>
      <c r="H193" s="1091">
        <v>1521835.5476749174</v>
      </c>
      <c r="I193" s="1312">
        <v>-4</v>
      </c>
      <c r="J193" s="1312">
        <v>-4</v>
      </c>
      <c r="K193" s="482"/>
      <c r="N193" s="423"/>
      <c r="O193" s="423"/>
      <c r="P193" s="171" t="s">
        <v>819</v>
      </c>
      <c r="Q193" s="430"/>
      <c r="R193" s="523">
        <v>1350000</v>
      </c>
      <c r="S193" s="523">
        <v>1520000</v>
      </c>
      <c r="W193" s="412"/>
      <c r="X193" s="412"/>
      <c r="Y193" s="412"/>
      <c r="AP193" s="412"/>
      <c r="AQ193" s="412"/>
    </row>
    <row r="194" spans="1:69" ht="12.75" thickTop="1" x14ac:dyDescent="0.2">
      <c r="G194" s="478" t="b">
        <v>1</v>
      </c>
      <c r="H194" s="478" t="b">
        <v>1</v>
      </c>
      <c r="I194" s="1312"/>
      <c r="J194" s="1312"/>
      <c r="K194" s="482"/>
      <c r="N194" s="423"/>
      <c r="O194" s="423"/>
      <c r="W194" s="412"/>
      <c r="X194" s="412"/>
      <c r="Y194" s="412"/>
      <c r="AP194" s="412"/>
      <c r="AQ194" s="412"/>
    </row>
    <row r="195" spans="1:69" x14ac:dyDescent="0.2">
      <c r="G195" s="412"/>
      <c r="I195" s="1313"/>
      <c r="J195" s="1313"/>
      <c r="K195" s="154"/>
      <c r="L195" s="154"/>
      <c r="N195" s="154"/>
      <c r="O195" s="154"/>
      <c r="P195" s="154"/>
      <c r="R195" s="423"/>
      <c r="W195" s="412"/>
      <c r="X195" s="412"/>
      <c r="Y195" s="412"/>
      <c r="AP195" s="412"/>
      <c r="AQ195" s="412"/>
    </row>
    <row r="196" spans="1:69" s="731" customFormat="1" x14ac:dyDescent="0.2">
      <c r="A196" s="727" t="s">
        <v>836</v>
      </c>
      <c r="B196" s="708"/>
      <c r="C196" s="708"/>
      <c r="D196" s="708"/>
      <c r="E196" s="708"/>
      <c r="F196" s="709"/>
      <c r="G196" s="705"/>
      <c r="H196" s="705"/>
      <c r="I196" s="1321"/>
      <c r="J196" s="1321"/>
      <c r="K196" s="705"/>
      <c r="L196" s="705"/>
      <c r="M196" s="710"/>
      <c r="N196" s="710"/>
      <c r="O196" s="710"/>
      <c r="P196" s="710"/>
      <c r="Q196" s="710"/>
      <c r="R196" s="710"/>
      <c r="S196" s="710"/>
      <c r="T196" s="710"/>
      <c r="U196" s="710"/>
      <c r="V196" s="710"/>
      <c r="W196" s="710"/>
      <c r="X196" s="710"/>
      <c r="Y196" s="710"/>
      <c r="Z196" s="710"/>
      <c r="AA196" s="710"/>
      <c r="AB196" s="710"/>
      <c r="AC196" s="710"/>
      <c r="AD196" s="710"/>
      <c r="AE196" s="710"/>
      <c r="AF196" s="710"/>
      <c r="AG196" s="710"/>
      <c r="AH196" s="710"/>
      <c r="AI196" s="710"/>
      <c r="AJ196" s="710"/>
      <c r="AK196" s="710"/>
      <c r="AL196" s="710"/>
      <c r="AM196" s="710"/>
      <c r="AN196" s="710"/>
      <c r="AO196" s="710"/>
      <c r="AP196" s="710"/>
      <c r="AQ196" s="710"/>
      <c r="AR196" s="710"/>
      <c r="AS196" s="710"/>
      <c r="AT196" s="727" t="s">
        <v>836</v>
      </c>
      <c r="AU196" s="727"/>
      <c r="AV196" s="728"/>
      <c r="AW196" s="728"/>
      <c r="AX196" s="708"/>
      <c r="AY196" s="709"/>
      <c r="AZ196" s="729"/>
      <c r="BA196" s="729"/>
      <c r="BB196" s="729"/>
      <c r="BC196" s="729"/>
      <c r="BD196" s="729"/>
      <c r="BE196" s="729"/>
      <c r="BF196" s="729"/>
      <c r="BG196" s="730"/>
      <c r="BH196" s="730"/>
      <c r="BI196" s="730"/>
      <c r="BJ196" s="730"/>
      <c r="BK196" s="730"/>
      <c r="BL196" s="730"/>
      <c r="BM196" s="730"/>
      <c r="BN196" s="730"/>
      <c r="BO196" s="730"/>
      <c r="BP196" s="728"/>
      <c r="BQ196" s="708"/>
    </row>
    <row r="197" spans="1:69" x14ac:dyDescent="0.2">
      <c r="G197" s="412"/>
      <c r="I197" s="1317"/>
      <c r="J197" s="1317"/>
      <c r="K197" s="224"/>
      <c r="L197" s="482"/>
      <c r="W197" s="412"/>
      <c r="X197" s="412"/>
      <c r="Y197" s="412"/>
      <c r="AP197" s="412"/>
      <c r="AQ197" s="412"/>
    </row>
    <row r="198" spans="1:69" x14ac:dyDescent="0.2">
      <c r="A198" s="147" t="s">
        <v>66</v>
      </c>
      <c r="B198" s="400"/>
      <c r="C198" s="400"/>
      <c r="D198" s="75"/>
      <c r="E198" s="75"/>
      <c r="F198" s="75"/>
      <c r="G198" s="412"/>
      <c r="I198" s="1317"/>
      <c r="J198" s="1317"/>
      <c r="K198" s="224"/>
      <c r="L198" s="482"/>
      <c r="N198" s="147" t="s">
        <v>66</v>
      </c>
      <c r="T198" s="423"/>
      <c r="U198" s="423"/>
      <c r="V198" s="423"/>
      <c r="W198" s="423"/>
      <c r="X198" s="423"/>
      <c r="Y198" s="423"/>
      <c r="Z198" s="423"/>
      <c r="AA198" s="423"/>
      <c r="AB198" s="423"/>
      <c r="AC198" s="423"/>
      <c r="AD198" s="423"/>
      <c r="AP198" s="412"/>
      <c r="AQ198" s="412"/>
    </row>
    <row r="199" spans="1:69" ht="12.75" thickBot="1" x14ac:dyDescent="0.25">
      <c r="F199" s="163"/>
      <c r="G199" s="163"/>
      <c r="H199" s="163"/>
      <c r="I199" s="1317"/>
      <c r="J199" s="1317"/>
      <c r="K199" s="224"/>
      <c r="L199" s="482"/>
      <c r="O199" s="400"/>
      <c r="P199" s="163"/>
      <c r="Q199" s="163"/>
      <c r="R199" s="163"/>
      <c r="S199" s="163"/>
      <c r="T199" s="499"/>
      <c r="U199" s="499"/>
      <c r="V199" s="499"/>
      <c r="W199" s="499"/>
      <c r="X199" s="499"/>
      <c r="Y199" s="499"/>
      <c r="Z199" s="499"/>
      <c r="AA199" s="499"/>
      <c r="AB199" s="499"/>
      <c r="AC199" s="499"/>
      <c r="AD199" s="499"/>
      <c r="AP199" s="412"/>
      <c r="AQ199" s="412"/>
    </row>
    <row r="200" spans="1:69" ht="14.25" thickTop="1" x14ac:dyDescent="0.25">
      <c r="F200" s="144"/>
      <c r="G200" s="2531" t="s">
        <v>81</v>
      </c>
      <c r="H200" s="2531"/>
      <c r="I200" s="1317"/>
      <c r="J200" s="1317"/>
      <c r="K200" s="224"/>
      <c r="L200" s="482"/>
      <c r="P200" s="144"/>
      <c r="Q200" s="144"/>
      <c r="R200" s="2533" t="s">
        <v>1687</v>
      </c>
      <c r="S200" s="2533"/>
      <c r="T200" s="148"/>
      <c r="U200" s="148"/>
      <c r="V200" s="148"/>
      <c r="W200" s="148"/>
      <c r="X200" s="148"/>
      <c r="Y200" s="148"/>
      <c r="Z200" s="148"/>
      <c r="AA200" s="148"/>
      <c r="AB200" s="148"/>
      <c r="AC200" s="148"/>
      <c r="AD200" s="148"/>
      <c r="AP200" s="412"/>
      <c r="AQ200" s="412"/>
    </row>
    <row r="201" spans="1:69" x14ac:dyDescent="0.2">
      <c r="F201" s="165"/>
      <c r="G201" s="175">
        <v>2003</v>
      </c>
      <c r="H201" s="175" t="s">
        <v>205</v>
      </c>
      <c r="I201" s="1317"/>
      <c r="K201" s="224"/>
      <c r="L201" s="482"/>
      <c r="P201" s="165"/>
      <c r="Q201" s="165"/>
      <c r="R201" s="397">
        <v>2003</v>
      </c>
      <c r="S201" s="397" t="s">
        <v>205</v>
      </c>
      <c r="T201" s="664"/>
      <c r="U201" s="664"/>
      <c r="V201" s="664"/>
      <c r="W201" s="664"/>
      <c r="X201" s="664"/>
      <c r="Y201" s="664"/>
      <c r="Z201" s="664"/>
      <c r="AA201" s="664"/>
      <c r="AB201" s="664"/>
      <c r="AC201" s="664"/>
      <c r="AD201" s="148"/>
      <c r="AP201" s="412"/>
      <c r="AQ201" s="412"/>
    </row>
    <row r="202" spans="1:69" x14ac:dyDescent="0.2">
      <c r="F202" s="493" t="s">
        <v>1247</v>
      </c>
      <c r="G202" s="1130">
        <v>108363.43299638538</v>
      </c>
      <c r="H202" s="1130">
        <v>110690.6216177976</v>
      </c>
      <c r="I202" s="1312">
        <v>-3</v>
      </c>
      <c r="J202" s="1312">
        <v>-3</v>
      </c>
      <c r="K202" s="224"/>
      <c r="L202" s="482"/>
      <c r="P202" s="493" t="s">
        <v>1247</v>
      </c>
      <c r="Q202" s="493"/>
      <c r="R202" s="527">
        <v>108000</v>
      </c>
      <c r="S202" s="527">
        <v>111000</v>
      </c>
      <c r="T202" s="493"/>
      <c r="U202" s="493"/>
      <c r="V202" s="493"/>
      <c r="W202" s="423"/>
      <c r="X202" s="423"/>
      <c r="Y202" s="423"/>
      <c r="Z202" s="423"/>
      <c r="AA202" s="423"/>
      <c r="AB202" s="493"/>
      <c r="AC202" s="493"/>
      <c r="AD202" s="493"/>
      <c r="AP202" s="412"/>
      <c r="AQ202" s="412"/>
    </row>
    <row r="203" spans="1:69" x14ac:dyDescent="0.2">
      <c r="F203" s="412" t="s">
        <v>1248</v>
      </c>
      <c r="G203" s="1130">
        <v>105872.03351075074</v>
      </c>
      <c r="H203" s="1130">
        <v>102094.18837004398</v>
      </c>
      <c r="I203" s="1312">
        <v>-1</v>
      </c>
      <c r="J203" s="1312">
        <v>-1</v>
      </c>
      <c r="K203" s="224"/>
      <c r="L203" s="482"/>
      <c r="P203" s="493" t="s">
        <v>1248</v>
      </c>
      <c r="R203" s="527">
        <v>105870</v>
      </c>
      <c r="S203" s="527">
        <v>102090</v>
      </c>
      <c r="T203" s="496"/>
      <c r="U203" s="496"/>
      <c r="V203" s="496"/>
      <c r="W203" s="423"/>
      <c r="X203" s="423"/>
      <c r="Y203" s="423"/>
      <c r="Z203" s="423"/>
      <c r="AA203" s="423"/>
      <c r="AB203" s="496"/>
      <c r="AC203" s="496"/>
      <c r="AD203" s="496"/>
      <c r="AP203" s="412"/>
      <c r="AQ203" s="412"/>
    </row>
    <row r="204" spans="1:69" x14ac:dyDescent="0.2">
      <c r="F204" s="496" t="s">
        <v>814</v>
      </c>
      <c r="G204" s="1128">
        <v>3693.0787502028761</v>
      </c>
      <c r="H204" s="1128">
        <v>3931.9916906143217</v>
      </c>
      <c r="I204" s="1312">
        <v>-3</v>
      </c>
      <c r="J204" s="1312">
        <v>-3</v>
      </c>
      <c r="K204" s="224"/>
      <c r="L204" s="482"/>
      <c r="P204" s="496" t="s">
        <v>814</v>
      </c>
      <c r="Q204" s="496"/>
      <c r="R204" s="528">
        <v>3690</v>
      </c>
      <c r="S204" s="528">
        <v>3930</v>
      </c>
      <c r="T204" s="155"/>
      <c r="U204" s="155"/>
      <c r="V204" s="155"/>
      <c r="W204" s="423"/>
      <c r="X204" s="423"/>
      <c r="Y204" s="423"/>
      <c r="Z204" s="423"/>
      <c r="AA204" s="423"/>
      <c r="AB204" s="155"/>
      <c r="AC204" s="155"/>
      <c r="AD204" s="155"/>
      <c r="AP204" s="412"/>
      <c r="AQ204" s="412"/>
    </row>
    <row r="205" spans="1:69" ht="12.75" thickBot="1" x14ac:dyDescent="0.25">
      <c r="F205" s="171" t="s">
        <v>819</v>
      </c>
      <c r="G205" s="1131">
        <v>217928.54525733899</v>
      </c>
      <c r="H205" s="1131">
        <v>216716.8016784559</v>
      </c>
      <c r="I205" s="1317"/>
      <c r="K205" s="224"/>
      <c r="L205" s="482"/>
      <c r="P205" s="171" t="s">
        <v>819</v>
      </c>
      <c r="Q205" s="171"/>
      <c r="R205" s="529">
        <v>218000</v>
      </c>
      <c r="S205" s="529">
        <v>217000</v>
      </c>
      <c r="T205" s="423"/>
      <c r="U205" s="423"/>
      <c r="V205" s="423"/>
      <c r="W205" s="423"/>
      <c r="X205" s="423"/>
      <c r="Y205" s="423"/>
      <c r="Z205" s="423"/>
      <c r="AA205" s="423"/>
      <c r="AB205" s="423"/>
      <c r="AC205" s="423"/>
      <c r="AD205" s="423"/>
      <c r="AP205" s="412"/>
      <c r="AQ205" s="412"/>
    </row>
    <row r="206" spans="1:69" ht="12.75" thickTop="1" x14ac:dyDescent="0.2">
      <c r="G206" s="412"/>
      <c r="I206" s="1317"/>
      <c r="J206" s="1317"/>
      <c r="K206" s="224"/>
      <c r="L206" s="482"/>
      <c r="P206" s="423"/>
      <c r="Q206" s="423"/>
      <c r="R206" s="423"/>
      <c r="S206" s="423"/>
      <c r="W206" s="412"/>
      <c r="X206" s="412"/>
      <c r="Y206" s="412"/>
      <c r="AP206" s="412"/>
      <c r="AQ206" s="412"/>
    </row>
    <row r="207" spans="1:69" s="732" customFormat="1" x14ac:dyDescent="0.2">
      <c r="A207" s="701" t="s">
        <v>888</v>
      </c>
      <c r="B207" s="702"/>
      <c r="C207" s="702"/>
      <c r="D207" s="702"/>
      <c r="E207" s="702"/>
      <c r="I207" s="1322"/>
      <c r="J207" s="1322"/>
      <c r="W207" s="733"/>
      <c r="Y207" s="733"/>
      <c r="AA207" s="733"/>
      <c r="AG207" s="733"/>
      <c r="AI207" s="733"/>
    </row>
    <row r="208" spans="1:69" x14ac:dyDescent="0.2">
      <c r="G208" s="412"/>
      <c r="S208" s="478"/>
      <c r="T208" s="478"/>
      <c r="U208" s="224"/>
      <c r="W208" s="412"/>
      <c r="X208" s="154"/>
      <c r="Y208" s="412"/>
      <c r="Z208" s="154"/>
      <c r="AB208" s="154"/>
      <c r="AH208" s="154"/>
      <c r="AJ208" s="154"/>
      <c r="AL208" s="224"/>
      <c r="AM208" s="224"/>
      <c r="AP208" s="412"/>
      <c r="AQ208" s="412"/>
    </row>
    <row r="209" spans="1:43" x14ac:dyDescent="0.2">
      <c r="A209" s="699" t="s">
        <v>933</v>
      </c>
      <c r="G209" s="412"/>
      <c r="N209" s="147" t="s">
        <v>933</v>
      </c>
      <c r="T209" s="478"/>
      <c r="U209" s="224"/>
      <c r="W209" s="412"/>
      <c r="X209" s="154"/>
      <c r="Y209" s="412"/>
      <c r="Z209" s="154"/>
      <c r="AB209" s="154"/>
      <c r="AH209" s="154"/>
      <c r="AJ209" s="154"/>
      <c r="AL209" s="224"/>
      <c r="AM209" s="224"/>
      <c r="AP209" s="412"/>
      <c r="AQ209" s="412"/>
    </row>
    <row r="210" spans="1:43" ht="12.75" thickBot="1" x14ac:dyDescent="0.25">
      <c r="G210" s="412"/>
      <c r="O210" s="400"/>
      <c r="P210" s="163"/>
      <c r="Q210" s="163"/>
      <c r="R210" s="163"/>
      <c r="S210" s="163"/>
      <c r="T210" s="478"/>
      <c r="U210" s="224"/>
      <c r="W210" s="412"/>
      <c r="X210" s="154"/>
      <c r="Y210" s="412"/>
      <c r="Z210" s="154"/>
      <c r="AB210" s="154"/>
      <c r="AH210" s="154"/>
      <c r="AJ210" s="154"/>
      <c r="AL210" s="224"/>
      <c r="AM210" s="224"/>
      <c r="AP210" s="412"/>
      <c r="AQ210" s="412"/>
    </row>
    <row r="211" spans="1:43" ht="14.25" thickTop="1" x14ac:dyDescent="0.25">
      <c r="F211" s="426"/>
      <c r="G211" s="2531" t="s">
        <v>81</v>
      </c>
      <c r="H211" s="2531"/>
      <c r="I211" s="1317"/>
      <c r="J211" s="1319"/>
      <c r="K211" s="154"/>
      <c r="L211" s="478"/>
      <c r="M211" s="154"/>
      <c r="P211" s="426"/>
      <c r="Q211" s="426"/>
      <c r="R211" s="2532" t="s">
        <v>1687</v>
      </c>
      <c r="S211" s="2532"/>
      <c r="T211" s="478"/>
      <c r="U211" s="224"/>
      <c r="W211" s="412"/>
      <c r="X211" s="154"/>
      <c r="Y211" s="412"/>
      <c r="Z211" s="154"/>
      <c r="AB211" s="154"/>
      <c r="AH211" s="154"/>
      <c r="AJ211" s="154"/>
      <c r="AL211" s="224"/>
      <c r="AM211" s="224"/>
      <c r="AP211" s="412"/>
      <c r="AQ211" s="412"/>
    </row>
    <row r="212" spans="1:43" x14ac:dyDescent="0.2">
      <c r="F212" s="427"/>
      <c r="G212" s="476" t="s">
        <v>857</v>
      </c>
      <c r="H212" s="476" t="s">
        <v>205</v>
      </c>
      <c r="I212" s="1317"/>
      <c r="J212" s="1319"/>
      <c r="K212" s="154"/>
      <c r="L212" s="478"/>
      <c r="M212" s="154"/>
      <c r="P212" s="427"/>
      <c r="Q212" s="427"/>
      <c r="R212" s="476" t="s">
        <v>857</v>
      </c>
      <c r="S212" s="476" t="s">
        <v>205</v>
      </c>
      <c r="T212" s="478"/>
      <c r="U212" s="224"/>
      <c r="W212" s="412"/>
      <c r="X212" s="154"/>
      <c r="Y212" s="412"/>
      <c r="Z212" s="154"/>
      <c r="AB212" s="154"/>
      <c r="AH212" s="154"/>
      <c r="AJ212" s="154"/>
      <c r="AL212" s="224"/>
      <c r="AM212" s="224"/>
      <c r="AP212" s="412"/>
      <c r="AQ212" s="412"/>
    </row>
    <row r="213" spans="1:43" x14ac:dyDescent="0.2">
      <c r="F213" s="392" t="s">
        <v>859</v>
      </c>
      <c r="G213" s="772">
        <v>52395.657299999999</v>
      </c>
      <c r="H213" s="772">
        <v>56590.1578128275</v>
      </c>
      <c r="I213" s="1312">
        <v>-2</v>
      </c>
      <c r="J213" s="1312">
        <v>-2</v>
      </c>
      <c r="K213" s="154"/>
      <c r="L213" s="531"/>
      <c r="M213" s="154"/>
      <c r="P213" s="503" t="s">
        <v>859</v>
      </c>
      <c r="Q213" s="503"/>
      <c r="R213" s="530">
        <v>52400</v>
      </c>
      <c r="S213" s="530">
        <v>56600</v>
      </c>
      <c r="T213" s="478"/>
      <c r="U213" s="224"/>
      <c r="W213" s="412"/>
      <c r="X213" s="154"/>
      <c r="Y213" s="412"/>
      <c r="Z213" s="154"/>
      <c r="AB213" s="154"/>
      <c r="AH213" s="154"/>
      <c r="AJ213" s="154"/>
      <c r="AL213" s="224"/>
      <c r="AM213" s="224"/>
      <c r="AP213" s="412"/>
      <c r="AQ213" s="412"/>
    </row>
    <row r="214" spans="1:43" x14ac:dyDescent="0.2">
      <c r="F214" s="392" t="s">
        <v>858</v>
      </c>
      <c r="G214" s="772">
        <v>84659.819800961515</v>
      </c>
      <c r="H214" s="772">
        <v>94432.705838738912</v>
      </c>
      <c r="I214" s="1312">
        <v>-2</v>
      </c>
      <c r="J214" s="1312">
        <v>-2</v>
      </c>
      <c r="K214" s="154"/>
      <c r="L214" s="478"/>
      <c r="M214" s="154"/>
      <c r="P214" s="503" t="s">
        <v>858</v>
      </c>
      <c r="Q214" s="503"/>
      <c r="R214" s="532">
        <v>84700</v>
      </c>
      <c r="S214" s="532">
        <v>94400</v>
      </c>
      <c r="T214" s="478"/>
      <c r="U214" s="224"/>
      <c r="W214" s="412"/>
      <c r="X214" s="154"/>
      <c r="Y214" s="412"/>
      <c r="Z214" s="154"/>
      <c r="AB214" s="154"/>
      <c r="AH214" s="154"/>
      <c r="AJ214" s="154"/>
      <c r="AL214" s="224"/>
      <c r="AM214" s="224"/>
      <c r="AP214" s="412"/>
      <c r="AQ214" s="412"/>
    </row>
    <row r="215" spans="1:43" x14ac:dyDescent="0.2">
      <c r="F215" s="392" t="s">
        <v>1083</v>
      </c>
      <c r="G215" s="772">
        <v>7451.6379772401069</v>
      </c>
      <c r="H215" s="772">
        <v>6488.2056724530139</v>
      </c>
      <c r="I215" s="1312">
        <v>-1</v>
      </c>
      <c r="J215" s="1312">
        <v>-1</v>
      </c>
      <c r="K215" s="154"/>
      <c r="L215" s="154"/>
      <c r="M215" s="154"/>
      <c r="P215" s="503" t="s">
        <v>1083</v>
      </c>
      <c r="Q215" s="503"/>
      <c r="R215" s="532">
        <v>7450</v>
      </c>
      <c r="S215" s="532">
        <v>6490</v>
      </c>
      <c r="T215" s="478"/>
      <c r="U215" s="224"/>
      <c r="W215" s="412"/>
      <c r="X215" s="154"/>
      <c r="Y215" s="412"/>
      <c r="Z215" s="154"/>
      <c r="AB215" s="154"/>
      <c r="AH215" s="154"/>
      <c r="AJ215" s="154"/>
      <c r="AL215" s="224"/>
      <c r="AM215" s="224"/>
      <c r="AP215" s="412"/>
      <c r="AQ215" s="412"/>
    </row>
    <row r="216" spans="1:43" ht="12.75" thickBot="1" x14ac:dyDescent="0.25">
      <c r="F216" s="432" t="s">
        <v>34</v>
      </c>
      <c r="G216" s="773">
        <v>144507.11507820163</v>
      </c>
      <c r="H216" s="773">
        <v>157511.06932401942</v>
      </c>
      <c r="I216" s="1312">
        <v>-3</v>
      </c>
      <c r="J216" s="1312">
        <v>-3</v>
      </c>
      <c r="K216" s="154"/>
      <c r="L216" s="478"/>
      <c r="M216" s="154"/>
      <c r="N216" s="478"/>
      <c r="O216" s="478"/>
      <c r="P216" s="432" t="s">
        <v>34</v>
      </c>
      <c r="Q216" s="432"/>
      <c r="R216" s="533">
        <v>145000</v>
      </c>
      <c r="S216" s="534">
        <v>158000</v>
      </c>
      <c r="T216" s="478"/>
      <c r="U216" s="224"/>
      <c r="W216" s="412"/>
      <c r="X216" s="154"/>
      <c r="Y216" s="412"/>
      <c r="Z216" s="154"/>
      <c r="AB216" s="154"/>
      <c r="AH216" s="154"/>
      <c r="AJ216" s="154"/>
      <c r="AL216" s="224"/>
      <c r="AM216" s="224"/>
      <c r="AP216" s="412"/>
      <c r="AQ216" s="412"/>
    </row>
    <row r="217" spans="1:43" ht="12.75" thickTop="1" x14ac:dyDescent="0.2">
      <c r="G217" s="412" t="b">
        <v>1</v>
      </c>
      <c r="H217" s="412" t="b">
        <v>1</v>
      </c>
      <c r="I217" s="1317"/>
      <c r="J217" s="1311"/>
      <c r="K217" s="154"/>
      <c r="L217" s="197"/>
      <c r="M217" s="154"/>
      <c r="N217" s="197"/>
      <c r="O217" s="197"/>
      <c r="P217" s="197"/>
      <c r="Q217" s="197"/>
      <c r="R217" s="197"/>
      <c r="S217" s="154"/>
      <c r="T217" s="478"/>
      <c r="U217" s="224"/>
      <c r="W217" s="412"/>
      <c r="X217" s="154"/>
      <c r="Y217" s="412"/>
      <c r="Z217" s="154"/>
      <c r="AB217" s="154"/>
      <c r="AH217" s="154"/>
      <c r="AJ217" s="154"/>
      <c r="AL217" s="224"/>
      <c r="AM217" s="224"/>
      <c r="AP217" s="412"/>
      <c r="AQ217" s="412"/>
    </row>
    <row r="218" spans="1:43" x14ac:dyDescent="0.2">
      <c r="G218" s="412"/>
      <c r="I218" s="1317"/>
      <c r="J218" s="1317"/>
      <c r="K218" s="224"/>
      <c r="L218" s="482"/>
      <c r="P218" s="423"/>
      <c r="Q218" s="423"/>
      <c r="R218" s="423"/>
      <c r="S218" s="423"/>
      <c r="W218" s="412"/>
      <c r="X218" s="412"/>
      <c r="Y218" s="412"/>
      <c r="AP218" s="412"/>
      <c r="AQ218" s="412"/>
    </row>
    <row r="219" spans="1:43" s="771" customFormat="1" x14ac:dyDescent="0.2">
      <c r="A219" s="765" t="s">
        <v>1263</v>
      </c>
      <c r="B219" s="765"/>
      <c r="C219" s="766"/>
      <c r="D219" s="766"/>
      <c r="E219" s="766"/>
      <c r="F219" s="766"/>
      <c r="G219" s="767"/>
      <c r="H219" s="767"/>
      <c r="I219" s="1323"/>
      <c r="J219" s="1323"/>
      <c r="K219" s="770"/>
      <c r="M219" s="765"/>
      <c r="N219" s="766"/>
      <c r="O219" s="766"/>
      <c r="P219" s="766"/>
      <c r="Q219" s="766"/>
      <c r="R219" s="767"/>
      <c r="S219" s="767"/>
    </row>
    <row r="220" spans="1:43" x14ac:dyDescent="0.2">
      <c r="G220" s="412"/>
      <c r="I220" s="1317"/>
      <c r="J220" s="1317"/>
      <c r="K220" s="224"/>
      <c r="L220" s="482"/>
      <c r="P220" s="423"/>
      <c r="Q220" s="423"/>
      <c r="R220" s="423"/>
      <c r="S220" s="423"/>
      <c r="W220" s="412"/>
      <c r="X220" s="412"/>
      <c r="Y220" s="412"/>
      <c r="AP220" s="412"/>
      <c r="AQ220" s="412"/>
    </row>
    <row r="221" spans="1:43" ht="12.75" thickBot="1" x14ac:dyDescent="0.25">
      <c r="A221" s="699" t="s">
        <v>1265</v>
      </c>
    </row>
    <row r="222" spans="1:43" ht="14.25" thickTop="1" x14ac:dyDescent="0.25">
      <c r="F222" s="426"/>
      <c r="G222" s="2531" t="s">
        <v>81</v>
      </c>
      <c r="H222" s="2531"/>
      <c r="I222" s="1317"/>
      <c r="J222" s="1319"/>
      <c r="K222" s="154"/>
      <c r="L222" s="478"/>
      <c r="M222" s="154"/>
      <c r="P222" s="426"/>
      <c r="Q222" s="426"/>
      <c r="R222" s="2532" t="s">
        <v>1687</v>
      </c>
      <c r="S222" s="2532"/>
    </row>
    <row r="223" spans="1:43" x14ac:dyDescent="0.2">
      <c r="F223" s="427"/>
      <c r="G223" s="476" t="s">
        <v>857</v>
      </c>
      <c r="H223" s="476" t="s">
        <v>205</v>
      </c>
      <c r="I223" s="1317"/>
      <c r="J223" s="1319"/>
      <c r="K223" s="154"/>
      <c r="L223" s="478"/>
      <c r="M223" s="154"/>
      <c r="P223" s="427"/>
      <c r="Q223" s="427"/>
      <c r="R223" s="476" t="s">
        <v>857</v>
      </c>
      <c r="S223" s="476" t="s">
        <v>205</v>
      </c>
    </row>
    <row r="224" spans="1:43" x14ac:dyDescent="0.2">
      <c r="F224" s="509" t="s">
        <v>1266</v>
      </c>
      <c r="G224" s="1162">
        <v>122780.83821320487</v>
      </c>
      <c r="H224" s="1162">
        <v>53277.493728684618</v>
      </c>
      <c r="I224" s="1312">
        <v>-3</v>
      </c>
      <c r="J224" s="1312">
        <v>-2</v>
      </c>
      <c r="K224" s="154"/>
      <c r="L224" s="531"/>
      <c r="M224" s="154"/>
      <c r="P224" s="503" t="s">
        <v>1266</v>
      </c>
      <c r="Q224" s="503"/>
      <c r="R224" s="530">
        <v>123000</v>
      </c>
      <c r="S224" s="530">
        <v>53300</v>
      </c>
    </row>
    <row r="225" spans="6:43" ht="12.75" thickBot="1" x14ac:dyDescent="0.25">
      <c r="F225" s="1163" t="s">
        <v>116</v>
      </c>
      <c r="G225" s="1164"/>
      <c r="H225" s="1164"/>
      <c r="I225" s="1312">
        <v>0</v>
      </c>
      <c r="J225" s="1312">
        <v>0</v>
      </c>
      <c r="K225" s="154"/>
      <c r="L225" s="478"/>
      <c r="M225" s="154"/>
      <c r="N225" s="478"/>
      <c r="O225" s="478"/>
      <c r="P225" s="432" t="s">
        <v>116</v>
      </c>
      <c r="Q225" s="432"/>
      <c r="R225" s="530" t="s">
        <v>1686</v>
      </c>
      <c r="S225" s="530" t="s">
        <v>1686</v>
      </c>
    </row>
    <row r="226" spans="6:43" ht="12.75" thickTop="1" x14ac:dyDescent="0.2">
      <c r="G226" s="412"/>
      <c r="I226" s="1317"/>
      <c r="J226" s="1317"/>
      <c r="K226" s="224"/>
      <c r="L226" s="482"/>
      <c r="P226" s="423"/>
      <c r="Q226" s="423"/>
      <c r="R226" s="423"/>
      <c r="S226" s="423"/>
      <c r="W226" s="412"/>
      <c r="X226" s="412"/>
      <c r="Y226" s="412"/>
      <c r="AP226" s="412"/>
      <c r="AQ226" s="412"/>
    </row>
    <row r="227" spans="6:43" x14ac:dyDescent="0.2">
      <c r="G227" s="412"/>
      <c r="I227" s="1317"/>
      <c r="J227" s="1317"/>
      <c r="K227" s="224"/>
      <c r="L227" s="482"/>
      <c r="P227" s="423"/>
      <c r="Q227" s="423"/>
      <c r="R227" s="423"/>
      <c r="S227" s="423"/>
      <c r="W227" s="412"/>
      <c r="X227" s="412"/>
      <c r="Y227" s="412"/>
      <c r="AP227" s="412"/>
      <c r="AQ227" s="412"/>
    </row>
    <row r="228" spans="6:43" x14ac:dyDescent="0.2">
      <c r="G228" s="412"/>
      <c r="U228" s="478"/>
      <c r="V228" s="478"/>
      <c r="W228" s="224"/>
      <c r="X228" s="412"/>
      <c r="Y228" s="412"/>
      <c r="Z228" s="154"/>
      <c r="AB228" s="154"/>
      <c r="AD228" s="154"/>
      <c r="AJ228" s="154"/>
      <c r="AL228" s="154"/>
      <c r="AN228" s="224"/>
      <c r="AO228" s="224"/>
      <c r="AP228" s="412"/>
      <c r="AQ228" s="412"/>
    </row>
    <row r="229" spans="6:43" x14ac:dyDescent="0.2">
      <c r="G229" s="412"/>
      <c r="V229" s="478"/>
      <c r="X229" s="224"/>
      <c r="Y229" s="412"/>
      <c r="AA229" s="154"/>
      <c r="AC229" s="154"/>
      <c r="AE229" s="154"/>
      <c r="AK229" s="154"/>
      <c r="AM229" s="154"/>
      <c r="AO229" s="224"/>
      <c r="AQ229" s="412"/>
    </row>
    <row r="230" spans="6:43" x14ac:dyDescent="0.2">
      <c r="G230" s="412"/>
      <c r="AB230" s="154"/>
      <c r="AD230" s="154"/>
      <c r="AF230" s="154"/>
      <c r="AL230" s="154"/>
      <c r="AN230" s="154"/>
    </row>
    <row r="231" spans="6:43" x14ac:dyDescent="0.2">
      <c r="G231" s="412"/>
      <c r="AB231" s="154"/>
      <c r="AD231" s="154"/>
      <c r="AF231" s="154"/>
      <c r="AL231" s="154"/>
      <c r="AN231" s="154"/>
    </row>
    <row r="232" spans="6:43" x14ac:dyDescent="0.2">
      <c r="G232" s="412"/>
      <c r="AB232" s="154"/>
      <c r="AD232" s="154"/>
      <c r="AF232" s="154"/>
      <c r="AL232" s="154"/>
      <c r="AN232" s="154"/>
    </row>
    <row r="233" spans="6:43" x14ac:dyDescent="0.2">
      <c r="G233" s="412"/>
      <c r="AB233" s="154"/>
      <c r="AD233" s="154"/>
      <c r="AF233" s="154"/>
      <c r="AL233" s="154"/>
      <c r="AN233" s="154"/>
    </row>
    <row r="234" spans="6:43" x14ac:dyDescent="0.2">
      <c r="G234" s="412"/>
      <c r="AB234" s="154"/>
      <c r="AD234" s="154"/>
      <c r="AF234" s="154"/>
      <c r="AL234" s="154"/>
      <c r="AN234" s="154"/>
    </row>
    <row r="235" spans="6:43" x14ac:dyDescent="0.2">
      <c r="G235" s="412"/>
      <c r="AB235" s="154"/>
      <c r="AD235" s="154"/>
      <c r="AF235" s="154"/>
      <c r="AL235" s="154"/>
      <c r="AN235" s="154"/>
    </row>
    <row r="236" spans="6:43" x14ac:dyDescent="0.2">
      <c r="G236" s="412"/>
      <c r="AB236" s="154"/>
      <c r="AD236" s="154"/>
      <c r="AF236" s="154"/>
      <c r="AL236" s="154"/>
      <c r="AN236" s="154"/>
    </row>
    <row r="237" spans="6:43" x14ac:dyDescent="0.2">
      <c r="G237" s="412"/>
      <c r="AB237" s="154"/>
      <c r="AD237" s="154"/>
      <c r="AF237" s="154"/>
      <c r="AL237" s="154"/>
      <c r="AN237" s="154"/>
    </row>
    <row r="238" spans="6:43" x14ac:dyDescent="0.2">
      <c r="G238" s="412"/>
      <c r="AB238" s="154"/>
      <c r="AD238" s="154"/>
      <c r="AF238" s="154"/>
      <c r="AL238" s="154"/>
      <c r="AN238" s="154"/>
    </row>
    <row r="239" spans="6:43" x14ac:dyDescent="0.2">
      <c r="G239" s="412"/>
      <c r="AB239" s="154"/>
      <c r="AD239" s="154"/>
      <c r="AF239" s="154"/>
      <c r="AL239" s="154"/>
      <c r="AN239" s="154"/>
    </row>
    <row r="240" spans="6:43" x14ac:dyDescent="0.2">
      <c r="G240" s="412"/>
      <c r="Z240" s="478"/>
      <c r="AA240" s="478"/>
      <c r="AB240" s="154"/>
      <c r="AC240" s="478"/>
      <c r="AD240" s="154"/>
      <c r="AE240" s="478"/>
      <c r="AF240" s="154"/>
      <c r="AG240" s="478"/>
      <c r="AH240" s="478"/>
      <c r="AI240" s="478"/>
      <c r="AJ240" s="478"/>
      <c r="AK240" s="478"/>
      <c r="AL240" s="154"/>
      <c r="AM240" s="478"/>
      <c r="AN240" s="154"/>
    </row>
    <row r="241" spans="7:43" x14ac:dyDescent="0.2">
      <c r="G241" s="412"/>
      <c r="Z241" s="197"/>
      <c r="AA241" s="197"/>
      <c r="AB241" s="154"/>
      <c r="AC241" s="197"/>
      <c r="AD241" s="154"/>
      <c r="AE241" s="197"/>
      <c r="AF241" s="154"/>
      <c r="AG241" s="197"/>
      <c r="AH241" s="197"/>
      <c r="AI241" s="197"/>
      <c r="AJ241" s="197"/>
      <c r="AK241" s="197"/>
      <c r="AL241" s="154"/>
      <c r="AM241" s="197"/>
      <c r="AN241" s="154"/>
    </row>
    <row r="242" spans="7:43" x14ac:dyDescent="0.2">
      <c r="G242" s="412"/>
      <c r="Z242" s="478"/>
      <c r="AA242" s="478"/>
      <c r="AB242" s="154"/>
      <c r="AC242" s="478"/>
      <c r="AD242" s="154"/>
      <c r="AE242" s="478"/>
      <c r="AF242" s="154"/>
      <c r="AG242" s="478"/>
      <c r="AH242" s="478"/>
      <c r="AI242" s="478"/>
      <c r="AJ242" s="478"/>
      <c r="AK242" s="478"/>
      <c r="AL242" s="154"/>
      <c r="AM242" s="478"/>
      <c r="AN242" s="154"/>
    </row>
    <row r="243" spans="7:43" x14ac:dyDescent="0.2">
      <c r="G243" s="412"/>
      <c r="Z243" s="478"/>
      <c r="AA243" s="478"/>
      <c r="AB243" s="154"/>
      <c r="AC243" s="478"/>
      <c r="AD243" s="154"/>
      <c r="AE243" s="478"/>
      <c r="AF243" s="154"/>
      <c r="AG243" s="478"/>
      <c r="AH243" s="478"/>
      <c r="AI243" s="478"/>
      <c r="AJ243" s="478"/>
      <c r="AK243" s="478"/>
      <c r="AL243" s="154"/>
      <c r="AM243" s="478"/>
      <c r="AN243" s="154"/>
    </row>
    <row r="244" spans="7:43" x14ac:dyDescent="0.2">
      <c r="G244" s="412"/>
      <c r="Z244" s="478"/>
      <c r="AA244" s="478"/>
      <c r="AB244" s="154"/>
      <c r="AC244" s="478"/>
      <c r="AD244" s="154"/>
      <c r="AE244" s="478"/>
      <c r="AF244" s="154"/>
      <c r="AG244" s="478"/>
      <c r="AH244" s="478"/>
      <c r="AI244" s="478"/>
      <c r="AJ244" s="478"/>
      <c r="AK244" s="478"/>
      <c r="AL244" s="154"/>
      <c r="AM244" s="478"/>
      <c r="AN244" s="154"/>
    </row>
    <row r="245" spans="7:43" x14ac:dyDescent="0.2">
      <c r="G245" s="412"/>
      <c r="Z245" s="531"/>
      <c r="AA245" s="531"/>
      <c r="AB245" s="531"/>
      <c r="AC245" s="531"/>
      <c r="AD245" s="154"/>
      <c r="AE245" s="531"/>
      <c r="AF245" s="154"/>
      <c r="AG245" s="531"/>
      <c r="AH245" s="531"/>
      <c r="AI245" s="531"/>
      <c r="AJ245" s="531"/>
      <c r="AK245" s="531"/>
      <c r="AL245" s="154"/>
      <c r="AM245" s="531"/>
      <c r="AN245" s="154"/>
    </row>
    <row r="246" spans="7:43" x14ac:dyDescent="0.2">
      <c r="G246" s="412"/>
      <c r="Z246" s="478"/>
      <c r="AA246" s="478"/>
      <c r="AB246" s="478"/>
      <c r="AC246" s="478"/>
      <c r="AD246" s="154"/>
      <c r="AE246" s="478"/>
      <c r="AF246" s="154"/>
      <c r="AG246" s="478"/>
      <c r="AH246" s="478"/>
      <c r="AI246" s="478"/>
      <c r="AJ246" s="478"/>
      <c r="AK246" s="478"/>
      <c r="AL246" s="154"/>
      <c r="AM246" s="478"/>
      <c r="AN246" s="154"/>
    </row>
    <row r="247" spans="7:43" x14ac:dyDescent="0.2">
      <c r="G247" s="412"/>
      <c r="Z247" s="154"/>
      <c r="AA247" s="154"/>
      <c r="AB247" s="154"/>
      <c r="AD247" s="154"/>
      <c r="AE247" s="154"/>
      <c r="AF247" s="154"/>
      <c r="AG247" s="154"/>
      <c r="AH247" s="154"/>
      <c r="AI247" s="154"/>
      <c r="AJ247" s="154"/>
      <c r="AL247" s="154"/>
      <c r="AM247" s="154"/>
      <c r="AN247" s="154"/>
      <c r="AP247" s="480"/>
      <c r="AQ247" s="480"/>
    </row>
    <row r="248" spans="7:43" x14ac:dyDescent="0.2">
      <c r="G248" s="412"/>
      <c r="Z248" s="478"/>
      <c r="AA248" s="478"/>
      <c r="AB248" s="478"/>
      <c r="AC248" s="478"/>
      <c r="AD248" s="154"/>
      <c r="AE248" s="478"/>
      <c r="AF248" s="154"/>
      <c r="AG248" s="478"/>
      <c r="AH248" s="478"/>
      <c r="AI248" s="478"/>
      <c r="AJ248" s="478"/>
      <c r="AK248" s="478"/>
      <c r="AL248" s="154"/>
      <c r="AM248" s="478"/>
      <c r="AN248" s="154"/>
    </row>
    <row r="249" spans="7:43" x14ac:dyDescent="0.2">
      <c r="G249" s="412"/>
      <c r="AD249" s="154"/>
      <c r="AF249" s="154"/>
      <c r="AL249" s="154"/>
      <c r="AN249" s="154"/>
    </row>
    <row r="250" spans="7:43" x14ac:dyDescent="0.2">
      <c r="G250" s="412"/>
      <c r="AD250" s="154"/>
      <c r="AF250" s="154"/>
      <c r="AL250" s="154"/>
      <c r="AN250" s="154"/>
    </row>
    <row r="251" spans="7:43" x14ac:dyDescent="0.2">
      <c r="G251" s="412"/>
      <c r="Z251" s="479"/>
      <c r="AA251" s="479"/>
      <c r="AB251" s="479"/>
      <c r="AC251" s="479"/>
      <c r="AD251" s="154"/>
      <c r="AE251" s="479"/>
      <c r="AF251" s="154"/>
      <c r="AG251" s="479"/>
      <c r="AH251" s="479"/>
      <c r="AI251" s="479"/>
      <c r="AJ251" s="479"/>
      <c r="AK251" s="479"/>
      <c r="AL251" s="154"/>
      <c r="AM251" s="479"/>
      <c r="AN251" s="154"/>
    </row>
    <row r="252" spans="7:43" x14ac:dyDescent="0.2">
      <c r="G252" s="412"/>
      <c r="AD252" s="154"/>
      <c r="AF252" s="154"/>
      <c r="AL252" s="154"/>
      <c r="AN252" s="154"/>
    </row>
    <row r="253" spans="7:43" x14ac:dyDescent="0.2">
      <c r="G253" s="412"/>
      <c r="Z253" s="154"/>
      <c r="AA253" s="154"/>
      <c r="AB253" s="154"/>
      <c r="AD253" s="154"/>
      <c r="AE253" s="154"/>
      <c r="AF253" s="154"/>
      <c r="AG253" s="154"/>
      <c r="AH253" s="154"/>
      <c r="AI253" s="154"/>
      <c r="AJ253" s="154"/>
      <c r="AL253" s="154"/>
      <c r="AM253" s="154"/>
      <c r="AN253" s="154"/>
    </row>
    <row r="254" spans="7:43" x14ac:dyDescent="0.2">
      <c r="G254" s="412"/>
      <c r="Z254" s="154"/>
      <c r="AA254" s="154"/>
      <c r="AB254" s="154"/>
      <c r="AD254" s="154"/>
      <c r="AE254" s="154"/>
      <c r="AF254" s="154"/>
      <c r="AG254" s="154"/>
      <c r="AH254" s="154"/>
      <c r="AI254" s="154"/>
      <c r="AJ254" s="154"/>
      <c r="AL254" s="154"/>
      <c r="AM254" s="154"/>
      <c r="AN254" s="154"/>
    </row>
    <row r="255" spans="7:43" x14ac:dyDescent="0.2">
      <c r="G255" s="412"/>
      <c r="Z255" s="154"/>
      <c r="AA255" s="154"/>
      <c r="AB255" s="154"/>
      <c r="AD255" s="154"/>
      <c r="AE255" s="154"/>
      <c r="AF255" s="154"/>
      <c r="AG255" s="154"/>
      <c r="AH255" s="154"/>
      <c r="AI255" s="154"/>
      <c r="AJ255" s="154"/>
      <c r="AL255" s="154"/>
      <c r="AM255" s="154"/>
      <c r="AN255" s="154"/>
    </row>
    <row r="256" spans="7:43" x14ac:dyDescent="0.2">
      <c r="G256" s="412"/>
      <c r="Z256" s="154"/>
      <c r="AA256" s="154"/>
      <c r="AB256" s="154"/>
      <c r="AD256" s="154"/>
      <c r="AE256" s="154"/>
      <c r="AF256" s="154"/>
      <c r="AG256" s="154"/>
      <c r="AH256" s="154"/>
      <c r="AI256" s="154"/>
      <c r="AJ256" s="154"/>
      <c r="AL256" s="154"/>
      <c r="AM256" s="154"/>
      <c r="AN256" s="154"/>
    </row>
    <row r="257" spans="7:40" x14ac:dyDescent="0.2">
      <c r="G257" s="412"/>
      <c r="Z257" s="154"/>
      <c r="AA257" s="154"/>
      <c r="AB257" s="154"/>
      <c r="AD257" s="154"/>
      <c r="AE257" s="154"/>
      <c r="AF257" s="154"/>
      <c r="AG257" s="154"/>
      <c r="AH257" s="154"/>
      <c r="AI257" s="154"/>
      <c r="AJ257" s="154"/>
      <c r="AL257" s="154"/>
      <c r="AM257" s="154"/>
      <c r="AN257" s="154"/>
    </row>
    <row r="258" spans="7:40" x14ac:dyDescent="0.2">
      <c r="G258" s="412"/>
      <c r="Z258" s="154"/>
      <c r="AA258" s="154"/>
      <c r="AB258" s="154"/>
      <c r="AD258" s="154"/>
      <c r="AE258" s="154"/>
      <c r="AF258" s="154"/>
      <c r="AG258" s="154"/>
      <c r="AH258" s="154"/>
      <c r="AI258" s="154"/>
      <c r="AJ258" s="154"/>
      <c r="AL258" s="154"/>
      <c r="AM258" s="154"/>
      <c r="AN258" s="154"/>
    </row>
    <row r="259" spans="7:40" x14ac:dyDescent="0.2">
      <c r="G259" s="412"/>
      <c r="Z259" s="478"/>
      <c r="AA259" s="478"/>
      <c r="AB259" s="478"/>
      <c r="AC259" s="478"/>
      <c r="AD259" s="154"/>
      <c r="AE259" s="478"/>
      <c r="AF259" s="154"/>
      <c r="AG259" s="478"/>
      <c r="AH259" s="478"/>
      <c r="AI259" s="478"/>
      <c r="AJ259" s="478"/>
      <c r="AK259" s="478"/>
      <c r="AL259" s="154"/>
      <c r="AM259" s="478"/>
      <c r="AN259" s="154"/>
    </row>
    <row r="260" spans="7:40" x14ac:dyDescent="0.2">
      <c r="G260" s="412"/>
      <c r="Z260" s="478"/>
      <c r="AA260" s="478"/>
      <c r="AB260" s="478"/>
      <c r="AC260" s="478"/>
      <c r="AD260" s="154"/>
      <c r="AE260" s="478"/>
      <c r="AF260" s="154"/>
      <c r="AG260" s="478"/>
      <c r="AH260" s="478"/>
      <c r="AI260" s="478"/>
      <c r="AJ260" s="478"/>
      <c r="AK260" s="478"/>
      <c r="AL260" s="154"/>
      <c r="AM260" s="478"/>
      <c r="AN260" s="154"/>
    </row>
    <row r="261" spans="7:40" x14ac:dyDescent="0.2">
      <c r="G261" s="412"/>
      <c r="Z261" s="478"/>
      <c r="AA261" s="478"/>
      <c r="AB261" s="478"/>
      <c r="AC261" s="478"/>
      <c r="AD261" s="154"/>
      <c r="AE261" s="478"/>
      <c r="AF261" s="154"/>
      <c r="AG261" s="478"/>
      <c r="AH261" s="478"/>
      <c r="AI261" s="478"/>
      <c r="AJ261" s="478"/>
      <c r="AK261" s="478"/>
      <c r="AL261" s="154"/>
      <c r="AM261" s="478"/>
      <c r="AN261" s="478"/>
    </row>
    <row r="262" spans="7:40" x14ac:dyDescent="0.2">
      <c r="G262" s="412"/>
      <c r="Z262" s="478"/>
      <c r="AA262" s="478"/>
      <c r="AB262" s="478"/>
      <c r="AC262" s="478"/>
      <c r="AD262" s="154"/>
      <c r="AE262" s="478"/>
      <c r="AF262" s="154"/>
      <c r="AG262" s="478"/>
      <c r="AH262" s="478"/>
      <c r="AI262" s="478"/>
      <c r="AJ262" s="478"/>
      <c r="AK262" s="478"/>
      <c r="AL262" s="154"/>
      <c r="AM262" s="478"/>
      <c r="AN262" s="478"/>
    </row>
    <row r="263" spans="7:40" x14ac:dyDescent="0.2">
      <c r="G263" s="412"/>
      <c r="Z263" s="154"/>
      <c r="AA263" s="154"/>
      <c r="AB263" s="154"/>
      <c r="AD263" s="154"/>
      <c r="AE263" s="154"/>
      <c r="AF263" s="154"/>
      <c r="AG263" s="154"/>
      <c r="AH263" s="154"/>
      <c r="AI263" s="154"/>
      <c r="AJ263" s="154"/>
      <c r="AL263" s="154"/>
      <c r="AM263" s="154"/>
      <c r="AN263" s="154"/>
    </row>
    <row r="264" spans="7:40" x14ac:dyDescent="0.2">
      <c r="G264" s="412"/>
      <c r="Z264" s="154"/>
      <c r="AA264" s="154"/>
      <c r="AB264" s="154"/>
      <c r="AD264" s="154"/>
      <c r="AE264" s="154"/>
      <c r="AF264" s="154"/>
      <c r="AG264" s="154"/>
      <c r="AH264" s="154"/>
      <c r="AI264" s="154"/>
      <c r="AJ264" s="154"/>
      <c r="AL264" s="154"/>
      <c r="AM264" s="154"/>
      <c r="AN264" s="154"/>
    </row>
    <row r="265" spans="7:40" x14ac:dyDescent="0.2">
      <c r="Z265" s="154"/>
      <c r="AA265" s="154"/>
      <c r="AB265" s="154"/>
      <c r="AD265" s="154"/>
      <c r="AE265" s="154"/>
      <c r="AF265" s="154"/>
      <c r="AG265" s="154"/>
      <c r="AH265" s="154"/>
      <c r="AI265" s="154"/>
      <c r="AJ265" s="154"/>
      <c r="AL265" s="154"/>
      <c r="AM265" s="154"/>
      <c r="AN265" s="154"/>
    </row>
    <row r="266" spans="7:40" x14ac:dyDescent="0.2">
      <c r="Z266" s="154"/>
      <c r="AA266" s="154"/>
      <c r="AB266" s="154"/>
      <c r="AD266" s="154"/>
      <c r="AE266" s="154"/>
      <c r="AF266" s="154"/>
      <c r="AG266" s="154"/>
      <c r="AH266" s="154"/>
      <c r="AI266" s="154"/>
      <c r="AJ266" s="154"/>
      <c r="AL266" s="154"/>
      <c r="AM266" s="154"/>
      <c r="AN266" s="154"/>
    </row>
    <row r="267" spans="7:40" x14ac:dyDescent="0.2">
      <c r="Z267" s="154"/>
      <c r="AA267" s="154"/>
      <c r="AB267" s="154"/>
      <c r="AD267" s="154"/>
      <c r="AE267" s="154"/>
      <c r="AF267" s="154"/>
      <c r="AG267" s="154"/>
      <c r="AH267" s="154"/>
      <c r="AI267" s="154"/>
      <c r="AJ267" s="154"/>
      <c r="AL267" s="154"/>
      <c r="AM267" s="154"/>
      <c r="AN267" s="154"/>
    </row>
    <row r="268" spans="7:40" x14ac:dyDescent="0.2">
      <c r="Z268" s="154"/>
      <c r="AA268" s="154"/>
      <c r="AB268" s="154"/>
      <c r="AD268" s="154"/>
      <c r="AE268" s="154"/>
      <c r="AF268" s="154"/>
      <c r="AG268" s="154"/>
      <c r="AH268" s="154"/>
      <c r="AI268" s="154"/>
      <c r="AJ268" s="154"/>
      <c r="AL268" s="154"/>
      <c r="AM268" s="154"/>
      <c r="AN268" s="154"/>
    </row>
    <row r="269" spans="7:40" x14ac:dyDescent="0.2">
      <c r="Z269" s="154"/>
      <c r="AA269" s="154"/>
      <c r="AB269" s="154"/>
      <c r="AD269" s="154"/>
      <c r="AE269" s="154"/>
      <c r="AF269" s="154"/>
      <c r="AG269" s="154"/>
      <c r="AH269" s="154"/>
      <c r="AI269" s="154"/>
      <c r="AJ269" s="154"/>
      <c r="AL269" s="154"/>
      <c r="AM269" s="154"/>
      <c r="AN269" s="154"/>
    </row>
    <row r="270" spans="7:40" x14ac:dyDescent="0.2">
      <c r="Z270" s="154"/>
      <c r="AA270" s="154"/>
      <c r="AB270" s="154"/>
      <c r="AD270" s="154"/>
      <c r="AE270" s="154"/>
      <c r="AF270" s="154"/>
      <c r="AG270" s="154"/>
      <c r="AH270" s="154"/>
      <c r="AI270" s="154"/>
      <c r="AJ270" s="154"/>
      <c r="AL270" s="154"/>
      <c r="AM270" s="154"/>
      <c r="AN270" s="154"/>
    </row>
    <row r="271" spans="7:40" x14ac:dyDescent="0.2">
      <c r="Z271" s="154"/>
      <c r="AA271" s="154"/>
      <c r="AB271" s="154"/>
      <c r="AD271" s="154"/>
      <c r="AE271" s="154"/>
      <c r="AF271" s="154"/>
      <c r="AG271" s="154"/>
      <c r="AH271" s="154"/>
      <c r="AI271" s="154"/>
      <c r="AJ271" s="154"/>
      <c r="AL271" s="154"/>
      <c r="AM271" s="154"/>
      <c r="AN271" s="154"/>
    </row>
    <row r="272" spans="7:40" x14ac:dyDescent="0.2">
      <c r="AD272" s="154"/>
      <c r="AF272" s="154"/>
      <c r="AL272" s="154"/>
    </row>
    <row r="273" spans="30:38" x14ac:dyDescent="0.2">
      <c r="AD273" s="154"/>
      <c r="AF273" s="154"/>
      <c r="AL273" s="154"/>
    </row>
    <row r="274" spans="30:38" x14ac:dyDescent="0.2">
      <c r="AD274" s="154"/>
      <c r="AL274" s="154"/>
    </row>
    <row r="275" spans="30:38" x14ac:dyDescent="0.2">
      <c r="AD275" s="154"/>
      <c r="AL275" s="154"/>
    </row>
  </sheetData>
  <customSheetViews>
    <customSheetView guid="{9BEC6399-AE85-4D88-8FBA-3674E2F30307}" hiddenRows="1" hiddenColumns="1" state="hidden">
      <selection activeCell="A19" sqref="A19"/>
      <colBreaks count="1" manualBreakCount="1">
        <brk id="64" max="222" man="1"/>
      </colBreaks>
      <pageMargins left="0.7" right="0.7" top="0.75" bottom="0.75" header="0.3" footer="0.3"/>
      <pageSetup scale="65" orientation="portrait" r:id="rId1"/>
    </customSheetView>
    <customSheetView guid="{0347A67A-6027-4907-965C-6EA2A8295536}" hiddenRows="1" hiddenColumns="1" state="hidden">
      <selection activeCell="A19" sqref="A19"/>
      <colBreaks count="1" manualBreakCount="1">
        <brk id="64" max="222" man="1"/>
      </colBreaks>
      <pageMargins left="0.7" right="0.7" top="0.75" bottom="0.75" header="0.3" footer="0.3"/>
      <pageSetup scale="65" orientation="portrait" r:id="rId2"/>
    </customSheetView>
    <customSheetView guid="{15CC7F3D-99AB-49C1-AC00-E04D3FE3FBC1}" hiddenRows="1" hiddenColumns="1" state="hidden">
      <selection activeCell="A19" sqref="A19"/>
      <colBreaks count="1" manualBreakCount="1">
        <brk id="64" max="222" man="1"/>
      </colBreaks>
      <pageMargins left="0.7" right="0.7" top="0.75" bottom="0.75" header="0.3" footer="0.3"/>
      <pageSetup scale="65" orientation="portrait" r:id="rId3"/>
    </customSheetView>
  </customSheetViews>
  <mergeCells count="22">
    <mergeCell ref="G181:H181"/>
    <mergeCell ref="G200:H200"/>
    <mergeCell ref="G211:H211"/>
    <mergeCell ref="G222:H222"/>
    <mergeCell ref="G145:H145"/>
    <mergeCell ref="G163:H163"/>
    <mergeCell ref="R87:S87"/>
    <mergeCell ref="R97:S97"/>
    <mergeCell ref="R222:S222"/>
    <mergeCell ref="R211:S211"/>
    <mergeCell ref="R200:S200"/>
    <mergeCell ref="R181:S181"/>
    <mergeCell ref="Q163:R163"/>
    <mergeCell ref="Q145:R145"/>
    <mergeCell ref="Q131:R131"/>
    <mergeCell ref="R109:S109"/>
    <mergeCell ref="R119:S119"/>
    <mergeCell ref="G87:H87"/>
    <mergeCell ref="G97:H97"/>
    <mergeCell ref="G109:H109"/>
    <mergeCell ref="G119:H119"/>
    <mergeCell ref="G131:H131"/>
  </mergeCells>
  <pageMargins left="0.7" right="0.7" top="0.75" bottom="0.75" header="0.3" footer="0.3"/>
  <pageSetup scale="65" orientation="portrait" r:id="rId4"/>
  <colBreaks count="1" manualBreakCount="1">
    <brk id="64" max="222" man="1"/>
  </colBreaks>
  <drawing r:id="rId5"/>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8"/>
  </sheetPr>
  <dimension ref="A1:AG66"/>
  <sheetViews>
    <sheetView workbookViewId="0">
      <selection activeCell="E14" sqref="E14"/>
    </sheetView>
  </sheetViews>
  <sheetFormatPr defaultColWidth="8.85546875" defaultRowHeight="12" x14ac:dyDescent="0.2"/>
  <cols>
    <col min="1" max="1" width="33.5703125" style="116" bestFit="1" customWidth="1"/>
    <col min="2" max="2" width="9.85546875" style="2047" bestFit="1" customWidth="1"/>
    <col min="3" max="3" width="3.28515625" style="2047" bestFit="1" customWidth="1"/>
    <col min="4" max="4" width="10.5703125" style="116" bestFit="1" customWidth="1"/>
    <col min="5" max="9" width="8.140625" style="2047" customWidth="1"/>
    <col min="10" max="10" width="9.5703125" style="2047" bestFit="1" customWidth="1"/>
    <col min="11" max="11" width="5" style="116" customWidth="1"/>
    <col min="12" max="12" width="7.7109375" style="804" bestFit="1" customWidth="1"/>
    <col min="13" max="13" width="7.42578125" style="132" bestFit="1" customWidth="1"/>
    <col min="14" max="14" width="5.5703125" style="132" bestFit="1" customWidth="1"/>
    <col min="15" max="15" width="8.5703125" style="132" bestFit="1" customWidth="1"/>
    <col min="16" max="16" width="13.42578125" style="132" bestFit="1" customWidth="1"/>
    <col min="17" max="17" width="9.5703125" style="132" bestFit="1" customWidth="1"/>
    <col min="18" max="18" width="17.42578125" style="132" customWidth="1"/>
    <col min="19" max="19" width="10.140625" style="140" bestFit="1" customWidth="1"/>
    <col min="20" max="20" width="13.42578125" style="5" customWidth="1"/>
    <col min="21" max="21" width="5" style="5" customWidth="1"/>
    <col min="22" max="22" width="12" style="5" customWidth="1"/>
    <col min="23" max="23" width="8.5703125" style="5" customWidth="1"/>
    <col min="24" max="24" width="11.42578125" style="5" bestFit="1" customWidth="1"/>
    <col min="25" max="25" width="16.140625" style="1" customWidth="1"/>
    <col min="26" max="26" width="10.140625" style="5" bestFit="1" customWidth="1"/>
    <col min="27" max="27" width="13.42578125" style="5" bestFit="1" customWidth="1"/>
    <col min="28" max="28" width="5.5703125" style="5" bestFit="1" customWidth="1"/>
    <col min="29" max="29" width="14.7109375" style="811" bestFit="1" customWidth="1"/>
    <col min="30" max="30" width="7.5703125" style="132" bestFit="1" customWidth="1"/>
    <col min="31" max="31" width="11.42578125" style="132" bestFit="1" customWidth="1"/>
    <col min="32" max="32" width="13.7109375" style="1" bestFit="1" customWidth="1"/>
    <col min="33" max="33" width="8.85546875" style="140"/>
  </cols>
  <sheetData>
    <row r="1" spans="1:33" s="665" customFormat="1" x14ac:dyDescent="0.2">
      <c r="A1" s="666"/>
      <c r="B1" s="2379" t="s">
        <v>934</v>
      </c>
      <c r="C1" s="2379"/>
      <c r="D1" s="666"/>
      <c r="E1" s="2543">
        <v>2003</v>
      </c>
      <c r="F1" s="2544"/>
      <c r="G1" s="2544"/>
      <c r="H1" s="2544"/>
      <c r="I1" s="2544"/>
      <c r="J1" s="2544"/>
      <c r="K1" s="2545"/>
      <c r="L1" s="2543">
        <v>2008</v>
      </c>
      <c r="M1" s="2544"/>
      <c r="N1" s="2544"/>
      <c r="O1" s="2544"/>
      <c r="P1" s="2544"/>
      <c r="Q1" s="2544"/>
      <c r="R1" s="2545"/>
      <c r="S1" s="2543">
        <v>2010</v>
      </c>
      <c r="T1" s="2546"/>
      <c r="U1" s="2546"/>
      <c r="V1" s="2546"/>
      <c r="W1" s="2546"/>
      <c r="X1" s="2546"/>
      <c r="Y1" s="2547"/>
      <c r="Z1" s="2543">
        <v>2015</v>
      </c>
      <c r="AA1" s="2546"/>
      <c r="AB1" s="2546"/>
      <c r="AC1" s="2546"/>
      <c r="AD1" s="2546"/>
      <c r="AE1" s="2546"/>
      <c r="AF1" s="2547"/>
      <c r="AG1" s="2376"/>
    </row>
    <row r="2" spans="1:33" s="9" customFormat="1" x14ac:dyDescent="0.2">
      <c r="A2" s="114" t="s">
        <v>604</v>
      </c>
      <c r="B2" s="282"/>
      <c r="C2" s="282"/>
      <c r="D2" s="114"/>
      <c r="E2" s="2543" t="s">
        <v>1654</v>
      </c>
      <c r="F2" s="2556"/>
      <c r="G2" s="2547"/>
      <c r="H2" s="2543" t="s">
        <v>1814</v>
      </c>
      <c r="I2" s="2556"/>
      <c r="J2" s="2556"/>
      <c r="K2" s="2547"/>
      <c r="L2" s="2543" t="s">
        <v>1654</v>
      </c>
      <c r="M2" s="2556"/>
      <c r="N2" s="2547"/>
      <c r="O2" s="2543" t="s">
        <v>1814</v>
      </c>
      <c r="P2" s="2556"/>
      <c r="Q2" s="2556"/>
      <c r="R2" s="2547"/>
      <c r="S2" s="2543" t="s">
        <v>1654</v>
      </c>
      <c r="T2" s="2556"/>
      <c r="U2" s="2547"/>
      <c r="V2" s="2543" t="s">
        <v>1814</v>
      </c>
      <c r="W2" s="2556"/>
      <c r="X2" s="2556"/>
      <c r="Y2" s="2547"/>
      <c r="Z2" s="2557" t="s">
        <v>1654</v>
      </c>
      <c r="AA2" s="2558"/>
      <c r="AB2" s="2559"/>
      <c r="AC2" s="2377" t="s">
        <v>1814</v>
      </c>
      <c r="AD2" s="2018"/>
      <c r="AE2" s="2018"/>
      <c r="AF2" s="8"/>
      <c r="AG2" s="373"/>
    </row>
    <row r="3" spans="1:33" s="9" customFormat="1" x14ac:dyDescent="0.2">
      <c r="A3" s="114"/>
      <c r="B3" s="282"/>
      <c r="C3" s="282"/>
      <c r="D3" s="114"/>
      <c r="E3" s="603" t="s">
        <v>602</v>
      </c>
      <c r="F3" s="2016" t="s">
        <v>601</v>
      </c>
      <c r="G3" s="2017" t="s">
        <v>420</v>
      </c>
      <c r="H3" s="2016" t="s">
        <v>602</v>
      </c>
      <c r="I3" s="2016" t="s">
        <v>601</v>
      </c>
      <c r="J3" s="2016" t="s">
        <v>603</v>
      </c>
      <c r="K3" s="2378" t="s">
        <v>420</v>
      </c>
      <c r="L3" s="837" t="s">
        <v>602</v>
      </c>
      <c r="M3" s="2016" t="s">
        <v>601</v>
      </c>
      <c r="N3" s="2377" t="s">
        <v>420</v>
      </c>
      <c r="O3" s="2016" t="s">
        <v>602</v>
      </c>
      <c r="P3" s="2016" t="s">
        <v>601</v>
      </c>
      <c r="Q3" s="2016" t="s">
        <v>603</v>
      </c>
      <c r="R3" s="2016" t="s">
        <v>420</v>
      </c>
      <c r="S3" s="373" t="s">
        <v>602</v>
      </c>
      <c r="T3" s="232" t="s">
        <v>601</v>
      </c>
      <c r="U3" s="232" t="s">
        <v>420</v>
      </c>
      <c r="V3" s="603" t="s">
        <v>602</v>
      </c>
      <c r="W3" s="2016" t="s">
        <v>601</v>
      </c>
      <c r="X3" s="2016" t="s">
        <v>603</v>
      </c>
      <c r="Y3" s="8" t="s">
        <v>420</v>
      </c>
      <c r="Z3" s="232" t="s">
        <v>602</v>
      </c>
      <c r="AA3" s="232" t="s">
        <v>601</v>
      </c>
      <c r="AB3" s="232" t="s">
        <v>420</v>
      </c>
      <c r="AC3" s="603" t="s">
        <v>602</v>
      </c>
      <c r="AD3" s="2016" t="s">
        <v>601</v>
      </c>
      <c r="AE3" s="2016" t="s">
        <v>603</v>
      </c>
      <c r="AF3" s="8" t="s">
        <v>420</v>
      </c>
      <c r="AG3" s="373" t="s">
        <v>1656</v>
      </c>
    </row>
    <row r="4" spans="1:33" s="634" customFormat="1" x14ac:dyDescent="0.2">
      <c r="A4" s="1700" t="s">
        <v>2334</v>
      </c>
      <c r="B4" s="2032"/>
      <c r="C4" s="2032"/>
      <c r="D4" s="1700"/>
      <c r="E4" s="2032"/>
      <c r="F4" s="2032"/>
      <c r="G4" s="2032"/>
      <c r="H4" s="2032"/>
      <c r="I4" s="2032"/>
      <c r="J4" s="2032"/>
      <c r="K4" s="1700"/>
      <c r="L4" s="1704"/>
      <c r="M4" s="2032"/>
      <c r="N4" s="2032"/>
      <c r="O4" s="2032"/>
      <c r="P4" s="2032"/>
      <c r="Q4" s="2032"/>
      <c r="R4" s="2032"/>
      <c r="S4" s="1704"/>
      <c r="T4" s="1701"/>
      <c r="U4" s="1701"/>
      <c r="V4" s="1701"/>
      <c r="W4" s="1701"/>
      <c r="X4" s="1701"/>
      <c r="Y4" s="2034"/>
      <c r="Z4" s="1701"/>
      <c r="AA4" s="1701"/>
      <c r="AB4" s="1701"/>
      <c r="AC4" s="1701"/>
      <c r="AD4" s="2032"/>
      <c r="AE4" s="2032"/>
      <c r="AF4" s="2032"/>
      <c r="AG4" s="2421"/>
    </row>
    <row r="5" spans="1:33" s="168" customFormat="1" x14ac:dyDescent="0.2">
      <c r="A5" s="1483" t="s">
        <v>210</v>
      </c>
      <c r="B5" s="215"/>
      <c r="C5" s="215"/>
      <c r="D5" s="216"/>
      <c r="E5" s="215"/>
      <c r="F5" s="215"/>
      <c r="G5" s="215"/>
      <c r="H5" s="215"/>
      <c r="I5" s="215"/>
      <c r="J5" s="215"/>
      <c r="K5" s="216"/>
      <c r="L5" s="1705"/>
      <c r="M5" s="245"/>
      <c r="N5" s="245"/>
      <c r="O5" s="245"/>
      <c r="P5" s="245"/>
      <c r="Q5" s="245"/>
      <c r="R5" s="245"/>
      <c r="S5" s="253"/>
      <c r="T5" s="214"/>
      <c r="U5" s="214"/>
      <c r="V5" s="214"/>
      <c r="W5" s="214"/>
      <c r="X5" s="214"/>
      <c r="Y5" s="738"/>
      <c r="Z5" s="214"/>
      <c r="AA5" s="214"/>
      <c r="AB5" s="214"/>
      <c r="AC5" s="806"/>
      <c r="AD5" s="245"/>
      <c r="AE5" s="245"/>
      <c r="AF5" s="738"/>
      <c r="AG5" s="253"/>
    </row>
    <row r="6" spans="1:33" s="168" customFormat="1" ht="12" customHeight="1" x14ac:dyDescent="0.2">
      <c r="A6" s="594" t="s">
        <v>276</v>
      </c>
      <c r="B6" s="2037"/>
      <c r="C6" s="2037"/>
      <c r="D6" s="594"/>
      <c r="E6" s="2037"/>
      <c r="F6" s="2037"/>
      <c r="G6" s="2037"/>
      <c r="H6" s="788">
        <v>11050</v>
      </c>
      <c r="I6" s="312" t="s">
        <v>317</v>
      </c>
      <c r="J6" s="295" t="s">
        <v>2228</v>
      </c>
      <c r="K6" s="2069" t="s">
        <v>2002</v>
      </c>
      <c r="L6" s="1806"/>
      <c r="M6" s="130"/>
      <c r="N6" s="130"/>
      <c r="O6" s="788">
        <v>11050</v>
      </c>
      <c r="P6" s="312" t="s">
        <v>317</v>
      </c>
      <c r="Q6" s="295" t="s">
        <v>2228</v>
      </c>
      <c r="R6" s="2035" t="s">
        <v>2002</v>
      </c>
      <c r="S6" s="253"/>
      <c r="T6" s="214"/>
      <c r="U6" s="214"/>
      <c r="V6" s="2415">
        <v>8209</v>
      </c>
      <c r="W6" s="138" t="s">
        <v>317</v>
      </c>
      <c r="X6" s="138" t="s">
        <v>1815</v>
      </c>
      <c r="Y6" s="589" t="s">
        <v>1995</v>
      </c>
      <c r="Z6" s="214"/>
      <c r="AA6" s="214"/>
      <c r="AB6" s="214"/>
      <c r="AC6" s="2415">
        <v>8209</v>
      </c>
      <c r="AD6" s="138" t="s">
        <v>317</v>
      </c>
      <c r="AE6" s="138" t="s">
        <v>1815</v>
      </c>
      <c r="AF6" s="589" t="s">
        <v>1995</v>
      </c>
      <c r="AG6" s="253"/>
    </row>
    <row r="7" spans="1:33" s="168" customFormat="1" ht="12" customHeight="1" x14ac:dyDescent="0.2">
      <c r="A7" s="594" t="s">
        <v>277</v>
      </c>
      <c r="B7" s="2037"/>
      <c r="C7" s="2037"/>
      <c r="D7" s="594"/>
      <c r="E7" s="2037"/>
      <c r="F7" s="2037"/>
      <c r="G7" s="2037"/>
      <c r="H7" s="788">
        <v>6973</v>
      </c>
      <c r="I7" s="312" t="s">
        <v>317</v>
      </c>
      <c r="J7" s="295" t="s">
        <v>2228</v>
      </c>
      <c r="K7" s="2069" t="s">
        <v>2003</v>
      </c>
      <c r="L7" s="1806"/>
      <c r="M7" s="130"/>
      <c r="N7" s="130"/>
      <c r="O7" s="788">
        <v>6973</v>
      </c>
      <c r="P7" s="312" t="s">
        <v>317</v>
      </c>
      <c r="Q7" s="295" t="s">
        <v>2228</v>
      </c>
      <c r="R7" s="2035" t="s">
        <v>2003</v>
      </c>
      <c r="S7" s="253"/>
      <c r="T7" s="214"/>
      <c r="U7" s="214"/>
      <c r="V7" s="2415">
        <v>8619</v>
      </c>
      <c r="W7" s="138" t="s">
        <v>317</v>
      </c>
      <c r="X7" s="138" t="s">
        <v>1815</v>
      </c>
      <c r="Y7" s="589" t="s">
        <v>1996</v>
      </c>
      <c r="Z7" s="214"/>
      <c r="AA7" s="214"/>
      <c r="AB7" s="214"/>
      <c r="AC7" s="2415">
        <v>8619</v>
      </c>
      <c r="AD7" s="138" t="s">
        <v>317</v>
      </c>
      <c r="AE7" s="138" t="s">
        <v>1815</v>
      </c>
      <c r="AF7" s="589" t="s">
        <v>1996</v>
      </c>
      <c r="AG7" s="253"/>
    </row>
    <row r="8" spans="1:33" s="168" customFormat="1" ht="12" customHeight="1" x14ac:dyDescent="0.2">
      <c r="A8" s="594" t="s">
        <v>278</v>
      </c>
      <c r="B8" s="2037"/>
      <c r="C8" s="2037"/>
      <c r="D8" s="594"/>
      <c r="E8" s="2037"/>
      <c r="F8" s="2037"/>
      <c r="G8" s="2037"/>
      <c r="H8" s="788">
        <v>22304</v>
      </c>
      <c r="I8" s="312" t="s">
        <v>317</v>
      </c>
      <c r="J8" s="295" t="s">
        <v>2228</v>
      </c>
      <c r="K8" s="2069" t="s">
        <v>2004</v>
      </c>
      <c r="L8" s="1806"/>
      <c r="M8" s="130"/>
      <c r="N8" s="130"/>
      <c r="O8" s="788">
        <v>22304</v>
      </c>
      <c r="P8" s="312" t="s">
        <v>317</v>
      </c>
      <c r="Q8" s="295" t="s">
        <v>2228</v>
      </c>
      <c r="R8" s="2035" t="s">
        <v>2004</v>
      </c>
      <c r="S8" s="253"/>
      <c r="T8" s="214"/>
      <c r="U8" s="214"/>
      <c r="V8" s="2415">
        <v>24969</v>
      </c>
      <c r="W8" s="138" t="s">
        <v>317</v>
      </c>
      <c r="X8" s="138" t="s">
        <v>1815</v>
      </c>
      <c r="Y8" s="589" t="s">
        <v>1997</v>
      </c>
      <c r="Z8" s="214"/>
      <c r="AA8" s="214"/>
      <c r="AB8" s="214"/>
      <c r="AC8" s="2415">
        <v>24969</v>
      </c>
      <c r="AD8" s="138" t="s">
        <v>317</v>
      </c>
      <c r="AE8" s="138" t="s">
        <v>1815</v>
      </c>
      <c r="AF8" s="589" t="s">
        <v>1997</v>
      </c>
      <c r="AG8" s="253"/>
    </row>
    <row r="9" spans="1:33" s="168" customFormat="1" ht="12" customHeight="1" x14ac:dyDescent="0.2">
      <c r="A9" s="186" t="s">
        <v>231</v>
      </c>
      <c r="B9" s="2038"/>
      <c r="C9" s="2038"/>
      <c r="D9" s="186"/>
      <c r="E9" s="2038"/>
      <c r="F9" s="2038"/>
      <c r="G9" s="2038"/>
      <c r="H9" s="788">
        <v>79233</v>
      </c>
      <c r="I9" s="313" t="s">
        <v>230</v>
      </c>
      <c r="J9" s="295" t="s">
        <v>2228</v>
      </c>
      <c r="K9" s="2069" t="s">
        <v>2005</v>
      </c>
      <c r="L9" s="1807"/>
      <c r="M9" s="187"/>
      <c r="N9" s="187"/>
      <c r="O9" s="788">
        <v>79233</v>
      </c>
      <c r="P9" s="313" t="s">
        <v>230</v>
      </c>
      <c r="Q9" s="295" t="s">
        <v>2228</v>
      </c>
      <c r="R9" s="2035" t="s">
        <v>2005</v>
      </c>
      <c r="S9" s="253"/>
      <c r="T9" s="214"/>
      <c r="U9" s="214"/>
      <c r="V9" s="2416">
        <v>75289</v>
      </c>
      <c r="W9" s="138" t="s">
        <v>317</v>
      </c>
      <c r="X9" s="138" t="s">
        <v>1815</v>
      </c>
      <c r="Y9" s="589" t="s">
        <v>1998</v>
      </c>
      <c r="Z9" s="214"/>
      <c r="AA9" s="214"/>
      <c r="AB9" s="214"/>
      <c r="AC9" s="2416">
        <v>75289</v>
      </c>
      <c r="AD9" s="138" t="s">
        <v>317</v>
      </c>
      <c r="AE9" s="138" t="s">
        <v>1815</v>
      </c>
      <c r="AF9" s="589" t="s">
        <v>1998</v>
      </c>
      <c r="AG9" s="253"/>
    </row>
    <row r="10" spans="1:33" s="168" customFormat="1" x14ac:dyDescent="0.2">
      <c r="A10" s="595" t="s">
        <v>934</v>
      </c>
      <c r="B10" s="2039"/>
      <c r="C10" s="2039"/>
      <c r="D10" s="595"/>
      <c r="E10" s="2039"/>
      <c r="F10" s="2039"/>
      <c r="G10" s="2039"/>
      <c r="H10" s="2039"/>
      <c r="I10" s="2039"/>
      <c r="J10" s="2039"/>
      <c r="K10" s="595"/>
      <c r="L10" s="1706"/>
      <c r="M10" s="86"/>
      <c r="N10" s="86"/>
      <c r="O10" s="86"/>
      <c r="P10" s="86"/>
      <c r="Q10" s="86"/>
      <c r="R10" s="86"/>
      <c r="S10" s="253"/>
      <c r="T10" s="214"/>
      <c r="U10" s="214"/>
      <c r="V10" s="214"/>
      <c r="W10" s="214"/>
      <c r="X10" s="214"/>
      <c r="Y10" s="738"/>
      <c r="Z10" s="214"/>
      <c r="AA10" s="214"/>
      <c r="AB10" s="214"/>
      <c r="AC10" s="2417"/>
      <c r="AD10" s="86"/>
      <c r="AE10" s="86"/>
      <c r="AF10" s="738"/>
      <c r="AG10" s="253"/>
    </row>
    <row r="11" spans="1:33" s="168" customFormat="1" x14ac:dyDescent="0.2">
      <c r="A11" s="596" t="s">
        <v>595</v>
      </c>
      <c r="B11" s="804">
        <v>16280821</v>
      </c>
      <c r="C11" s="400" t="s">
        <v>769</v>
      </c>
      <c r="D11" s="161" t="s">
        <v>2227</v>
      </c>
      <c r="E11" s="2040"/>
      <c r="F11" s="2040"/>
      <c r="G11" s="2040"/>
      <c r="H11" s="2040"/>
      <c r="I11" s="2040"/>
      <c r="J11" s="2040"/>
      <c r="K11" s="596"/>
      <c r="L11" s="1706"/>
      <c r="M11" s="86"/>
      <c r="N11" s="86"/>
      <c r="O11" s="86"/>
      <c r="P11" s="86"/>
      <c r="Q11" s="86"/>
      <c r="R11" s="86"/>
      <c r="S11" s="253"/>
      <c r="T11" s="214"/>
      <c r="U11" s="214"/>
      <c r="V11" s="214"/>
      <c r="W11" s="214"/>
      <c r="X11" s="214"/>
      <c r="Y11" s="738"/>
      <c r="Z11" s="214"/>
      <c r="AA11" s="214"/>
      <c r="AB11" s="214"/>
      <c r="AC11" s="2418"/>
      <c r="AD11" s="86"/>
      <c r="AE11" s="86"/>
      <c r="AF11" s="738"/>
      <c r="AG11" s="253"/>
    </row>
    <row r="12" spans="1:33" s="168" customFormat="1" x14ac:dyDescent="0.2">
      <c r="A12" s="596" t="s">
        <v>935</v>
      </c>
      <c r="B12" s="804">
        <v>14573379</v>
      </c>
      <c r="C12" s="400" t="s">
        <v>769</v>
      </c>
      <c r="D12" s="161" t="s">
        <v>2227</v>
      </c>
      <c r="E12" s="2040"/>
      <c r="F12" s="2040"/>
      <c r="G12" s="2040"/>
      <c r="H12" s="2040"/>
      <c r="I12" s="2040"/>
      <c r="J12" s="2040"/>
      <c r="K12" s="596"/>
      <c r="L12" s="1706"/>
      <c r="M12" s="86"/>
      <c r="N12" s="86"/>
      <c r="O12" s="86"/>
      <c r="P12" s="86"/>
      <c r="Q12" s="86"/>
      <c r="R12" s="86"/>
      <c r="S12" s="253"/>
      <c r="T12" s="214"/>
      <c r="U12" s="214"/>
      <c r="V12" s="214"/>
      <c r="W12" s="214"/>
      <c r="X12" s="214"/>
      <c r="Y12" s="738"/>
      <c r="Z12" s="214"/>
      <c r="AA12" s="214"/>
      <c r="AB12" s="214"/>
      <c r="AC12" s="2418"/>
      <c r="AD12" s="86"/>
      <c r="AE12" s="86"/>
      <c r="AF12" s="738"/>
      <c r="AG12" s="253"/>
    </row>
    <row r="13" spans="1:33" s="168" customFormat="1" x14ac:dyDescent="0.2">
      <c r="A13" s="596" t="s">
        <v>936</v>
      </c>
      <c r="B13" s="804">
        <v>12707593</v>
      </c>
      <c r="C13" s="400" t="s">
        <v>769</v>
      </c>
      <c r="D13" s="161" t="s">
        <v>2227</v>
      </c>
      <c r="E13" s="2040"/>
      <c r="F13" s="2040"/>
      <c r="G13" s="2040"/>
      <c r="H13" s="2040"/>
      <c r="I13" s="2040"/>
      <c r="J13" s="2040"/>
      <c r="K13" s="596"/>
      <c r="L13" s="1706"/>
      <c r="M13" s="86"/>
      <c r="N13" s="86"/>
      <c r="O13" s="86"/>
      <c r="P13" s="86"/>
      <c r="Q13" s="86"/>
      <c r="R13" s="86"/>
      <c r="S13" s="253"/>
      <c r="T13" s="214"/>
      <c r="U13" s="214"/>
      <c r="V13" s="214"/>
      <c r="W13" s="214"/>
      <c r="X13" s="214"/>
      <c r="Y13" s="738"/>
      <c r="Z13" s="214"/>
      <c r="AA13" s="214"/>
      <c r="AB13" s="214"/>
      <c r="AC13" s="2418"/>
      <c r="AD13" s="86"/>
      <c r="AE13" s="86"/>
      <c r="AF13" s="738"/>
      <c r="AG13" s="253"/>
    </row>
    <row r="14" spans="1:33" s="168" customFormat="1" x14ac:dyDescent="0.2">
      <c r="A14" s="596" t="s">
        <v>857</v>
      </c>
      <c r="B14" s="804">
        <v>13973296</v>
      </c>
      <c r="C14" s="400" t="s">
        <v>769</v>
      </c>
      <c r="D14" s="161" t="s">
        <v>2227</v>
      </c>
      <c r="E14" s="2040"/>
      <c r="F14" s="2040"/>
      <c r="G14" s="2040"/>
      <c r="H14" s="2040"/>
      <c r="I14" s="2040"/>
      <c r="J14" s="2040"/>
      <c r="K14" s="596"/>
      <c r="L14" s="1706"/>
      <c r="M14" s="86"/>
      <c r="N14" s="86"/>
      <c r="O14" s="86"/>
      <c r="P14" s="86"/>
      <c r="Q14" s="86"/>
      <c r="R14" s="86"/>
      <c r="S14" s="1808"/>
      <c r="T14" s="214"/>
      <c r="U14" s="214"/>
      <c r="V14" s="214"/>
      <c r="W14" s="214"/>
      <c r="X14" s="214"/>
      <c r="Y14" s="738"/>
      <c r="Z14" s="214"/>
      <c r="AA14" s="214"/>
      <c r="AB14" s="214"/>
      <c r="AC14" s="2418"/>
      <c r="AD14" s="86"/>
      <c r="AE14" s="86"/>
      <c r="AF14" s="738"/>
      <c r="AG14" s="253"/>
    </row>
    <row r="15" spans="1:33" s="168" customFormat="1" x14ac:dyDescent="0.2">
      <c r="A15" s="596" t="s">
        <v>937</v>
      </c>
      <c r="B15" s="804">
        <v>16713248</v>
      </c>
      <c r="C15" s="400" t="s">
        <v>769</v>
      </c>
      <c r="D15" s="161" t="s">
        <v>2227</v>
      </c>
      <c r="E15" s="2040"/>
      <c r="F15" s="2040"/>
      <c r="G15" s="2040"/>
      <c r="H15" s="2040"/>
      <c r="I15" s="2040"/>
      <c r="J15" s="2040"/>
      <c r="K15" s="596"/>
      <c r="L15" s="1706"/>
      <c r="M15" s="86"/>
      <c r="N15" s="86"/>
      <c r="O15" s="86"/>
      <c r="P15" s="86"/>
      <c r="Q15" s="86"/>
      <c r="R15" s="86"/>
      <c r="S15" s="1808"/>
      <c r="T15" s="214"/>
      <c r="U15" s="214"/>
      <c r="V15" s="214"/>
      <c r="W15" s="214"/>
      <c r="X15" s="214"/>
      <c r="Y15" s="738"/>
      <c r="Z15" s="214"/>
      <c r="AA15" s="214"/>
      <c r="AB15" s="214"/>
      <c r="AC15" s="2418"/>
      <c r="AD15" s="86"/>
      <c r="AE15" s="86"/>
      <c r="AF15" s="738"/>
      <c r="AG15" s="253"/>
    </row>
    <row r="16" spans="1:33" s="168" customFormat="1" x14ac:dyDescent="0.2">
      <c r="A16" s="596" t="s">
        <v>596</v>
      </c>
      <c r="B16" s="826">
        <v>20564860</v>
      </c>
      <c r="C16" s="400" t="s">
        <v>769</v>
      </c>
      <c r="D16" s="161" t="s">
        <v>2227</v>
      </c>
      <c r="E16" s="2040"/>
      <c r="F16" s="2040"/>
      <c r="G16" s="2040"/>
      <c r="H16" s="2040"/>
      <c r="I16" s="2040"/>
      <c r="J16" s="2040"/>
      <c r="K16" s="596"/>
      <c r="L16" s="1706"/>
      <c r="M16" s="86"/>
      <c r="N16" s="86"/>
      <c r="O16" s="86"/>
      <c r="P16" s="86"/>
      <c r="Q16" s="86"/>
      <c r="R16" s="86"/>
      <c r="S16" s="1808"/>
      <c r="T16" s="214"/>
      <c r="U16" s="214"/>
      <c r="V16" s="214"/>
      <c r="W16" s="214"/>
      <c r="X16" s="214"/>
      <c r="Y16" s="738"/>
      <c r="Z16" s="214"/>
      <c r="AA16" s="214"/>
      <c r="AB16" s="214"/>
      <c r="AC16" s="2418"/>
      <c r="AD16" s="86"/>
      <c r="AE16" s="86"/>
      <c r="AF16" s="738"/>
      <c r="AG16" s="253"/>
    </row>
    <row r="17" spans="1:33" s="168" customFormat="1" x14ac:dyDescent="0.2">
      <c r="A17" s="596" t="s">
        <v>938</v>
      </c>
      <c r="B17" s="804">
        <v>20769134</v>
      </c>
      <c r="C17" s="400" t="s">
        <v>769</v>
      </c>
      <c r="D17" s="161" t="s">
        <v>2227</v>
      </c>
      <c r="E17" s="2040"/>
      <c r="F17" s="2040"/>
      <c r="G17" s="2040"/>
      <c r="H17" s="2040"/>
      <c r="I17" s="2040"/>
      <c r="J17" s="2040"/>
      <c r="K17" s="596"/>
      <c r="L17" s="1706"/>
      <c r="M17" s="86"/>
      <c r="N17" s="86"/>
      <c r="O17" s="86"/>
      <c r="P17" s="86"/>
      <c r="Q17" s="86"/>
      <c r="R17" s="86"/>
      <c r="S17" s="1808"/>
      <c r="T17" s="214"/>
      <c r="U17" s="214"/>
      <c r="V17" s="214"/>
      <c r="W17" s="214"/>
      <c r="X17" s="214"/>
      <c r="Y17" s="738"/>
      <c r="Z17" s="214"/>
      <c r="AA17" s="214"/>
      <c r="AB17" s="214"/>
      <c r="AC17" s="2418"/>
      <c r="AD17" s="86"/>
      <c r="AE17" s="86"/>
      <c r="AF17" s="738"/>
      <c r="AG17" s="253"/>
    </row>
    <row r="18" spans="1:33" s="168" customFormat="1" x14ac:dyDescent="0.2">
      <c r="A18" s="596" t="s">
        <v>939</v>
      </c>
      <c r="B18" s="804">
        <v>21145797</v>
      </c>
      <c r="C18" s="400" t="s">
        <v>769</v>
      </c>
      <c r="D18" s="161" t="s">
        <v>2227</v>
      </c>
      <c r="E18" s="2040"/>
      <c r="F18" s="2040"/>
      <c r="G18" s="2040"/>
      <c r="H18" s="2040"/>
      <c r="I18" s="2040"/>
      <c r="J18" s="2040"/>
      <c r="K18" s="596"/>
      <c r="L18" s="1706"/>
      <c r="M18" s="86"/>
      <c r="N18" s="86"/>
      <c r="O18" s="86"/>
      <c r="P18" s="86"/>
      <c r="Q18" s="86"/>
      <c r="R18" s="86"/>
      <c r="S18" s="1808"/>
      <c r="T18" s="214"/>
      <c r="U18" s="214"/>
      <c r="V18" s="214"/>
      <c r="W18" s="214"/>
      <c r="X18" s="214"/>
      <c r="Y18" s="738"/>
      <c r="Z18" s="214"/>
      <c r="AA18" s="214"/>
      <c r="AB18" s="214"/>
      <c r="AC18" s="2418"/>
      <c r="AD18" s="86"/>
      <c r="AE18" s="86"/>
      <c r="AF18" s="738"/>
      <c r="AG18" s="253"/>
    </row>
    <row r="19" spans="1:33" s="168" customFormat="1" x14ac:dyDescent="0.2">
      <c r="A19" s="596" t="s">
        <v>205</v>
      </c>
      <c r="B19" s="804">
        <v>19977215</v>
      </c>
      <c r="C19" s="400" t="s">
        <v>769</v>
      </c>
      <c r="D19" s="161" t="s">
        <v>2227</v>
      </c>
      <c r="E19" s="2040"/>
      <c r="F19" s="2040"/>
      <c r="G19" s="2040"/>
      <c r="H19" s="2040"/>
      <c r="I19" s="2040"/>
      <c r="J19" s="2040"/>
      <c r="K19" s="596"/>
      <c r="L19" s="1706"/>
      <c r="M19" s="86"/>
      <c r="N19" s="86"/>
      <c r="O19" s="86"/>
      <c r="P19" s="86"/>
      <c r="Q19" s="86"/>
      <c r="R19" s="86"/>
      <c r="S19" s="1808"/>
      <c r="T19" s="214"/>
      <c r="U19" s="214"/>
      <c r="V19" s="214"/>
      <c r="W19" s="214"/>
      <c r="X19" s="214"/>
      <c r="Y19" s="738"/>
      <c r="Z19" s="214"/>
      <c r="AA19" s="214"/>
      <c r="AB19" s="214"/>
      <c r="AC19" s="2418"/>
      <c r="AD19" s="86"/>
      <c r="AE19" s="86"/>
      <c r="AF19" s="738"/>
      <c r="AG19" s="253"/>
    </row>
    <row r="20" spans="1:33" s="168" customFormat="1" x14ac:dyDescent="0.2">
      <c r="A20" s="596" t="s">
        <v>1369</v>
      </c>
      <c r="B20" s="804">
        <v>18580821</v>
      </c>
      <c r="C20" s="400" t="s">
        <v>769</v>
      </c>
      <c r="D20" s="161" t="s">
        <v>1999</v>
      </c>
      <c r="E20" s="2040"/>
      <c r="F20" s="2040"/>
      <c r="G20" s="2040"/>
      <c r="H20" s="2040"/>
      <c r="I20" s="2040"/>
      <c r="J20" s="2040"/>
      <c r="K20" s="596"/>
      <c r="L20" s="1706"/>
      <c r="M20" s="86"/>
      <c r="N20" s="86"/>
      <c r="O20" s="86"/>
      <c r="P20" s="86"/>
      <c r="Q20" s="86"/>
      <c r="R20" s="86"/>
      <c r="S20" s="1808"/>
      <c r="T20" s="214"/>
      <c r="U20" s="214"/>
      <c r="V20" s="214"/>
      <c r="W20" s="214"/>
      <c r="X20" s="214"/>
      <c r="Y20" s="738"/>
      <c r="Z20" s="214"/>
      <c r="AA20" s="214"/>
      <c r="AB20" s="214"/>
      <c r="AC20" s="2418"/>
      <c r="AD20" s="86"/>
      <c r="AE20" s="86"/>
      <c r="AF20" s="738"/>
      <c r="AG20" s="253"/>
    </row>
    <row r="21" spans="1:33" s="168" customFormat="1" x14ac:dyDescent="0.2">
      <c r="A21" s="596" t="s">
        <v>1401</v>
      </c>
      <c r="B21" s="804">
        <v>22732813</v>
      </c>
      <c r="C21" s="400" t="s">
        <v>769</v>
      </c>
      <c r="D21" s="161" t="s">
        <v>1999</v>
      </c>
      <c r="E21" s="2040"/>
      <c r="F21" s="2040"/>
      <c r="G21" s="2040"/>
      <c r="H21" s="2040"/>
      <c r="I21" s="2040"/>
      <c r="J21" s="2040"/>
      <c r="K21" s="596"/>
      <c r="L21" s="1706"/>
      <c r="M21" s="86"/>
      <c r="N21" s="86"/>
      <c r="O21" s="86"/>
      <c r="P21" s="86"/>
      <c r="Q21" s="86"/>
      <c r="R21" s="86"/>
      <c r="S21" s="1808"/>
      <c r="T21" s="214"/>
      <c r="U21" s="214"/>
      <c r="V21" s="214"/>
      <c r="W21" s="214"/>
      <c r="X21" s="214"/>
      <c r="Y21" s="738"/>
      <c r="Z21" s="214"/>
      <c r="AA21" s="214"/>
      <c r="AB21" s="214"/>
      <c r="AC21" s="2418"/>
      <c r="AD21" s="86"/>
      <c r="AE21" s="86"/>
      <c r="AF21" s="738"/>
      <c r="AG21" s="253"/>
    </row>
    <row r="22" spans="1:33" s="168" customFormat="1" x14ac:dyDescent="0.2">
      <c r="A22" s="596" t="s">
        <v>1410</v>
      </c>
      <c r="B22" s="826">
        <v>22856359</v>
      </c>
      <c r="C22" s="400" t="s">
        <v>769</v>
      </c>
      <c r="D22" s="161" t="s">
        <v>1999</v>
      </c>
      <c r="E22" s="2040"/>
      <c r="F22" s="2040"/>
      <c r="G22" s="2040"/>
      <c r="H22" s="2040"/>
      <c r="I22" s="2040"/>
      <c r="J22" s="2040"/>
      <c r="K22" s="596"/>
      <c r="L22" s="1706"/>
      <c r="M22" s="86"/>
      <c r="N22" s="86"/>
      <c r="O22" s="86"/>
      <c r="P22" s="86"/>
      <c r="Q22" s="86"/>
      <c r="R22" s="86"/>
      <c r="S22" s="1808"/>
      <c r="T22" s="214"/>
      <c r="U22" s="214"/>
      <c r="V22" s="214"/>
      <c r="W22" s="214"/>
      <c r="X22" s="214"/>
      <c r="Y22" s="738"/>
      <c r="Z22" s="214"/>
      <c r="AA22" s="214"/>
      <c r="AB22" s="214"/>
      <c r="AC22" s="2418"/>
      <c r="AD22" s="86"/>
      <c r="AE22" s="86"/>
      <c r="AF22" s="738"/>
      <c r="AG22" s="253"/>
    </row>
    <row r="23" spans="1:33" s="168" customFormat="1" x14ac:dyDescent="0.2">
      <c r="A23" s="596" t="s">
        <v>1562</v>
      </c>
      <c r="B23" s="804">
        <v>20046323</v>
      </c>
      <c r="C23" s="400" t="s">
        <v>769</v>
      </c>
      <c r="D23" s="161" t="s">
        <v>1999</v>
      </c>
      <c r="E23" s="2040"/>
      <c r="F23" s="2040"/>
      <c r="G23" s="2040"/>
      <c r="H23" s="2040"/>
      <c r="I23" s="2040"/>
      <c r="J23" s="2040"/>
      <c r="K23" s="596"/>
      <c r="L23" s="1706"/>
      <c r="M23" s="86"/>
      <c r="N23" s="86"/>
      <c r="O23" s="86"/>
      <c r="P23" s="86"/>
      <c r="Q23" s="86"/>
      <c r="R23" s="86"/>
      <c r="S23" s="1808"/>
      <c r="T23" s="214"/>
      <c r="U23" s="214"/>
      <c r="V23" s="214"/>
      <c r="W23" s="214"/>
      <c r="X23" s="214"/>
      <c r="Y23" s="738"/>
      <c r="Z23" s="214"/>
      <c r="AA23" s="214"/>
      <c r="AB23" s="214"/>
      <c r="AC23" s="2418"/>
      <c r="AD23" s="86"/>
      <c r="AE23" s="86"/>
      <c r="AF23" s="738"/>
      <c r="AG23" s="253"/>
    </row>
    <row r="24" spans="1:33" s="168" customFormat="1" x14ac:dyDescent="0.2">
      <c r="A24" s="596" t="s">
        <v>1561</v>
      </c>
      <c r="B24" s="804">
        <v>16011122</v>
      </c>
      <c r="C24" s="400" t="s">
        <v>769</v>
      </c>
      <c r="D24" s="161" t="s">
        <v>1999</v>
      </c>
      <c r="E24" s="2040"/>
      <c r="F24" s="2040"/>
      <c r="G24" s="2040"/>
      <c r="H24" s="2040"/>
      <c r="I24" s="2040"/>
      <c r="J24" s="2040"/>
      <c r="K24" s="596"/>
      <c r="L24" s="1706"/>
      <c r="M24" s="86"/>
      <c r="N24" s="86"/>
      <c r="O24" s="86"/>
      <c r="P24" s="86"/>
      <c r="Q24" s="86"/>
      <c r="R24" s="86"/>
      <c r="S24" s="1808"/>
      <c r="T24" s="214"/>
      <c r="U24" s="214"/>
      <c r="V24" s="214"/>
      <c r="W24" s="214"/>
      <c r="X24" s="214"/>
      <c r="Y24" s="738"/>
      <c r="Z24" s="214"/>
      <c r="AA24" s="214"/>
      <c r="AB24" s="214"/>
      <c r="AC24" s="2418"/>
      <c r="AD24" s="86"/>
      <c r="AE24" s="86"/>
      <c r="AF24" s="738"/>
      <c r="AG24" s="253"/>
    </row>
    <row r="25" spans="1:33" s="168" customFormat="1" x14ac:dyDescent="0.2">
      <c r="A25" s="596" t="s">
        <v>1560</v>
      </c>
      <c r="B25" s="804">
        <v>20286453.506719999</v>
      </c>
      <c r="C25" s="400" t="s">
        <v>769</v>
      </c>
      <c r="D25" s="161" t="s">
        <v>1800</v>
      </c>
      <c r="E25" s="2040"/>
      <c r="F25" s="2040"/>
      <c r="G25" s="2040"/>
      <c r="H25" s="2040"/>
      <c r="I25" s="2040"/>
      <c r="J25" s="2040"/>
      <c r="K25" s="596"/>
      <c r="L25" s="1706"/>
      <c r="M25" s="86"/>
      <c r="N25" s="86"/>
      <c r="O25" s="86"/>
      <c r="P25" s="86"/>
      <c r="Q25" s="86"/>
      <c r="R25" s="86"/>
      <c r="S25" s="1808"/>
      <c r="T25" s="214"/>
      <c r="U25" s="214"/>
      <c r="V25" s="214"/>
      <c r="W25" s="214"/>
      <c r="X25" s="214"/>
      <c r="Y25" s="738"/>
      <c r="Z25" s="214"/>
      <c r="AA25" s="214"/>
      <c r="AB25" s="214"/>
      <c r="AC25" s="2418"/>
      <c r="AD25" s="86"/>
      <c r="AE25" s="86"/>
      <c r="AF25" s="738"/>
      <c r="AG25" s="2422"/>
    </row>
    <row r="26" spans="1:33" s="168" customFormat="1" x14ac:dyDescent="0.2">
      <c r="A26" s="596" t="s">
        <v>1535</v>
      </c>
      <c r="B26" s="804">
        <v>22606608</v>
      </c>
      <c r="C26" s="400" t="s">
        <v>769</v>
      </c>
      <c r="D26" s="161" t="s">
        <v>1806</v>
      </c>
      <c r="E26" s="2040"/>
      <c r="F26" s="2040"/>
      <c r="G26" s="2040"/>
      <c r="H26" s="2040"/>
      <c r="I26" s="2040"/>
      <c r="J26" s="2040"/>
      <c r="K26" s="596"/>
      <c r="L26" s="1706"/>
      <c r="M26" s="86"/>
      <c r="N26" s="86"/>
      <c r="O26" s="86"/>
      <c r="P26" s="86"/>
      <c r="Q26" s="86"/>
      <c r="R26" s="86"/>
      <c r="S26" s="1808"/>
      <c r="T26" s="214"/>
      <c r="U26" s="214"/>
      <c r="V26" s="214"/>
      <c r="W26" s="214"/>
      <c r="X26" s="214"/>
      <c r="Y26" s="738"/>
      <c r="Z26" s="214"/>
      <c r="AA26" s="214"/>
      <c r="AB26" s="214"/>
      <c r="AC26" s="2418"/>
      <c r="AD26" s="86"/>
      <c r="AE26" s="86"/>
      <c r="AF26" s="738"/>
      <c r="AG26" s="253"/>
    </row>
    <row r="27" spans="1:33" s="168" customFormat="1" x14ac:dyDescent="0.2">
      <c r="A27" s="596"/>
      <c r="B27" s="2040"/>
      <c r="C27" s="2040"/>
      <c r="D27" s="596"/>
      <c r="E27" s="2040"/>
      <c r="F27" s="2040"/>
      <c r="G27" s="2040"/>
      <c r="H27" s="2040"/>
      <c r="I27" s="2040"/>
      <c r="J27" s="2040"/>
      <c r="K27" s="596"/>
      <c r="L27" s="1706"/>
      <c r="M27" s="86"/>
      <c r="N27" s="86"/>
      <c r="O27" s="86"/>
      <c r="P27" s="86"/>
      <c r="Q27" s="86"/>
      <c r="R27" s="86"/>
      <c r="S27" s="1808"/>
      <c r="T27" s="214"/>
      <c r="U27" s="214"/>
      <c r="V27" s="214"/>
      <c r="W27" s="214"/>
      <c r="X27" s="214"/>
      <c r="Y27" s="738"/>
      <c r="Z27" s="214"/>
      <c r="AA27" s="214"/>
      <c r="AB27" s="214"/>
      <c r="AC27" s="2418"/>
      <c r="AD27" s="86"/>
      <c r="AE27" s="86"/>
      <c r="AF27" s="738"/>
      <c r="AG27" s="253"/>
    </row>
    <row r="28" spans="1:33" s="168" customFormat="1" x14ac:dyDescent="0.2">
      <c r="A28" s="1699" t="s">
        <v>152</v>
      </c>
      <c r="B28" s="2041"/>
      <c r="C28" s="2041"/>
      <c r="D28" s="1699"/>
      <c r="E28" s="2041"/>
      <c r="F28" s="2041"/>
      <c r="G28" s="2041"/>
      <c r="H28" s="2041"/>
      <c r="I28" s="2041"/>
      <c r="J28" s="2041"/>
      <c r="K28" s="1699"/>
      <c r="L28" s="2048"/>
      <c r="M28" s="2049"/>
      <c r="N28" s="2049"/>
      <c r="O28" s="2049"/>
      <c r="P28" s="2049"/>
      <c r="Q28" s="2049"/>
      <c r="R28" s="2049"/>
      <c r="S28" s="2050"/>
      <c r="T28" s="2051"/>
      <c r="U28" s="2051"/>
      <c r="V28" s="2051"/>
      <c r="W28" s="2051"/>
      <c r="X28" s="2051"/>
      <c r="Y28" s="2052"/>
      <c r="Z28" s="2051"/>
      <c r="AA28" s="2051"/>
      <c r="AB28" s="2051"/>
      <c r="AC28" s="2419"/>
      <c r="AD28" s="2049"/>
      <c r="AE28" s="2049"/>
      <c r="AF28" s="2052"/>
      <c r="AG28" s="253"/>
    </row>
    <row r="29" spans="1:33" s="168" customFormat="1" x14ac:dyDescent="0.2">
      <c r="A29" s="177" t="s">
        <v>201</v>
      </c>
      <c r="B29" s="225"/>
      <c r="C29" s="225"/>
      <c r="D29" s="177"/>
      <c r="E29" s="225"/>
      <c r="F29" s="225"/>
      <c r="G29" s="225"/>
      <c r="H29" s="225"/>
      <c r="I29" s="225"/>
      <c r="J29" s="225"/>
      <c r="K29" s="177"/>
      <c r="L29" s="1707"/>
      <c r="M29" s="198"/>
      <c r="N29" s="198"/>
      <c r="O29" s="198"/>
      <c r="P29" s="198"/>
      <c r="Q29" s="198"/>
      <c r="R29" s="198"/>
      <c r="S29" s="1808"/>
      <c r="T29" s="214"/>
      <c r="U29" s="214"/>
      <c r="V29" s="214"/>
      <c r="W29" s="214"/>
      <c r="X29" s="214"/>
      <c r="Y29" s="738"/>
      <c r="Z29" s="487"/>
      <c r="AA29" s="214"/>
      <c r="AB29" s="214"/>
      <c r="AC29" s="808"/>
      <c r="AD29" s="198"/>
      <c r="AE29" s="198"/>
      <c r="AF29" s="738"/>
      <c r="AG29" s="253"/>
    </row>
    <row r="30" spans="1:33" s="168" customFormat="1" ht="13.5" x14ac:dyDescent="0.2">
      <c r="A30" s="605" t="s">
        <v>276</v>
      </c>
      <c r="B30" s="2042"/>
      <c r="C30" s="2042"/>
      <c r="D30" s="605"/>
      <c r="E30" s="269">
        <f>H6</f>
        <v>11050</v>
      </c>
      <c r="F30" s="536" t="s">
        <v>168</v>
      </c>
      <c r="G30" s="2042"/>
      <c r="H30" s="2042"/>
      <c r="I30" s="2042"/>
      <c r="J30" s="2042"/>
      <c r="K30" s="605"/>
      <c r="L30" s="827">
        <f>O6*tonTOMg</f>
        <v>10024.339</v>
      </c>
      <c r="M30" s="536" t="s">
        <v>168</v>
      </c>
      <c r="N30" s="131"/>
      <c r="O30" s="131"/>
      <c r="P30" s="131"/>
      <c r="Q30" s="131"/>
      <c r="R30" s="131"/>
      <c r="S30" s="2465">
        <f>V6*tonTOMg</f>
        <v>7447.0406199999998</v>
      </c>
      <c r="T30" s="536" t="s">
        <v>1994</v>
      </c>
      <c r="U30" s="214"/>
      <c r="V30" s="1822"/>
      <c r="W30" s="536"/>
      <c r="X30" s="214"/>
      <c r="Y30" s="738"/>
      <c r="Z30" s="2093">
        <f>AC6*tonTOMg</f>
        <v>7447.0406199999998</v>
      </c>
      <c r="AA30" s="536" t="s">
        <v>1826</v>
      </c>
      <c r="AB30" s="536"/>
      <c r="AC30" s="269"/>
      <c r="AD30" s="536"/>
      <c r="AE30" s="536"/>
      <c r="AF30" s="738"/>
      <c r="AG30" s="253"/>
    </row>
    <row r="31" spans="1:33" s="168" customFormat="1" ht="13.5" x14ac:dyDescent="0.2">
      <c r="A31" s="605" t="s">
        <v>277</v>
      </c>
      <c r="B31" s="2042"/>
      <c r="C31" s="2042"/>
      <c r="D31" s="605"/>
      <c r="E31" s="269">
        <f>H7</f>
        <v>6973</v>
      </c>
      <c r="F31" s="536" t="s">
        <v>168</v>
      </c>
      <c r="G31" s="2042"/>
      <c r="H31" s="2042"/>
      <c r="I31" s="2042"/>
      <c r="J31" s="2042"/>
      <c r="K31" s="605"/>
      <c r="L31" s="827">
        <f>O7*tonTOMg</f>
        <v>6325.7661399999997</v>
      </c>
      <c r="M31" s="536" t="s">
        <v>168</v>
      </c>
      <c r="N31" s="131"/>
      <c r="O31" s="131"/>
      <c r="P31" s="131"/>
      <c r="Q31" s="131"/>
      <c r="R31" s="131"/>
      <c r="S31" s="2465">
        <f>V7*tonTOMg</f>
        <v>7818.9844199999998</v>
      </c>
      <c r="T31" s="536" t="s">
        <v>1994</v>
      </c>
      <c r="U31" s="214"/>
      <c r="V31" s="1822"/>
      <c r="W31" s="536"/>
      <c r="X31" s="214"/>
      <c r="Y31" s="738"/>
      <c r="Z31" s="2093">
        <f>AC7*tonTOMg</f>
        <v>7818.9844199999998</v>
      </c>
      <c r="AA31" s="536" t="s">
        <v>1826</v>
      </c>
      <c r="AB31" s="536"/>
      <c r="AC31" s="269"/>
      <c r="AD31" s="536"/>
      <c r="AE31" s="536"/>
      <c r="AF31" s="738"/>
      <c r="AG31" s="253"/>
    </row>
    <row r="32" spans="1:33" s="168" customFormat="1" ht="13.5" x14ac:dyDescent="0.2">
      <c r="A32" s="605" t="s">
        <v>278</v>
      </c>
      <c r="B32" s="2042"/>
      <c r="C32" s="2042"/>
      <c r="D32" s="605"/>
      <c r="E32" s="269">
        <f>H8</f>
        <v>22304</v>
      </c>
      <c r="F32" s="536" t="s">
        <v>168</v>
      </c>
      <c r="G32" s="2042"/>
      <c r="H32" s="2042"/>
      <c r="I32" s="2042"/>
      <c r="J32" s="2042"/>
      <c r="K32" s="605"/>
      <c r="L32" s="827">
        <f>O8*tonTOMg</f>
        <v>20233.742719999998</v>
      </c>
      <c r="M32" s="536" t="s">
        <v>168</v>
      </c>
      <c r="N32" s="131"/>
      <c r="O32" s="131"/>
      <c r="P32" s="131"/>
      <c r="Q32" s="131"/>
      <c r="R32" s="131"/>
      <c r="S32" s="2465">
        <f>V8*tonTOMg</f>
        <v>22651.377420000001</v>
      </c>
      <c r="T32" s="536" t="s">
        <v>1994</v>
      </c>
      <c r="U32" s="214"/>
      <c r="V32" s="1822"/>
      <c r="W32" s="536"/>
      <c r="X32" s="214"/>
      <c r="Y32" s="738"/>
      <c r="Z32" s="2093">
        <f>AC8*tonTOMg</f>
        <v>22651.377420000001</v>
      </c>
      <c r="AA32" s="536" t="s">
        <v>1826</v>
      </c>
      <c r="AB32" s="392"/>
      <c r="AC32" s="269"/>
      <c r="AD32" s="392"/>
      <c r="AE32" s="536"/>
      <c r="AF32" s="738"/>
      <c r="AG32" s="253"/>
    </row>
    <row r="33" spans="1:33" s="168" customFormat="1" ht="13.5" x14ac:dyDescent="0.2">
      <c r="A33" s="186" t="s">
        <v>231</v>
      </c>
      <c r="B33" s="2038"/>
      <c r="C33" s="2038"/>
      <c r="D33" s="186"/>
      <c r="E33" s="857">
        <f>H9</f>
        <v>79233</v>
      </c>
      <c r="F33" s="138" t="s">
        <v>168</v>
      </c>
      <c r="G33" s="2038"/>
      <c r="H33" s="2038"/>
      <c r="I33" s="2038"/>
      <c r="J33" s="2038"/>
      <c r="K33" s="186"/>
      <c r="L33" s="828">
        <f>O9*tonTOMg</f>
        <v>71878.592940000002</v>
      </c>
      <c r="M33" s="138" t="s">
        <v>168</v>
      </c>
      <c r="N33" s="86"/>
      <c r="O33" s="86"/>
      <c r="P33" s="86"/>
      <c r="Q33" s="86"/>
      <c r="R33" s="86"/>
      <c r="S33" s="2465">
        <f>V9*tonTOMg</f>
        <v>68300.675019999995</v>
      </c>
      <c r="T33" s="536" t="s">
        <v>1994</v>
      </c>
      <c r="U33" s="214"/>
      <c r="V33" s="1822"/>
      <c r="W33" s="536"/>
      <c r="X33" s="214"/>
      <c r="Y33" s="738"/>
      <c r="Z33" s="2093">
        <f>AC9*tonTOMg</f>
        <v>68300.675019999995</v>
      </c>
      <c r="AA33" s="536" t="s">
        <v>1826</v>
      </c>
      <c r="AB33" s="135"/>
      <c r="AC33" s="857"/>
      <c r="AD33" s="135"/>
      <c r="AE33" s="138"/>
      <c r="AF33" s="738"/>
      <c r="AG33" s="253"/>
    </row>
    <row r="34" spans="1:33" s="168" customFormat="1" ht="13.5" x14ac:dyDescent="0.2">
      <c r="A34" s="598" t="s">
        <v>199</v>
      </c>
      <c r="B34" s="178"/>
      <c r="C34" s="178"/>
      <c r="D34" s="598"/>
      <c r="E34" s="857">
        <f>SUM(E30:E31)</f>
        <v>18023</v>
      </c>
      <c r="F34" s="138" t="s">
        <v>168</v>
      </c>
      <c r="G34" s="178"/>
      <c r="H34" s="178"/>
      <c r="I34" s="178"/>
      <c r="J34" s="178"/>
      <c r="K34" s="598"/>
      <c r="L34" s="828">
        <f>SUM(L30:L31)</f>
        <v>16350.10514</v>
      </c>
      <c r="M34" s="138" t="s">
        <v>168</v>
      </c>
      <c r="N34" s="86"/>
      <c r="O34" s="86"/>
      <c r="P34" s="86"/>
      <c r="Q34" s="86"/>
      <c r="R34" s="86"/>
      <c r="S34" s="2465">
        <f>SUM(S30:S31)</f>
        <v>15266.02504</v>
      </c>
      <c r="T34" s="536" t="s">
        <v>1994</v>
      </c>
      <c r="U34" s="214"/>
      <c r="V34" s="1822"/>
      <c r="W34" s="536"/>
      <c r="X34" s="214"/>
      <c r="Y34" s="738"/>
      <c r="Z34" s="2093">
        <f>SUM(Z30:Z31)</f>
        <v>15266.02504</v>
      </c>
      <c r="AA34" s="536" t="s">
        <v>1826</v>
      </c>
      <c r="AB34" s="135"/>
      <c r="AC34" s="857"/>
      <c r="AD34" s="135"/>
      <c r="AE34" s="138"/>
      <c r="AF34" s="738"/>
      <c r="AG34" s="253"/>
    </row>
    <row r="35" spans="1:33" s="168" customFormat="1" ht="24" x14ac:dyDescent="0.2">
      <c r="A35" s="606" t="s">
        <v>202</v>
      </c>
      <c r="B35" s="648"/>
      <c r="C35" s="648"/>
      <c r="D35" s="606"/>
      <c r="E35" s="587">
        <f>E33-SUM(E30:E32)</f>
        <v>38906</v>
      </c>
      <c r="F35" s="536" t="s">
        <v>168</v>
      </c>
      <c r="G35" s="648"/>
      <c r="H35" s="648"/>
      <c r="I35" s="648"/>
      <c r="J35" s="648"/>
      <c r="K35" s="606"/>
      <c r="L35" s="829">
        <f>L33-SUM(L30:L32)</f>
        <v>35294.745080000008</v>
      </c>
      <c r="M35" s="536" t="s">
        <v>168</v>
      </c>
      <c r="N35" s="131"/>
      <c r="O35" s="131"/>
      <c r="P35" s="131"/>
      <c r="Q35" s="131"/>
      <c r="R35" s="131"/>
      <c r="S35" s="2465">
        <f>S33-SUM(S30:S32)</f>
        <v>30383.272559999998</v>
      </c>
      <c r="T35" s="536" t="s">
        <v>1994</v>
      </c>
      <c r="U35" s="214"/>
      <c r="V35" s="1822"/>
      <c r="W35" s="536"/>
      <c r="X35" s="214"/>
      <c r="Y35" s="738"/>
      <c r="Z35" s="2093">
        <f>Z33-SUM(Z30:Z32)</f>
        <v>30383.272559999998</v>
      </c>
      <c r="AA35" s="536" t="s">
        <v>1826</v>
      </c>
      <c r="AB35" s="214"/>
      <c r="AC35" s="587"/>
      <c r="AD35" s="392"/>
      <c r="AE35" s="536"/>
      <c r="AF35" s="738"/>
      <c r="AG35" s="253"/>
    </row>
    <row r="36" spans="1:33" s="610" customFormat="1" x14ac:dyDescent="0.2">
      <c r="A36" s="608" t="s">
        <v>942</v>
      </c>
      <c r="B36" s="2043"/>
      <c r="C36" s="2043"/>
      <c r="D36" s="608"/>
      <c r="E36" s="2031">
        <f>B14/B16</f>
        <v>0.6794744043966261</v>
      </c>
      <c r="F36" s="2031" t="s">
        <v>2000</v>
      </c>
      <c r="G36" s="2043"/>
      <c r="H36" s="2043"/>
      <c r="I36" s="2043"/>
      <c r="J36" s="2043"/>
      <c r="K36" s="608"/>
      <c r="L36" s="841">
        <f>B19/B16</f>
        <v>0.9714247993908055</v>
      </c>
      <c r="M36" s="833" t="s">
        <v>2001</v>
      </c>
      <c r="N36" s="609"/>
      <c r="O36" s="2033"/>
      <c r="P36" s="2033"/>
      <c r="Q36" s="2033"/>
      <c r="R36" s="2033"/>
      <c r="S36" s="609">
        <f>B21/B22</f>
        <v>0.99459467713120886</v>
      </c>
      <c r="T36" s="2031" t="s">
        <v>1816</v>
      </c>
      <c r="U36" s="2031"/>
      <c r="V36" s="2031"/>
      <c r="W36" s="2031"/>
      <c r="X36" s="2031"/>
      <c r="Y36" s="1809"/>
      <c r="Z36" s="2093">
        <f>B26/B22</f>
        <v>0.98907301902284617</v>
      </c>
      <c r="AA36" s="2031" t="s">
        <v>1817</v>
      </c>
      <c r="AB36" s="2031"/>
      <c r="AC36" s="2414"/>
      <c r="AD36" s="2033"/>
      <c r="AE36" s="2033"/>
      <c r="AF36" s="1809"/>
      <c r="AG36" s="609"/>
    </row>
    <row r="37" spans="1:33" s="168" customFormat="1" x14ac:dyDescent="0.2">
      <c r="A37" s="607" t="s">
        <v>941</v>
      </c>
      <c r="B37" s="590"/>
      <c r="C37" s="590"/>
      <c r="D37" s="607"/>
      <c r="E37" s="311"/>
      <c r="F37" s="311"/>
      <c r="G37" s="590"/>
      <c r="H37" s="590"/>
      <c r="I37" s="590"/>
      <c r="J37" s="590"/>
      <c r="K37" s="607"/>
      <c r="L37" s="2036"/>
      <c r="M37" s="86"/>
      <c r="N37" s="86"/>
      <c r="O37" s="86"/>
      <c r="P37" s="86"/>
      <c r="Q37" s="86"/>
      <c r="R37" s="86"/>
      <c r="S37" s="1808"/>
      <c r="T37" s="487"/>
      <c r="U37" s="214"/>
      <c r="V37" s="487"/>
      <c r="W37" s="487"/>
      <c r="X37" s="214"/>
      <c r="Y37" s="738"/>
      <c r="Z37" s="2093"/>
      <c r="AA37" s="487"/>
      <c r="AB37" s="214"/>
      <c r="AC37" s="267"/>
      <c r="AD37" s="187"/>
      <c r="AE37" s="86"/>
      <c r="AF37" s="738"/>
      <c r="AG37" s="253"/>
    </row>
    <row r="38" spans="1:33" s="168" customFormat="1" ht="13.5" x14ac:dyDescent="0.2">
      <c r="A38" s="597" t="s">
        <v>200</v>
      </c>
      <c r="B38" s="2044"/>
      <c r="C38" s="2044"/>
      <c r="D38" s="597"/>
      <c r="E38" s="311">
        <f>E34*E36</f>
        <v>12246.167190440392</v>
      </c>
      <c r="F38" s="311"/>
      <c r="G38" s="2044"/>
      <c r="H38" s="2044"/>
      <c r="I38" s="2044"/>
      <c r="J38" s="2044"/>
      <c r="K38" s="597"/>
      <c r="L38" s="1708">
        <f>L34*L$36</f>
        <v>15882.897605643078</v>
      </c>
      <c r="M38" s="138" t="s">
        <v>168</v>
      </c>
      <c r="N38" s="138"/>
      <c r="O38" s="138"/>
      <c r="P38" s="138"/>
      <c r="Q38" s="138"/>
      <c r="R38" s="138"/>
      <c r="S38" s="1810">
        <f>S34*S36</f>
        <v>15183.507245735751</v>
      </c>
      <c r="T38" s="536" t="s">
        <v>1994</v>
      </c>
      <c r="U38" s="214"/>
      <c r="V38" s="643"/>
      <c r="W38" s="536"/>
      <c r="X38" s="214"/>
      <c r="Y38" s="738"/>
      <c r="Z38" s="643">
        <f>Z34*Z36</f>
        <v>15099.213474791166</v>
      </c>
      <c r="AA38" s="536" t="s">
        <v>1826</v>
      </c>
      <c r="AB38" s="214"/>
      <c r="AC38" s="255"/>
      <c r="AD38" s="135"/>
      <c r="AE38" s="138"/>
      <c r="AF38" s="738"/>
      <c r="AG38" s="253"/>
    </row>
    <row r="39" spans="1:33" s="168" customFormat="1" ht="13.5" x14ac:dyDescent="0.2">
      <c r="A39" s="597" t="s">
        <v>278</v>
      </c>
      <c r="B39" s="2044"/>
      <c r="C39" s="2044"/>
      <c r="D39" s="597"/>
      <c r="E39" s="311">
        <f>E32*E36</f>
        <v>15154.997115662349</v>
      </c>
      <c r="F39" s="267"/>
      <c r="G39" s="2044"/>
      <c r="H39" s="2044"/>
      <c r="I39" s="2044"/>
      <c r="J39" s="2044"/>
      <c r="K39" s="597"/>
      <c r="L39" s="1708">
        <f>L32*L36</f>
        <v>19655.559462701171</v>
      </c>
      <c r="M39" s="138" t="s">
        <v>168</v>
      </c>
      <c r="N39" s="138"/>
      <c r="O39" s="138"/>
      <c r="P39" s="138"/>
      <c r="Q39" s="138"/>
      <c r="R39" s="138"/>
      <c r="S39" s="1810">
        <f>S32*S36</f>
        <v>22528.939411622054</v>
      </c>
      <c r="T39" s="536" t="s">
        <v>1994</v>
      </c>
      <c r="U39" s="214"/>
      <c r="V39" s="643"/>
      <c r="W39" s="536"/>
      <c r="X39" s="214"/>
      <c r="Y39" s="738"/>
      <c r="Z39" s="643">
        <f>Z32*Z36</f>
        <v>22403.866249825329</v>
      </c>
      <c r="AA39" s="536" t="s">
        <v>1826</v>
      </c>
      <c r="AB39" s="214"/>
      <c r="AC39" s="255"/>
      <c r="AD39" s="135"/>
      <c r="AE39" s="138"/>
      <c r="AF39" s="738"/>
      <c r="AG39" s="253"/>
    </row>
    <row r="40" spans="1:33" s="168" customFormat="1" ht="13.5" x14ac:dyDescent="0.2">
      <c r="A40" s="599" t="s">
        <v>228</v>
      </c>
      <c r="B40" s="2045"/>
      <c r="C40" s="2045"/>
      <c r="D40" s="599"/>
      <c r="E40" s="311">
        <f>E35*E36</f>
        <v>26435.631177455136</v>
      </c>
      <c r="F40" s="267"/>
      <c r="G40" s="2045"/>
      <c r="H40" s="2045"/>
      <c r="I40" s="2045"/>
      <c r="J40" s="2045"/>
      <c r="K40" s="599"/>
      <c r="L40" s="1708">
        <f>L35*L36</f>
        <v>34286.190658888627</v>
      </c>
      <c r="M40" s="138" t="s">
        <v>168</v>
      </c>
      <c r="N40" s="138"/>
      <c r="O40" s="138"/>
      <c r="P40" s="138"/>
      <c r="Q40" s="138"/>
      <c r="R40" s="138"/>
      <c r="S40" s="1810">
        <f>S35*S36</f>
        <v>30219.041162002715</v>
      </c>
      <c r="T40" s="536" t="s">
        <v>1994</v>
      </c>
      <c r="U40" s="214"/>
      <c r="V40" s="643"/>
      <c r="W40" s="536"/>
      <c r="X40" s="214"/>
      <c r="Y40" s="738"/>
      <c r="Z40" s="643">
        <f>Z35*Z36</f>
        <v>30051.275118713198</v>
      </c>
      <c r="AA40" s="536" t="s">
        <v>1826</v>
      </c>
      <c r="AB40" s="214"/>
      <c r="AC40" s="255"/>
      <c r="AD40" s="138"/>
      <c r="AE40" s="138"/>
      <c r="AF40" s="738"/>
      <c r="AG40" s="253"/>
    </row>
    <row r="41" spans="1:33" s="634" customFormat="1" ht="13.5" x14ac:dyDescent="0.25">
      <c r="A41" s="1700" t="s">
        <v>795</v>
      </c>
      <c r="B41" s="2032"/>
      <c r="C41" s="2032"/>
      <c r="D41" s="1700"/>
      <c r="E41" s="2443">
        <f>SUM(E38:E40)</f>
        <v>53836.795483557878</v>
      </c>
      <c r="F41" s="2032" t="s">
        <v>2336</v>
      </c>
      <c r="G41" s="2032"/>
      <c r="H41" s="2032"/>
      <c r="I41" s="2032"/>
      <c r="J41" s="2032"/>
      <c r="K41" s="1700"/>
      <c r="L41" s="1704">
        <f>SUM(L38:L40)</f>
        <v>69824.647727232878</v>
      </c>
      <c r="M41" s="2445" t="s">
        <v>2336</v>
      </c>
      <c r="N41" s="2032"/>
      <c r="O41" s="2032"/>
      <c r="P41" s="2032"/>
      <c r="Q41" s="2032"/>
      <c r="R41" s="2032"/>
      <c r="S41" s="1704">
        <f>SUM(S38:S40)</f>
        <v>67931.487819360511</v>
      </c>
      <c r="T41" s="2444" t="s">
        <v>2336</v>
      </c>
      <c r="U41" s="1701"/>
      <c r="V41" s="1701"/>
      <c r="W41" s="1701"/>
      <c r="X41" s="1701"/>
      <c r="Y41" s="2034"/>
      <c r="Z41" s="1701">
        <f>SUM(Z38:Z40)</f>
        <v>67554.354843329696</v>
      </c>
      <c r="AA41" s="2444" t="s">
        <v>2336</v>
      </c>
      <c r="AB41" s="1701"/>
      <c r="AC41" s="1701"/>
      <c r="AD41" s="2032"/>
      <c r="AE41" s="2032"/>
      <c r="AF41" s="2032"/>
      <c r="AG41" s="2421"/>
    </row>
    <row r="42" spans="1:33" s="92" customFormat="1" x14ac:dyDescent="0.2">
      <c r="A42" s="119"/>
      <c r="B42" s="245"/>
      <c r="C42" s="245"/>
      <c r="D42" s="119"/>
      <c r="E42" s="245"/>
      <c r="F42" s="245"/>
      <c r="G42" s="245"/>
      <c r="H42" s="245"/>
      <c r="I42" s="245"/>
      <c r="J42" s="245"/>
      <c r="K42" s="119"/>
      <c r="L42" s="1709"/>
      <c r="M42" s="245"/>
      <c r="N42" s="245"/>
      <c r="O42" s="245"/>
      <c r="P42" s="245"/>
      <c r="Q42" s="245"/>
      <c r="R42" s="245"/>
      <c r="S42" s="1811"/>
      <c r="T42" s="94"/>
      <c r="U42" s="94"/>
      <c r="V42" s="94"/>
      <c r="W42" s="94"/>
      <c r="X42" s="94"/>
      <c r="Y42" s="93"/>
      <c r="Z42" s="94"/>
      <c r="AA42" s="94"/>
      <c r="AB42" s="94"/>
      <c r="AC42" s="2420"/>
      <c r="AD42" s="245"/>
      <c r="AE42" s="245"/>
      <c r="AF42" s="93"/>
      <c r="AG42" s="371"/>
    </row>
    <row r="43" spans="1:33" s="634" customFormat="1" x14ac:dyDescent="0.2">
      <c r="A43" s="1700" t="s">
        <v>2337</v>
      </c>
      <c r="B43" s="2032"/>
      <c r="C43" s="2032"/>
      <c r="D43" s="1700"/>
      <c r="E43" s="2032"/>
      <c r="F43" s="2032"/>
      <c r="G43" s="2032"/>
      <c r="H43" s="2032"/>
      <c r="I43" s="2032"/>
      <c r="J43" s="2032"/>
      <c r="K43" s="1700"/>
      <c r="L43" s="1704"/>
      <c r="M43" s="2032"/>
      <c r="N43" s="2032"/>
      <c r="O43" s="2032"/>
      <c r="P43" s="2032"/>
      <c r="Q43" s="2032"/>
      <c r="R43" s="2032"/>
      <c r="S43" s="1704"/>
      <c r="T43" s="1701"/>
      <c r="U43" s="1701"/>
      <c r="V43" s="1701"/>
      <c r="W43" s="1701"/>
      <c r="X43" s="1701"/>
      <c r="Y43" s="2034"/>
      <c r="Z43" s="1701"/>
      <c r="AA43" s="1701"/>
      <c r="AB43" s="1701"/>
      <c r="AC43" s="1701"/>
      <c r="AD43" s="2032"/>
      <c r="AE43" s="2032"/>
      <c r="AF43" s="2032"/>
      <c r="AG43" s="2421"/>
    </row>
    <row r="44" spans="1:33" s="168" customFormat="1" x14ac:dyDescent="0.2">
      <c r="A44" s="1483" t="s">
        <v>210</v>
      </c>
      <c r="B44" s="215"/>
      <c r="C44" s="215"/>
      <c r="D44" s="216"/>
      <c r="E44" s="215"/>
      <c r="F44" s="215"/>
      <c r="G44" s="215"/>
      <c r="H44" s="215"/>
      <c r="I44" s="215"/>
      <c r="J44" s="215"/>
      <c r="K44" s="216"/>
      <c r="L44" s="1705"/>
      <c r="M44" s="245"/>
      <c r="N44" s="245"/>
      <c r="O44" s="245"/>
      <c r="P44" s="245"/>
      <c r="Q44" s="245"/>
      <c r="R44" s="245"/>
      <c r="S44" s="253"/>
      <c r="T44" s="214"/>
      <c r="U44" s="214"/>
      <c r="V44" s="214"/>
      <c r="W44" s="214"/>
      <c r="X44" s="214"/>
      <c r="Y44" s="738"/>
      <c r="Z44" s="214"/>
      <c r="AA44" s="214"/>
      <c r="AB44" s="214"/>
      <c r="AF44" s="738"/>
      <c r="AG44" s="253"/>
    </row>
    <row r="45" spans="1:33" s="91" customFormat="1" x14ac:dyDescent="0.2">
      <c r="A45" s="614" t="s">
        <v>2338</v>
      </c>
      <c r="B45" s="215"/>
      <c r="C45" s="215"/>
      <c r="D45" s="216"/>
      <c r="G45" s="215"/>
      <c r="H45" s="294">
        <v>0</v>
      </c>
      <c r="I45" s="67" t="s">
        <v>719</v>
      </c>
      <c r="J45" s="215"/>
      <c r="K45" s="216"/>
      <c r="L45" s="1705"/>
      <c r="M45" s="245"/>
      <c r="N45" s="245"/>
      <c r="O45" s="294">
        <f>418.4*1000*AC54</f>
        <v>283123.65835222974</v>
      </c>
      <c r="P45" s="67" t="s">
        <v>719</v>
      </c>
      <c r="Q45" s="295" t="s">
        <v>1427</v>
      </c>
      <c r="S45" s="1812"/>
      <c r="T45" s="67"/>
      <c r="U45" s="67"/>
      <c r="V45" s="294">
        <f>13327.9*1000*AC54</f>
        <v>9018747.146636432</v>
      </c>
      <c r="W45" s="67" t="s">
        <v>719</v>
      </c>
      <c r="X45" s="295" t="s">
        <v>1487</v>
      </c>
      <c r="Y45" s="88" t="s">
        <v>2348</v>
      </c>
      <c r="Z45" s="67"/>
      <c r="AA45" s="67"/>
      <c r="AB45" s="67"/>
      <c r="AC45" s="791">
        <v>8594400</v>
      </c>
      <c r="AD45" s="873" t="s">
        <v>719</v>
      </c>
      <c r="AE45" s="873" t="s">
        <v>2346</v>
      </c>
      <c r="AF45" s="88"/>
      <c r="AG45" s="202"/>
    </row>
    <row r="46" spans="1:33" s="91" customFormat="1" x14ac:dyDescent="0.2">
      <c r="A46" s="614"/>
      <c r="B46" s="215"/>
      <c r="C46" s="215"/>
      <c r="D46" s="216"/>
      <c r="G46" s="215"/>
      <c r="H46" s="2446">
        <f>H45/1000</f>
        <v>0</v>
      </c>
      <c r="I46" s="67" t="s">
        <v>731</v>
      </c>
      <c r="J46" s="215"/>
      <c r="K46" s="216"/>
      <c r="L46" s="1705"/>
      <c r="M46" s="245"/>
      <c r="N46" s="245"/>
      <c r="O46" s="294">
        <f>O45/1000</f>
        <v>283.12365835222977</v>
      </c>
      <c r="P46" s="67" t="s">
        <v>731</v>
      </c>
      <c r="Q46" s="245"/>
      <c r="S46" s="1812"/>
      <c r="T46" s="67"/>
      <c r="U46" s="67"/>
      <c r="V46" s="294">
        <f>V45/1000</f>
        <v>9018.7471466364314</v>
      </c>
      <c r="W46" s="67" t="s">
        <v>731</v>
      </c>
      <c r="X46" s="67"/>
      <c r="Y46" s="88"/>
      <c r="Z46" s="67"/>
      <c r="AA46" s="67"/>
      <c r="AB46" s="67"/>
      <c r="AC46" s="791">
        <f>AC45/1000</f>
        <v>8594.4</v>
      </c>
      <c r="AD46" s="873" t="s">
        <v>731</v>
      </c>
      <c r="AE46" s="873"/>
      <c r="AF46" s="88"/>
      <c r="AG46" s="202"/>
    </row>
    <row r="47" spans="1:33" s="91" customFormat="1" x14ac:dyDescent="0.2">
      <c r="A47" s="614"/>
      <c r="B47" s="215"/>
      <c r="C47" s="215"/>
      <c r="D47" s="216"/>
      <c r="G47" s="215"/>
      <c r="H47" s="791"/>
      <c r="I47" s="873"/>
      <c r="J47" s="215"/>
      <c r="K47" s="216"/>
      <c r="L47" s="1705"/>
      <c r="M47" s="245"/>
      <c r="N47" s="245"/>
      <c r="O47" s="791"/>
      <c r="P47" s="873"/>
      <c r="Q47" s="245"/>
      <c r="S47" s="1812"/>
      <c r="T47" s="67"/>
      <c r="U47" s="67"/>
      <c r="V47" s="791"/>
      <c r="W47" s="873"/>
      <c r="X47" s="67"/>
      <c r="Y47" s="88"/>
      <c r="Z47" s="67"/>
      <c r="AA47" s="67"/>
      <c r="AB47" s="67"/>
      <c r="AC47" s="791"/>
      <c r="AD47" s="873"/>
      <c r="AE47" s="873"/>
      <c r="AF47" s="88"/>
      <c r="AG47" s="202"/>
    </row>
    <row r="48" spans="1:33" s="91" customFormat="1" x14ac:dyDescent="0.2">
      <c r="A48" s="614" t="s">
        <v>2339</v>
      </c>
      <c r="B48" s="225"/>
      <c r="C48" s="225"/>
      <c r="D48" s="177"/>
      <c r="G48" s="225"/>
      <c r="H48" s="808">
        <v>0</v>
      </c>
      <c r="I48" s="873" t="s">
        <v>719</v>
      </c>
      <c r="J48" s="225"/>
      <c r="K48" s="177"/>
      <c r="L48" s="1707"/>
      <c r="M48" s="198"/>
      <c r="N48" s="198"/>
      <c r="O48" s="808">
        <f>418.4*1000-O45</f>
        <v>135276.34164777026</v>
      </c>
      <c r="P48" s="873" t="s">
        <v>719</v>
      </c>
      <c r="Q48" s="295" t="s">
        <v>1427</v>
      </c>
      <c r="S48" s="1812"/>
      <c r="T48" s="67"/>
      <c r="U48" s="67"/>
      <c r="V48" s="808">
        <f>13327.9*1000-V45</f>
        <v>4309152.853363568</v>
      </c>
      <c r="W48" s="873" t="s">
        <v>719</v>
      </c>
      <c r="X48" s="295" t="s">
        <v>1487</v>
      </c>
      <c r="Y48" s="88"/>
      <c r="Z48" s="67"/>
      <c r="AA48" s="67"/>
      <c r="AB48" s="67"/>
      <c r="AC48" s="808">
        <v>4106400</v>
      </c>
      <c r="AD48" s="873" t="s">
        <v>719</v>
      </c>
      <c r="AE48" s="873" t="s">
        <v>2346</v>
      </c>
      <c r="AF48" s="88"/>
      <c r="AG48" s="202"/>
    </row>
    <row r="49" spans="1:33" s="91" customFormat="1" x14ac:dyDescent="0.2">
      <c r="A49" s="614"/>
      <c r="B49" s="225"/>
      <c r="C49" s="225"/>
      <c r="D49" s="177"/>
      <c r="G49" s="225"/>
      <c r="H49" s="808">
        <f>H48/1000</f>
        <v>0</v>
      </c>
      <c r="I49" s="873" t="s">
        <v>731</v>
      </c>
      <c r="J49" s="225"/>
      <c r="K49" s="177"/>
      <c r="L49" s="1707"/>
      <c r="M49" s="198"/>
      <c r="N49" s="198"/>
      <c r="O49" s="808">
        <f>O48/1000</f>
        <v>135.27634164777027</v>
      </c>
      <c r="P49" s="873" t="s">
        <v>731</v>
      </c>
      <c r="Q49" s="198"/>
      <c r="S49" s="1812"/>
      <c r="T49" s="67"/>
      <c r="U49" s="67"/>
      <c r="V49" s="808">
        <f>V48/1000</f>
        <v>4309.1528533635683</v>
      </c>
      <c r="W49" s="873" t="s">
        <v>731</v>
      </c>
      <c r="X49" s="67"/>
      <c r="Y49" s="88"/>
      <c r="Z49" s="67"/>
      <c r="AA49" s="67"/>
      <c r="AB49" s="67"/>
      <c r="AC49" s="808">
        <f>AC48/1000</f>
        <v>4106.3999999999996</v>
      </c>
      <c r="AD49" s="873" t="s">
        <v>731</v>
      </c>
      <c r="AE49" s="198"/>
      <c r="AF49" s="88"/>
      <c r="AG49" s="202"/>
    </row>
    <row r="50" spans="1:33" s="91" customFormat="1" x14ac:dyDescent="0.2">
      <c r="A50" s="614"/>
      <c r="B50" s="225"/>
      <c r="C50" s="225"/>
      <c r="D50" s="177"/>
      <c r="G50" s="225"/>
      <c r="H50" s="808"/>
      <c r="I50" s="873"/>
      <c r="J50" s="225"/>
      <c r="K50" s="177"/>
      <c r="L50" s="1707"/>
      <c r="M50" s="198"/>
      <c r="N50" s="198"/>
      <c r="O50" s="808"/>
      <c r="P50" s="873"/>
      <c r="Q50" s="198"/>
      <c r="S50" s="1812"/>
      <c r="T50" s="67"/>
      <c r="U50" s="67"/>
      <c r="V50" s="808"/>
      <c r="W50" s="873"/>
      <c r="X50" s="67"/>
      <c r="Y50" s="88"/>
      <c r="Z50" s="67"/>
      <c r="AA50" s="67"/>
      <c r="AB50" s="67"/>
      <c r="AC50" s="808"/>
      <c r="AD50" s="873"/>
      <c r="AE50" s="198"/>
      <c r="AF50" s="88"/>
      <c r="AG50" s="202"/>
    </row>
    <row r="51" spans="1:33" s="197" customFormat="1" x14ac:dyDescent="0.2">
      <c r="A51" s="216" t="s">
        <v>2340</v>
      </c>
      <c r="B51" s="215"/>
      <c r="C51" s="215"/>
      <c r="D51" s="216"/>
      <c r="G51" s="215"/>
      <c r="H51" s="806">
        <f>SUM(H45,H48)</f>
        <v>0</v>
      </c>
      <c r="I51" s="245" t="s">
        <v>719</v>
      </c>
      <c r="J51" s="215"/>
      <c r="K51" s="216"/>
      <c r="L51" s="1705"/>
      <c r="M51" s="245"/>
      <c r="N51" s="245"/>
      <c r="O51" s="806">
        <f>SUM(O45,O48)</f>
        <v>418400</v>
      </c>
      <c r="P51" s="245" t="s">
        <v>719</v>
      </c>
      <c r="Q51" s="245"/>
      <c r="S51" s="2453"/>
      <c r="T51" s="257"/>
      <c r="U51" s="257"/>
      <c r="V51" s="806">
        <f>SUM(V45,V48)</f>
        <v>13327900</v>
      </c>
      <c r="W51" s="245" t="s">
        <v>719</v>
      </c>
      <c r="X51" s="257"/>
      <c r="Y51" s="747"/>
      <c r="Z51" s="257"/>
      <c r="AA51" s="257"/>
      <c r="AB51" s="257"/>
      <c r="AC51" s="806">
        <f>SUM(AC45,AC48)</f>
        <v>12700800</v>
      </c>
      <c r="AD51" s="245" t="s">
        <v>719</v>
      </c>
      <c r="AE51" s="245"/>
      <c r="AF51" s="747"/>
      <c r="AG51" s="2454"/>
    </row>
    <row r="52" spans="1:33" s="197" customFormat="1" x14ac:dyDescent="0.2">
      <c r="A52" s="216"/>
      <c r="B52" s="215"/>
      <c r="C52" s="215"/>
      <c r="D52" s="216"/>
      <c r="G52" s="215"/>
      <c r="H52" s="806">
        <f>H51/1000</f>
        <v>0</v>
      </c>
      <c r="I52" s="245" t="s">
        <v>731</v>
      </c>
      <c r="J52" s="215"/>
      <c r="K52" s="216"/>
      <c r="L52" s="1705"/>
      <c r="M52" s="245"/>
      <c r="N52" s="245"/>
      <c r="O52" s="806">
        <f>O51/1000</f>
        <v>418.4</v>
      </c>
      <c r="P52" s="245" t="s">
        <v>731</v>
      </c>
      <c r="Q52" s="245"/>
      <c r="S52" s="2453"/>
      <c r="T52" s="257"/>
      <c r="U52" s="257"/>
      <c r="V52" s="806">
        <f>V51/1000</f>
        <v>13327.9</v>
      </c>
      <c r="W52" s="245" t="s">
        <v>731</v>
      </c>
      <c r="X52" s="257"/>
      <c r="Y52" s="747"/>
      <c r="Z52" s="257"/>
      <c r="AA52" s="257"/>
      <c r="AB52" s="257"/>
      <c r="AC52" s="806">
        <f>AC51/1000</f>
        <v>12700.8</v>
      </c>
      <c r="AD52" s="245" t="s">
        <v>731</v>
      </c>
      <c r="AE52" s="245"/>
      <c r="AF52" s="747"/>
      <c r="AG52" s="2454"/>
    </row>
    <row r="53" spans="1:33" s="197" customFormat="1" x14ac:dyDescent="0.2">
      <c r="A53" s="216"/>
      <c r="B53" s="215"/>
      <c r="C53" s="215"/>
      <c r="D53" s="216"/>
      <c r="G53" s="215"/>
      <c r="H53" s="806"/>
      <c r="I53" s="245"/>
      <c r="J53" s="215"/>
      <c r="K53" s="216"/>
      <c r="L53" s="1705"/>
      <c r="M53" s="245"/>
      <c r="N53" s="245"/>
      <c r="O53" s="806"/>
      <c r="P53" s="245"/>
      <c r="Q53" s="245"/>
      <c r="S53" s="2453"/>
      <c r="T53" s="257"/>
      <c r="U53" s="257"/>
      <c r="V53" s="806"/>
      <c r="W53" s="245"/>
      <c r="X53" s="257"/>
      <c r="Y53" s="747"/>
      <c r="Z53" s="257"/>
      <c r="AA53" s="257"/>
      <c r="AB53" s="257"/>
      <c r="AC53" s="806"/>
      <c r="AD53" s="245"/>
      <c r="AE53" s="245"/>
      <c r="AF53" s="747"/>
      <c r="AG53" s="2454"/>
    </row>
    <row r="54" spans="1:33" s="197" customFormat="1" x14ac:dyDescent="0.2">
      <c r="A54" s="216" t="s">
        <v>2347</v>
      </c>
      <c r="B54" s="215"/>
      <c r="C54" s="215"/>
      <c r="D54" s="216"/>
      <c r="G54" s="215"/>
      <c r="H54" s="806"/>
      <c r="I54" s="245"/>
      <c r="J54" s="215"/>
      <c r="K54" s="216"/>
      <c r="L54" s="1705"/>
      <c r="M54" s="245"/>
      <c r="N54" s="245"/>
      <c r="O54" s="806"/>
      <c r="P54" s="245"/>
      <c r="Q54" s="245"/>
      <c r="S54" s="2453"/>
      <c r="T54" s="257"/>
      <c r="U54" s="257"/>
      <c r="V54" s="806"/>
      <c r="W54" s="245"/>
      <c r="X54" s="257"/>
      <c r="Y54" s="747"/>
      <c r="Z54" s="257"/>
      <c r="AA54" s="257"/>
      <c r="AB54" s="257"/>
      <c r="AC54" s="2464">
        <f>AC45/(AC45+AC48)</f>
        <v>0.67668178382464095</v>
      </c>
      <c r="AD54" s="245"/>
      <c r="AE54" s="245"/>
      <c r="AF54" s="747"/>
      <c r="AG54" s="2454"/>
    </row>
    <row r="55" spans="1:33" s="91" customFormat="1" x14ac:dyDescent="0.2">
      <c r="A55" s="216"/>
      <c r="B55" s="215"/>
      <c r="C55" s="215"/>
      <c r="D55" s="216"/>
      <c r="G55" s="215"/>
      <c r="H55" s="245"/>
      <c r="I55" s="245"/>
      <c r="J55" s="215"/>
      <c r="K55" s="216"/>
      <c r="L55" s="1705"/>
      <c r="M55" s="245"/>
      <c r="N55" s="245"/>
      <c r="O55" s="245"/>
      <c r="P55" s="245"/>
      <c r="Q55" s="245"/>
      <c r="S55" s="1812"/>
      <c r="T55" s="67"/>
      <c r="U55" s="67"/>
      <c r="V55" s="67"/>
      <c r="W55" s="67"/>
      <c r="X55" s="67"/>
      <c r="Y55" s="88"/>
      <c r="Z55" s="67"/>
      <c r="AA55" s="67"/>
      <c r="AB55" s="67"/>
      <c r="AC55" s="806"/>
      <c r="AD55" s="245"/>
      <c r="AE55" s="245"/>
      <c r="AF55" s="88"/>
      <c r="AG55" s="202"/>
    </row>
    <row r="56" spans="1:33" s="91" customFormat="1" x14ac:dyDescent="0.2">
      <c r="A56" s="614" t="s">
        <v>2341</v>
      </c>
      <c r="B56" s="225"/>
      <c r="C56" s="225"/>
      <c r="D56" s="177"/>
      <c r="G56" s="225"/>
      <c r="H56" s="198"/>
      <c r="I56" s="198"/>
      <c r="J56" s="225"/>
      <c r="K56" s="177"/>
      <c r="L56" s="1707"/>
      <c r="M56" s="198"/>
      <c r="N56" s="198"/>
      <c r="O56" s="198"/>
      <c r="P56" s="198"/>
      <c r="Q56" s="198"/>
      <c r="S56" s="1812"/>
      <c r="T56" s="67"/>
      <c r="U56" s="67"/>
      <c r="V56" s="67"/>
      <c r="W56" s="67"/>
      <c r="X56" s="67"/>
      <c r="Y56" s="88"/>
      <c r="Z56" s="67"/>
      <c r="AA56" s="67"/>
      <c r="AB56" s="67"/>
      <c r="AC56" s="808"/>
      <c r="AD56" s="198"/>
      <c r="AE56" s="198"/>
      <c r="AF56" s="88"/>
      <c r="AG56" s="202"/>
    </row>
    <row r="57" spans="1:33" s="91" customFormat="1" x14ac:dyDescent="0.2">
      <c r="A57" s="614" t="s">
        <v>1776</v>
      </c>
      <c r="B57" s="225"/>
      <c r="C57" s="225"/>
      <c r="D57" s="177"/>
      <c r="G57" s="225"/>
      <c r="H57" s="2448">
        <f>Electricity!B8</f>
        <v>4.686519891110856E-2</v>
      </c>
      <c r="I57" s="67" t="s">
        <v>2342</v>
      </c>
      <c r="J57" s="225"/>
      <c r="K57" s="177"/>
      <c r="L57" s="1707"/>
      <c r="M57" s="198"/>
      <c r="N57" s="198"/>
      <c r="O57" s="2448">
        <f>Electricity!F8</f>
        <v>1.4494999999999999E-2</v>
      </c>
      <c r="P57" s="67" t="s">
        <v>2342</v>
      </c>
      <c r="Q57" s="198"/>
      <c r="S57" s="202"/>
      <c r="T57" s="67"/>
      <c r="U57" s="67"/>
      <c r="V57" s="2463">
        <f>Electricity!J8</f>
        <v>2.2785E-2</v>
      </c>
      <c r="W57" s="67" t="s">
        <v>2342</v>
      </c>
      <c r="X57" s="67"/>
      <c r="Y57" s="88"/>
      <c r="Z57" s="67"/>
      <c r="AA57" s="67"/>
      <c r="AB57" s="67"/>
      <c r="AC57" s="2447">
        <f>Electricity!N8</f>
        <v>2.622E-2</v>
      </c>
      <c r="AD57" s="873" t="s">
        <v>2342</v>
      </c>
      <c r="AE57" s="198"/>
      <c r="AF57" s="88"/>
      <c r="AG57" s="202"/>
    </row>
    <row r="58" spans="1:33" x14ac:dyDescent="0.2">
      <c r="A58" s="614" t="s">
        <v>1778</v>
      </c>
      <c r="B58" s="225"/>
      <c r="C58" s="225"/>
      <c r="D58" s="177"/>
      <c r="G58" s="225"/>
      <c r="H58" s="2448">
        <f>Electricity!B49</f>
        <v>0.42240487735807475</v>
      </c>
      <c r="I58" s="67" t="s">
        <v>2342</v>
      </c>
      <c r="J58" s="225"/>
      <c r="K58" s="177"/>
      <c r="L58" s="1707"/>
      <c r="M58" s="198"/>
      <c r="N58" s="198"/>
      <c r="O58" s="2448">
        <f>Electricity!F49</f>
        <v>0.43058804921326344</v>
      </c>
      <c r="P58" s="67" t="s">
        <v>2342</v>
      </c>
      <c r="Q58" s="198"/>
      <c r="V58" s="2460">
        <f>Electricity!J49</f>
        <v>0.50200754621122423</v>
      </c>
      <c r="W58" s="67" t="s">
        <v>2342</v>
      </c>
      <c r="AC58" s="2447">
        <f>Electricity!N49</f>
        <v>0.48684029572190662</v>
      </c>
      <c r="AD58" s="873" t="s">
        <v>2342</v>
      </c>
      <c r="AE58" s="198"/>
    </row>
    <row r="59" spans="1:33" x14ac:dyDescent="0.2">
      <c r="A59" s="177"/>
      <c r="B59" s="225"/>
      <c r="C59" s="225"/>
      <c r="D59" s="177"/>
      <c r="G59" s="225"/>
      <c r="H59" s="198"/>
      <c r="I59" s="198"/>
      <c r="J59" s="225"/>
      <c r="K59" s="177"/>
      <c r="L59" s="1707"/>
      <c r="M59" s="198"/>
      <c r="N59" s="198"/>
      <c r="O59" s="198"/>
      <c r="P59" s="198"/>
      <c r="Q59" s="198"/>
      <c r="AC59" s="808"/>
      <c r="AD59" s="198"/>
      <c r="AE59" s="198"/>
    </row>
    <row r="60" spans="1:33" x14ac:dyDescent="0.2">
      <c r="A60" s="614" t="s">
        <v>2344</v>
      </c>
      <c r="B60" s="225"/>
      <c r="C60" s="225"/>
      <c r="D60" s="177"/>
      <c r="G60" s="225"/>
      <c r="H60" s="198"/>
      <c r="I60" s="198"/>
      <c r="J60" s="225"/>
      <c r="K60" s="177"/>
      <c r="L60" s="1707"/>
      <c r="M60" s="198"/>
      <c r="N60" s="198"/>
      <c r="O60" s="198"/>
      <c r="P60" s="198"/>
      <c r="Q60" s="198"/>
      <c r="AC60" s="808"/>
      <c r="AD60" s="198"/>
      <c r="AE60" s="198"/>
    </row>
    <row r="61" spans="1:33" x14ac:dyDescent="0.2">
      <c r="A61" s="571" t="s">
        <v>1776</v>
      </c>
      <c r="B61" s="292"/>
      <c r="C61" s="292"/>
      <c r="D61" s="195"/>
      <c r="G61" s="292"/>
      <c r="H61" s="1363">
        <f>H57*H46</f>
        <v>0</v>
      </c>
      <c r="I61" s="226" t="s">
        <v>1315</v>
      </c>
      <c r="J61" s="292"/>
      <c r="K61" s="195"/>
      <c r="L61" s="800"/>
      <c r="M61" s="187"/>
      <c r="N61" s="187"/>
      <c r="O61" s="1363">
        <f>O57*O46</f>
        <v>4.1038774278155703</v>
      </c>
      <c r="P61" s="226" t="s">
        <v>1315</v>
      </c>
      <c r="Q61" s="187"/>
      <c r="V61" s="1363">
        <f>V57*V46</f>
        <v>205.49215373611108</v>
      </c>
      <c r="W61" s="226" t="s">
        <v>1315</v>
      </c>
      <c r="AC61" s="1363">
        <f>AC57*AC46</f>
        <v>225.345168</v>
      </c>
      <c r="AD61" s="226" t="s">
        <v>1315</v>
      </c>
      <c r="AE61" s="187"/>
    </row>
    <row r="62" spans="1:33" x14ac:dyDescent="0.2">
      <c r="A62" s="116" t="s">
        <v>1778</v>
      </c>
      <c r="H62" s="1363">
        <f>H58*H49</f>
        <v>0</v>
      </c>
      <c r="I62" s="226" t="s">
        <v>1315</v>
      </c>
      <c r="O62" s="1363">
        <f>O58*O49</f>
        <v>58.248376054820341</v>
      </c>
      <c r="P62" s="226" t="s">
        <v>1315</v>
      </c>
      <c r="V62" s="1363">
        <f>V58*V49</f>
        <v>2163.22725016614</v>
      </c>
      <c r="W62" s="226" t="s">
        <v>1315</v>
      </c>
      <c r="AC62" s="1363">
        <f>AC58*AC49</f>
        <v>1999.1609903524372</v>
      </c>
      <c r="AD62" s="226" t="s">
        <v>1315</v>
      </c>
    </row>
    <row r="63" spans="1:33" s="65" customFormat="1" x14ac:dyDescent="0.2">
      <c r="A63" s="2449" t="s">
        <v>116</v>
      </c>
      <c r="B63" s="2450"/>
      <c r="C63" s="2450"/>
      <c r="D63" s="2449"/>
      <c r="G63" s="2450"/>
      <c r="H63" s="2461">
        <f>SUM(H61:H62)</f>
        <v>0</v>
      </c>
      <c r="I63" s="131" t="s">
        <v>1315</v>
      </c>
      <c r="J63" s="2450"/>
      <c r="K63" s="2449"/>
      <c r="L63" s="826"/>
      <c r="M63" s="2451"/>
      <c r="N63" s="2451"/>
      <c r="O63" s="2461">
        <f>SUM(O61:O62)</f>
        <v>62.352253482635909</v>
      </c>
      <c r="P63" s="131" t="s">
        <v>1315</v>
      </c>
      <c r="Q63" s="2451"/>
      <c r="S63" s="2452"/>
      <c r="T63" s="1354"/>
      <c r="U63" s="1354"/>
      <c r="V63" s="2461">
        <f>SUM(V61:V62)</f>
        <v>2368.7194039022511</v>
      </c>
      <c r="W63" s="131" t="s">
        <v>1315</v>
      </c>
      <c r="X63" s="1354"/>
      <c r="Y63" s="629"/>
      <c r="Z63" s="1354"/>
      <c r="AA63" s="1354"/>
      <c r="AB63" s="1354"/>
      <c r="AC63" s="2461">
        <f>SUM(AC61:AC62)</f>
        <v>2224.5061583524371</v>
      </c>
      <c r="AD63" s="131" t="s">
        <v>1315</v>
      </c>
      <c r="AE63" s="2451"/>
      <c r="AF63" s="629"/>
      <c r="AG63" s="2452"/>
    </row>
    <row r="64" spans="1:33" s="634" customFormat="1" x14ac:dyDescent="0.2">
      <c r="A64" s="1700" t="s">
        <v>2345</v>
      </c>
      <c r="B64" s="2032"/>
      <c r="C64" s="2032"/>
      <c r="D64" s="1700"/>
      <c r="E64" s="2032"/>
      <c r="F64" s="2032"/>
      <c r="G64" s="2032"/>
      <c r="H64" s="2443">
        <f>H63*tonTOMg</f>
        <v>0</v>
      </c>
      <c r="I64" s="2032" t="s">
        <v>163</v>
      </c>
      <c r="J64" s="2032"/>
      <c r="K64" s="1700"/>
      <c r="L64" s="1704"/>
      <c r="M64" s="2445"/>
      <c r="N64" s="2032"/>
      <c r="O64" s="1701">
        <f>O63*tonTOMg</f>
        <v>56.564717314377646</v>
      </c>
      <c r="P64" s="2032" t="s">
        <v>163</v>
      </c>
      <c r="Q64" s="2032"/>
      <c r="R64" s="2032"/>
      <c r="S64" s="1704"/>
      <c r="T64" s="2444"/>
      <c r="U64" s="1701"/>
      <c r="V64" s="1701">
        <f>V63*tonTOMg</f>
        <v>2148.8548688320443</v>
      </c>
      <c r="W64" s="1701" t="s">
        <v>163</v>
      </c>
      <c r="X64" s="1701"/>
      <c r="Y64" s="2034"/>
      <c r="Z64" s="1701"/>
      <c r="AA64" s="2444"/>
      <c r="AB64" s="1701"/>
      <c r="AC64" s="1701">
        <f>AC63*tonTOMg</f>
        <v>2018.0274967341638</v>
      </c>
      <c r="AD64" s="2032" t="s">
        <v>163</v>
      </c>
      <c r="AE64" s="2032"/>
      <c r="AF64" s="2032"/>
      <c r="AG64" s="2421"/>
    </row>
    <row r="66" spans="1:33" s="2352" customFormat="1" x14ac:dyDescent="0.2">
      <c r="A66" s="2455" t="s">
        <v>2386</v>
      </c>
      <c r="B66" s="2456"/>
      <c r="C66" s="2456"/>
      <c r="D66" s="2455"/>
      <c r="E66" s="2456"/>
      <c r="F66" s="2456"/>
      <c r="G66" s="2456"/>
      <c r="H66" s="2462">
        <f>SUM(H64,E41)</f>
        <v>53836.795483557878</v>
      </c>
      <c r="I66" s="2456" t="s">
        <v>163</v>
      </c>
      <c r="J66" s="2456"/>
      <c r="K66" s="2455"/>
      <c r="L66" s="2109"/>
      <c r="M66" s="2105"/>
      <c r="N66" s="2105"/>
      <c r="O66" s="2462">
        <f>SUM(O64,L41)</f>
        <v>69881.212444547258</v>
      </c>
      <c r="P66" s="2456" t="s">
        <v>163</v>
      </c>
      <c r="Q66" s="2105"/>
      <c r="R66" s="2105"/>
      <c r="S66" s="2457"/>
      <c r="T66" s="2458"/>
      <c r="U66" s="2458"/>
      <c r="V66" s="2462">
        <f>SUM(V64,S41)</f>
        <v>70080.342688192555</v>
      </c>
      <c r="W66" s="2456" t="s">
        <v>163</v>
      </c>
      <c r="X66" s="2458"/>
      <c r="Y66" s="2459"/>
      <c r="Z66" s="2458"/>
      <c r="AA66" s="2458"/>
      <c r="AB66" s="2458"/>
      <c r="AC66" s="2462">
        <f>SUM(AC64,Z41)</f>
        <v>69572.382340063865</v>
      </c>
      <c r="AD66" s="2456" t="s">
        <v>163</v>
      </c>
      <c r="AE66" s="2105"/>
      <c r="AF66" s="2459"/>
      <c r="AG66" s="2457"/>
    </row>
  </sheetData>
  <customSheetViews>
    <customSheetView guid="{9BEC6399-AE85-4D88-8FBA-3674E2F30307}">
      <selection activeCell="E14" sqref="E14"/>
      <pageMargins left="0.7" right="0.7" top="0.75" bottom="0.75" header="0.3" footer="0.3"/>
      <pageSetup orientation="portrait" r:id="rId1"/>
    </customSheetView>
    <customSheetView guid="{0347A67A-6027-4907-965C-6EA2A8295536}">
      <selection activeCell="E14" sqref="E14"/>
      <pageMargins left="0.7" right="0.7" top="0.75" bottom="0.75" header="0.3" footer="0.3"/>
      <pageSetup orientation="portrait" r:id="rId2"/>
    </customSheetView>
    <customSheetView guid="{15CC7F3D-99AB-49C1-AC00-E04D3FE3FBC1}">
      <pane xSplit="1" ySplit="4" topLeftCell="H27" activePane="bottomRight" state="frozen"/>
      <selection pane="bottomRight" activeCell="X57" sqref="X57"/>
      <pageMargins left="0.7" right="0.7" top="0.75" bottom="0.75" header="0.3" footer="0.3"/>
      <pageSetup orientation="portrait" r:id="rId3"/>
    </customSheetView>
  </customSheetViews>
  <mergeCells count="11">
    <mergeCell ref="E1:K1"/>
    <mergeCell ref="E2:G2"/>
    <mergeCell ref="H2:K2"/>
    <mergeCell ref="Z1:AF1"/>
    <mergeCell ref="S2:U2"/>
    <mergeCell ref="V2:Y2"/>
    <mergeCell ref="S1:Y1"/>
    <mergeCell ref="Z2:AB2"/>
    <mergeCell ref="L2:N2"/>
    <mergeCell ref="O2:R2"/>
    <mergeCell ref="L1:R1"/>
  </mergeCells>
  <phoneticPr fontId="30" type="noConversion"/>
  <pageMargins left="0.7" right="0.7" top="0.75" bottom="0.75" header="0.3" footer="0.3"/>
  <pageSetup orientation="portrait" r:id="rId4"/>
  <legacyDrawing r:id="rId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sheetPr>
  <dimension ref="A1:J51"/>
  <sheetViews>
    <sheetView workbookViewId="0">
      <selection activeCell="D24" sqref="D24"/>
    </sheetView>
  </sheetViews>
  <sheetFormatPr defaultColWidth="8.85546875" defaultRowHeight="12" x14ac:dyDescent="0.2"/>
  <cols>
    <col min="1" max="1" width="46.7109375" style="116" bestFit="1" customWidth="1"/>
    <col min="2" max="2" width="10.85546875" style="848" bestFit="1" customWidth="1"/>
    <col min="3" max="3" width="15.28515625" style="505" bestFit="1" customWidth="1"/>
    <col min="4" max="4" width="26.28515625" style="505" bestFit="1" customWidth="1"/>
    <col min="5" max="5" width="34.85546875" style="574" bestFit="1" customWidth="1"/>
    <col min="6" max="6" width="12" style="795" customWidth="1"/>
    <col min="7" max="7" width="9.42578125" style="659" customWidth="1"/>
    <col min="8" max="8" width="26.28515625" style="296" bestFit="1" customWidth="1"/>
    <col min="9" max="9" width="9.42578125" style="161" customWidth="1"/>
    <col min="10" max="10" width="9.42578125" style="576" customWidth="1"/>
  </cols>
  <sheetData>
    <row r="1" spans="1:10" s="9" customFormat="1" x14ac:dyDescent="0.2">
      <c r="A1" s="114"/>
      <c r="B1" s="2543">
        <v>2003</v>
      </c>
      <c r="C1" s="2560"/>
      <c r="D1" s="2560"/>
      <c r="E1" s="2549"/>
      <c r="F1" s="2543">
        <v>2008</v>
      </c>
      <c r="G1" s="2546"/>
      <c r="H1" s="2546"/>
      <c r="I1" s="2547"/>
      <c r="J1" s="63"/>
    </row>
    <row r="2" spans="1:10" s="9" customFormat="1" x14ac:dyDescent="0.2">
      <c r="A2" s="114" t="s">
        <v>604</v>
      </c>
      <c r="B2" s="758" t="s">
        <v>602</v>
      </c>
      <c r="C2" s="758" t="s">
        <v>601</v>
      </c>
      <c r="D2" s="633" t="s">
        <v>603</v>
      </c>
      <c r="E2" s="666" t="s">
        <v>420</v>
      </c>
      <c r="F2" s="758" t="s">
        <v>602</v>
      </c>
      <c r="G2" s="758" t="s">
        <v>601</v>
      </c>
      <c r="H2" s="633" t="s">
        <v>603</v>
      </c>
      <c r="I2" s="666" t="s">
        <v>420</v>
      </c>
      <c r="J2" s="63" t="s">
        <v>600</v>
      </c>
    </row>
    <row r="3" spans="1:10" s="13" customFormat="1" x14ac:dyDescent="0.2">
      <c r="A3" s="1700" t="s">
        <v>1557</v>
      </c>
      <c r="B3" s="1710"/>
      <c r="C3" s="1702"/>
      <c r="D3" s="1702"/>
      <c r="E3" s="1703"/>
      <c r="F3" s="1710"/>
      <c r="G3" s="1702"/>
      <c r="H3" s="1711"/>
      <c r="I3" s="1712"/>
      <c r="J3" s="682"/>
    </row>
    <row r="4" spans="1:10" s="92" customFormat="1" x14ac:dyDescent="0.2">
      <c r="A4" s="119"/>
      <c r="B4" s="842"/>
      <c r="C4" s="695"/>
      <c r="D4" s="695"/>
      <c r="E4" s="672"/>
      <c r="F4" s="850"/>
      <c r="G4" s="678"/>
      <c r="H4" s="295"/>
      <c r="I4" s="677"/>
      <c r="J4" s="683"/>
    </row>
    <row r="5" spans="1:10" s="13" customFormat="1" x14ac:dyDescent="0.2">
      <c r="A5" s="203" t="s">
        <v>1556</v>
      </c>
      <c r="B5" s="842"/>
      <c r="C5" s="695"/>
      <c r="D5" s="695"/>
      <c r="E5" s="672"/>
      <c r="F5" s="850"/>
      <c r="G5" s="678"/>
      <c r="H5" s="295"/>
      <c r="I5" s="677"/>
      <c r="J5" s="682"/>
    </row>
    <row r="6" spans="1:10" s="168" customFormat="1" x14ac:dyDescent="0.2">
      <c r="A6" s="1483" t="s">
        <v>210</v>
      </c>
      <c r="B6" s="843"/>
      <c r="C6" s="551"/>
      <c r="D6" s="551"/>
      <c r="E6" s="577"/>
      <c r="F6" s="788"/>
      <c r="G6" s="137"/>
      <c r="H6" s="295"/>
      <c r="I6" s="677"/>
      <c r="J6" s="667"/>
    </row>
    <row r="7" spans="1:10" s="168" customFormat="1" x14ac:dyDescent="0.2">
      <c r="A7" s="177" t="s">
        <v>160</v>
      </c>
      <c r="B7" s="843"/>
      <c r="C7" s="551"/>
      <c r="D7" s="551"/>
      <c r="E7" s="577"/>
      <c r="F7" s="788"/>
      <c r="G7" s="137"/>
      <c r="H7" s="295"/>
      <c r="I7" s="677"/>
      <c r="J7" s="667"/>
    </row>
    <row r="8" spans="1:10" s="168" customFormat="1" x14ac:dyDescent="0.2">
      <c r="A8" s="177" t="s">
        <v>158</v>
      </c>
      <c r="B8" s="843"/>
      <c r="C8" s="551"/>
      <c r="D8" s="551"/>
      <c r="E8" s="577"/>
      <c r="F8" s="788"/>
      <c r="G8" s="137"/>
      <c r="H8" s="295"/>
      <c r="I8" s="677"/>
      <c r="J8" s="667"/>
    </row>
    <row r="9" spans="1:10" s="168" customFormat="1" x14ac:dyDescent="0.2">
      <c r="A9" s="167" t="s">
        <v>159</v>
      </c>
      <c r="B9" s="843"/>
      <c r="C9" s="551"/>
      <c r="D9" s="551"/>
      <c r="E9" s="577"/>
      <c r="F9" s="788"/>
      <c r="G9" s="137"/>
      <c r="H9" s="295"/>
      <c r="I9" s="677"/>
      <c r="J9" s="667"/>
    </row>
    <row r="10" spans="1:10" s="168" customFormat="1" x14ac:dyDescent="0.2">
      <c r="A10" s="177" t="s">
        <v>102</v>
      </c>
      <c r="B10" s="843"/>
      <c r="C10" s="551"/>
      <c r="D10" s="551"/>
      <c r="E10" s="577"/>
      <c r="F10" s="788"/>
      <c r="G10" s="137"/>
      <c r="H10" s="292"/>
      <c r="I10" s="195"/>
      <c r="J10" s="667"/>
    </row>
    <row r="11" spans="1:10" s="168" customFormat="1" x14ac:dyDescent="0.2">
      <c r="A11" s="299" t="s">
        <v>138</v>
      </c>
      <c r="B11" s="843"/>
      <c r="C11" s="551"/>
      <c r="D11" s="551"/>
      <c r="E11" s="577"/>
      <c r="F11" s="851">
        <f>26241396</f>
        <v>26241396</v>
      </c>
      <c r="G11" s="64" t="s">
        <v>654</v>
      </c>
      <c r="H11" s="684" t="s">
        <v>140</v>
      </c>
      <c r="I11" s="195"/>
      <c r="J11" s="667"/>
    </row>
    <row r="12" spans="1:10" s="168" customFormat="1" x14ac:dyDescent="0.2">
      <c r="A12" s="299" t="s">
        <v>139</v>
      </c>
      <c r="B12" s="843"/>
      <c r="C12" s="551"/>
      <c r="D12" s="551"/>
      <c r="E12" s="577"/>
      <c r="F12" s="851">
        <f>748546</f>
        <v>748546</v>
      </c>
      <c r="G12" s="64" t="s">
        <v>654</v>
      </c>
      <c r="H12" s="684" t="s">
        <v>140</v>
      </c>
      <c r="I12" s="195"/>
      <c r="J12" s="667"/>
    </row>
    <row r="13" spans="1:10" s="168" customFormat="1" x14ac:dyDescent="0.2">
      <c r="A13" s="87" t="s">
        <v>111</v>
      </c>
      <c r="B13" s="843"/>
      <c r="C13" s="551"/>
      <c r="D13" s="551"/>
      <c r="E13" s="577"/>
      <c r="F13" s="851"/>
      <c r="G13" s="64"/>
      <c r="H13" s="684"/>
      <c r="I13" s="195"/>
      <c r="J13" s="667"/>
    </row>
    <row r="14" spans="1:10" s="168" customFormat="1" x14ac:dyDescent="0.2">
      <c r="A14" s="300" t="s">
        <v>110</v>
      </c>
      <c r="B14" s="843"/>
      <c r="C14" s="551"/>
      <c r="D14" s="551"/>
      <c r="E14" s="577"/>
      <c r="F14" s="851"/>
      <c r="G14" s="64"/>
      <c r="H14" s="684"/>
      <c r="I14" s="195"/>
      <c r="J14" s="667"/>
    </row>
    <row r="15" spans="1:10" s="168" customFormat="1" x14ac:dyDescent="0.2">
      <c r="A15" s="300" t="s">
        <v>101</v>
      </c>
      <c r="B15" s="844"/>
      <c r="C15" s="628"/>
      <c r="D15" s="569"/>
      <c r="E15" s="571"/>
      <c r="F15" s="852">
        <v>0.51</v>
      </c>
      <c r="G15" s="656"/>
      <c r="H15" s="569" t="s">
        <v>235</v>
      </c>
      <c r="I15" s="195"/>
      <c r="J15" s="667"/>
    </row>
    <row r="16" spans="1:10" s="168" customFormat="1" x14ac:dyDescent="0.2">
      <c r="A16" s="745" t="s">
        <v>1177</v>
      </c>
      <c r="B16" s="844"/>
      <c r="C16" s="628"/>
      <c r="D16" s="569"/>
      <c r="E16" s="571"/>
      <c r="F16" s="852"/>
      <c r="G16" s="656"/>
      <c r="H16" s="569"/>
      <c r="I16" s="195"/>
      <c r="J16" s="667"/>
    </row>
    <row r="17" spans="1:10" s="168" customFormat="1" x14ac:dyDescent="0.2">
      <c r="A17" s="300">
        <v>2003</v>
      </c>
      <c r="B17" s="587">
        <v>310851</v>
      </c>
      <c r="C17" s="628" t="s">
        <v>1179</v>
      </c>
      <c r="D17" s="569" t="s">
        <v>1180</v>
      </c>
      <c r="E17" s="571"/>
      <c r="F17" s="852"/>
      <c r="G17" s="656"/>
      <c r="H17" s="569"/>
      <c r="I17" s="195"/>
      <c r="J17" s="667"/>
    </row>
    <row r="18" spans="1:10" s="168" customFormat="1" x14ac:dyDescent="0.2">
      <c r="A18" s="300">
        <v>2007</v>
      </c>
      <c r="B18" s="587">
        <v>300184</v>
      </c>
      <c r="C18" s="628" t="s">
        <v>1179</v>
      </c>
      <c r="D18" s="569" t="s">
        <v>1180</v>
      </c>
      <c r="E18" s="571" t="s">
        <v>1178</v>
      </c>
      <c r="F18" s="852"/>
      <c r="G18" s="656"/>
      <c r="H18" s="569"/>
      <c r="I18" s="195"/>
      <c r="J18" s="667"/>
    </row>
    <row r="19" spans="1:10" s="168" customFormat="1" x14ac:dyDescent="0.2">
      <c r="A19" s="1476" t="s">
        <v>152</v>
      </c>
      <c r="B19" s="845"/>
      <c r="C19" s="569"/>
      <c r="D19" s="569"/>
      <c r="E19" s="571"/>
      <c r="F19" s="792"/>
      <c r="G19" s="656"/>
      <c r="H19" s="295"/>
      <c r="I19" s="677"/>
      <c r="J19" s="667"/>
    </row>
    <row r="20" spans="1:10" s="168" customFormat="1" x14ac:dyDescent="0.2">
      <c r="A20" s="177" t="s">
        <v>98</v>
      </c>
      <c r="B20" s="845"/>
      <c r="C20" s="569"/>
      <c r="D20" s="569"/>
      <c r="E20" s="571"/>
      <c r="F20" s="788"/>
      <c r="G20" s="656"/>
      <c r="H20" s="295"/>
      <c r="I20" s="677"/>
      <c r="J20" s="667"/>
    </row>
    <row r="21" spans="1:10" s="168" customFormat="1" x14ac:dyDescent="0.2">
      <c r="A21" s="167" t="s">
        <v>161</v>
      </c>
      <c r="B21" s="845"/>
      <c r="C21" s="602"/>
      <c r="D21" s="569"/>
      <c r="E21" s="571"/>
      <c r="F21" s="788">
        <f>F11*galTOL</f>
        <v>99334180.418400005</v>
      </c>
      <c r="G21" s="602" t="s">
        <v>519</v>
      </c>
      <c r="H21" s="295"/>
      <c r="I21" s="677"/>
      <c r="J21" s="667"/>
    </row>
    <row r="22" spans="1:10" s="168" customFormat="1" x14ac:dyDescent="0.2">
      <c r="A22" s="167" t="s">
        <v>139</v>
      </c>
      <c r="B22" s="845"/>
      <c r="C22" s="602"/>
      <c r="D22" s="569"/>
      <c r="E22" s="571"/>
      <c r="F22" s="788">
        <f>F12*galTOL</f>
        <v>2833546.0284000002</v>
      </c>
      <c r="G22" s="602" t="s">
        <v>519</v>
      </c>
      <c r="H22" s="295"/>
      <c r="I22" s="677"/>
      <c r="J22" s="667"/>
    </row>
    <row r="23" spans="1:10" s="168" customFormat="1" x14ac:dyDescent="0.2">
      <c r="A23" s="177" t="s">
        <v>99</v>
      </c>
      <c r="B23" s="845"/>
      <c r="C23" s="656"/>
      <c r="D23" s="569"/>
      <c r="E23" s="571"/>
      <c r="F23" s="788"/>
      <c r="G23" s="656"/>
      <c r="H23" s="295"/>
      <c r="I23" s="677"/>
      <c r="J23" s="667"/>
    </row>
    <row r="24" spans="1:10" s="168" customFormat="1" ht="13.5" x14ac:dyDescent="0.2">
      <c r="A24" s="167" t="s">
        <v>161</v>
      </c>
      <c r="B24" s="845"/>
      <c r="C24" s="602"/>
      <c r="D24" s="569"/>
      <c r="E24" s="571"/>
      <c r="F24" s="788">
        <f>F21*efjetfuel/1000000</f>
        <v>255713.91787224633</v>
      </c>
      <c r="G24" s="602" t="s">
        <v>184</v>
      </c>
      <c r="H24" s="295"/>
      <c r="I24" s="677"/>
      <c r="J24" s="667"/>
    </row>
    <row r="25" spans="1:10" s="168" customFormat="1" ht="13.5" x14ac:dyDescent="0.2">
      <c r="A25" s="167" t="s">
        <v>139</v>
      </c>
      <c r="B25" s="845"/>
      <c r="C25" s="602"/>
      <c r="D25" s="569"/>
      <c r="E25" s="571"/>
      <c r="F25" s="788">
        <f>F22*efavgas/1000000</f>
        <v>6217.2406045339403</v>
      </c>
      <c r="G25" s="602" t="s">
        <v>184</v>
      </c>
      <c r="H25" s="295"/>
      <c r="I25" s="677"/>
      <c r="J25" s="667"/>
    </row>
    <row r="26" spans="1:10" s="168" customFormat="1" ht="13.5" x14ac:dyDescent="0.2">
      <c r="A26" s="177" t="s">
        <v>97</v>
      </c>
      <c r="B26" s="845"/>
      <c r="C26" s="602"/>
      <c r="D26" s="569"/>
      <c r="E26" s="571"/>
      <c r="F26" s="788">
        <f>SUM(F24:F25)</f>
        <v>261931.15847678026</v>
      </c>
      <c r="G26" s="602" t="s">
        <v>184</v>
      </c>
      <c r="H26" s="295"/>
      <c r="I26" s="677"/>
      <c r="J26" s="667"/>
    </row>
    <row r="27" spans="1:10" s="168" customFormat="1" ht="13.5" x14ac:dyDescent="0.2">
      <c r="A27" s="216" t="s">
        <v>100</v>
      </c>
      <c r="B27" s="812">
        <f>F27*(B17/B18)</f>
        <v>138331.8128123733</v>
      </c>
      <c r="C27" s="604" t="s">
        <v>940</v>
      </c>
      <c r="D27" s="569"/>
      <c r="E27" s="571" t="s">
        <v>1181</v>
      </c>
      <c r="F27" s="812">
        <f>F26*F15</f>
        <v>133584.89082315794</v>
      </c>
      <c r="G27" s="604" t="s">
        <v>940</v>
      </c>
      <c r="H27" s="295"/>
      <c r="I27" s="677"/>
      <c r="J27" s="673"/>
    </row>
    <row r="28" spans="1:10" s="208" customFormat="1" x14ac:dyDescent="0.2">
      <c r="A28" s="195"/>
      <c r="B28" s="842"/>
      <c r="C28" s="695"/>
      <c r="D28" s="695"/>
      <c r="E28" s="672"/>
      <c r="F28" s="808"/>
      <c r="G28" s="674"/>
      <c r="H28" s="225"/>
      <c r="I28" s="177"/>
      <c r="J28" s="673"/>
    </row>
    <row r="29" spans="1:10" s="92" customFormat="1" x14ac:dyDescent="0.2">
      <c r="A29" s="203" t="s">
        <v>135</v>
      </c>
      <c r="B29" s="842"/>
      <c r="C29" s="695"/>
      <c r="D29" s="695"/>
      <c r="E29" s="672"/>
      <c r="F29" s="850"/>
      <c r="G29" s="678"/>
      <c r="H29" s="158"/>
      <c r="I29" s="286"/>
      <c r="J29" s="683"/>
    </row>
    <row r="30" spans="1:10" s="168" customFormat="1" x14ac:dyDescent="0.2">
      <c r="A30" s="1483" t="s">
        <v>210</v>
      </c>
      <c r="B30" s="843"/>
      <c r="C30" s="551"/>
      <c r="D30" s="551"/>
      <c r="E30" s="577"/>
      <c r="F30" s="788"/>
      <c r="G30" s="137"/>
      <c r="H30" s="295"/>
      <c r="I30" s="677"/>
      <c r="J30" s="667"/>
    </row>
    <row r="31" spans="1:10" s="168" customFormat="1" x14ac:dyDescent="0.2">
      <c r="A31" s="571" t="s">
        <v>1162</v>
      </c>
      <c r="B31" s="843"/>
      <c r="C31" s="551"/>
      <c r="D31" s="551"/>
      <c r="E31" s="577"/>
      <c r="F31" s="788"/>
      <c r="G31" s="137"/>
      <c r="H31" s="295"/>
      <c r="I31" s="677"/>
      <c r="J31" s="667"/>
    </row>
    <row r="32" spans="1:10" s="168" customFormat="1" x14ac:dyDescent="0.2">
      <c r="A32" s="162" t="s">
        <v>857</v>
      </c>
      <c r="B32" s="843">
        <f>SUM(12250155,1105512)</f>
        <v>13355667</v>
      </c>
      <c r="C32" s="551" t="s">
        <v>1106</v>
      </c>
      <c r="D32" s="551" t="s">
        <v>1166</v>
      </c>
      <c r="E32" s="577"/>
      <c r="F32" s="788"/>
      <c r="G32" s="137"/>
      <c r="H32" s="295"/>
      <c r="I32" s="677"/>
      <c r="J32" s="667"/>
    </row>
    <row r="33" spans="1:10" s="168" customFormat="1" x14ac:dyDescent="0.2">
      <c r="A33" s="162" t="s">
        <v>596</v>
      </c>
      <c r="B33" s="843">
        <f>SUM(13408140,1223997)</f>
        <v>14632137</v>
      </c>
      <c r="C33" s="551" t="s">
        <v>1106</v>
      </c>
      <c r="D33" s="551" t="s">
        <v>1166</v>
      </c>
      <c r="E33" s="577"/>
      <c r="F33" s="788"/>
      <c r="G33" s="137"/>
      <c r="H33" s="295"/>
      <c r="I33" s="677"/>
      <c r="J33" s="667"/>
    </row>
    <row r="34" spans="1:10" s="168" customFormat="1" x14ac:dyDescent="0.2">
      <c r="A34" s="162" t="s">
        <v>1163</v>
      </c>
      <c r="B34" s="843">
        <f>B32/B33</f>
        <v>0.91276257186492993</v>
      </c>
      <c r="C34" s="551"/>
      <c r="D34" s="551"/>
      <c r="E34" s="577"/>
      <c r="F34" s="788"/>
      <c r="G34" s="137"/>
      <c r="H34" s="295"/>
      <c r="I34" s="677"/>
      <c r="J34" s="667"/>
    </row>
    <row r="35" spans="1:10" s="168" customFormat="1" x14ac:dyDescent="0.2">
      <c r="A35" s="161" t="s">
        <v>1164</v>
      </c>
      <c r="B35" s="591">
        <v>435419732</v>
      </c>
      <c r="C35" s="575" t="s">
        <v>654</v>
      </c>
      <c r="D35" s="551" t="s">
        <v>1161</v>
      </c>
      <c r="E35" s="577" t="s">
        <v>1165</v>
      </c>
      <c r="F35" s="788"/>
      <c r="G35" s="137"/>
      <c r="H35" s="295"/>
      <c r="I35" s="677"/>
      <c r="J35" s="667"/>
    </row>
    <row r="36" spans="1:10" s="168" customFormat="1" x14ac:dyDescent="0.2">
      <c r="A36" s="177" t="s">
        <v>103</v>
      </c>
      <c r="B36" s="846">
        <f>B35*B34</f>
        <v>397434834.42105854</v>
      </c>
      <c r="C36" s="531" t="s">
        <v>654</v>
      </c>
      <c r="E36" s="738"/>
      <c r="F36" s="591">
        <v>455493807</v>
      </c>
      <c r="G36" s="575" t="s">
        <v>654</v>
      </c>
      <c r="H36" s="569" t="s">
        <v>1161</v>
      </c>
      <c r="I36" s="195"/>
      <c r="J36" s="667"/>
    </row>
    <row r="37" spans="1:10" s="168" customFormat="1" x14ac:dyDescent="0.2">
      <c r="A37" s="614" t="s">
        <v>1171</v>
      </c>
      <c r="B37" s="846"/>
      <c r="C37" s="531"/>
      <c r="E37" s="738"/>
      <c r="F37" s="591"/>
      <c r="G37" s="575"/>
      <c r="H37" s="569"/>
      <c r="I37" s="195"/>
      <c r="J37" s="667"/>
    </row>
    <row r="38" spans="1:10" s="168" customFormat="1" x14ac:dyDescent="0.2">
      <c r="A38" s="162" t="s">
        <v>1173</v>
      </c>
      <c r="B38" s="814">
        <v>173134</v>
      </c>
      <c r="C38" s="551" t="s">
        <v>1170</v>
      </c>
      <c r="D38" s="531" t="s">
        <v>1168</v>
      </c>
      <c r="E38" s="738"/>
      <c r="F38" s="591">
        <v>168804</v>
      </c>
      <c r="G38" s="551" t="s">
        <v>1170</v>
      </c>
      <c r="H38" s="569" t="s">
        <v>1169</v>
      </c>
      <c r="I38" s="195"/>
      <c r="J38" s="667"/>
    </row>
    <row r="39" spans="1:10" s="168" customFormat="1" x14ac:dyDescent="0.2">
      <c r="A39" s="162" t="s">
        <v>1172</v>
      </c>
      <c r="B39" s="814">
        <v>7831</v>
      </c>
      <c r="C39" s="551" t="s">
        <v>1170</v>
      </c>
      <c r="D39" s="531" t="s">
        <v>1168</v>
      </c>
      <c r="E39" s="738"/>
      <c r="F39" s="591">
        <v>4823</v>
      </c>
      <c r="G39" s="551" t="s">
        <v>1170</v>
      </c>
      <c r="H39" s="569" t="s">
        <v>1169</v>
      </c>
      <c r="I39" s="195"/>
      <c r="J39" s="667"/>
    </row>
    <row r="40" spans="1:10" s="168" customFormat="1" x14ac:dyDescent="0.2">
      <c r="A40" s="161" t="s">
        <v>289</v>
      </c>
      <c r="B40" s="847">
        <f>1-B39/B38</f>
        <v>0.95476913835526245</v>
      </c>
      <c r="C40" s="551"/>
      <c r="D40" s="551"/>
      <c r="E40" s="577"/>
      <c r="F40" s="847">
        <f>1-F39/F38</f>
        <v>0.9714284021705647</v>
      </c>
      <c r="G40" s="680"/>
      <c r="H40" s="575"/>
      <c r="I40" s="581"/>
      <c r="J40" s="667"/>
    </row>
    <row r="41" spans="1:10" s="168" customFormat="1" x14ac:dyDescent="0.2">
      <c r="A41" s="635" t="s">
        <v>1109</v>
      </c>
      <c r="B41" s="844">
        <v>0.47507855661680087</v>
      </c>
      <c r="C41" s="551"/>
      <c r="D41" s="569" t="s">
        <v>1175</v>
      </c>
      <c r="E41" s="577" t="s">
        <v>1176</v>
      </c>
      <c r="F41" s="853">
        <v>0.47391816561272243</v>
      </c>
      <c r="G41" s="680"/>
      <c r="H41" s="569" t="s">
        <v>1174</v>
      </c>
      <c r="I41" s="571" t="s">
        <v>1110</v>
      </c>
      <c r="J41" s="744" t="s">
        <v>1111</v>
      </c>
    </row>
    <row r="42" spans="1:10" s="168" customFormat="1" x14ac:dyDescent="0.2">
      <c r="A42" s="167"/>
      <c r="B42" s="843"/>
      <c r="C42" s="551"/>
      <c r="D42" s="551"/>
      <c r="E42" s="577"/>
      <c r="F42" s="853"/>
      <c r="G42" s="680"/>
      <c r="H42" s="292"/>
      <c r="I42" s="195"/>
      <c r="J42" s="667"/>
    </row>
    <row r="43" spans="1:10" x14ac:dyDescent="0.2">
      <c r="A43" s="1699" t="s">
        <v>152</v>
      </c>
    </row>
    <row r="44" spans="1:10" x14ac:dyDescent="0.2">
      <c r="A44" s="177" t="s">
        <v>98</v>
      </c>
      <c r="B44" s="849">
        <f>B36*galTOL</f>
        <v>1504449822.2174749</v>
      </c>
      <c r="C44" s="366" t="s">
        <v>519</v>
      </c>
      <c r="F44" s="849">
        <f>F36*galTOL</f>
        <v>1724226257.0178001</v>
      </c>
      <c r="G44" s="366" t="s">
        <v>519</v>
      </c>
    </row>
    <row r="45" spans="1:10" x14ac:dyDescent="0.2">
      <c r="A45" s="614" t="s">
        <v>1199</v>
      </c>
      <c r="B45" s="811">
        <f>B44*B40*B41</f>
        <v>682403912.61916721</v>
      </c>
      <c r="C45" s="366" t="s">
        <v>519</v>
      </c>
      <c r="F45" s="811">
        <f>F44*F40*F41</f>
        <v>793795088.09568238</v>
      </c>
      <c r="G45" s="366" t="s">
        <v>519</v>
      </c>
      <c r="I45" s="161" t="s">
        <v>1167</v>
      </c>
    </row>
    <row r="46" spans="1:10" ht="13.5" x14ac:dyDescent="0.2">
      <c r="A46" s="199" t="s">
        <v>104</v>
      </c>
      <c r="B46" s="797">
        <f>B45*efjetfuel/1000000</f>
        <v>1756698.2214198047</v>
      </c>
      <c r="C46" s="604" t="s">
        <v>940</v>
      </c>
      <c r="D46" s="572"/>
      <c r="E46" s="586"/>
      <c r="F46" s="797">
        <f>F45*efjetfuel/1000000</f>
        <v>2043450.2112939602</v>
      </c>
      <c r="G46" s="604" t="s">
        <v>940</v>
      </c>
      <c r="H46" s="295"/>
      <c r="I46" s="677"/>
    </row>
    <row r="48" spans="1:10" x14ac:dyDescent="0.2">
      <c r="F48" s="816"/>
    </row>
    <row r="49" spans="6:7" x14ac:dyDescent="0.2">
      <c r="F49" s="854"/>
      <c r="G49" s="551"/>
    </row>
    <row r="50" spans="6:7" x14ac:dyDescent="0.2">
      <c r="F50" s="854"/>
      <c r="G50" s="602"/>
    </row>
    <row r="51" spans="6:7" x14ac:dyDescent="0.2">
      <c r="F51" s="855"/>
    </row>
  </sheetData>
  <customSheetViews>
    <customSheetView guid="{9BEC6399-AE85-4D88-8FBA-3674E2F30307}" state="hidden">
      <selection activeCell="D24" sqref="D24"/>
      <pageMargins left="0.7" right="0.7" top="0.75" bottom="0.75" header="0.3" footer="0.3"/>
      <pageSetup orientation="portrait" r:id="rId1"/>
    </customSheetView>
    <customSheetView guid="{0347A67A-6027-4907-965C-6EA2A8295536}" state="hidden">
      <selection activeCell="D24" sqref="D24"/>
      <pageMargins left="0.7" right="0.7" top="0.75" bottom="0.75" header="0.3" footer="0.3"/>
      <pageSetup orientation="portrait" r:id="rId2"/>
    </customSheetView>
    <customSheetView guid="{15CC7F3D-99AB-49C1-AC00-E04D3FE3FBC1}" state="hidden">
      <selection activeCell="D24" sqref="D24"/>
      <pageMargins left="0.7" right="0.7" top="0.75" bottom="0.75" header="0.3" footer="0.3"/>
      <pageSetup orientation="portrait" r:id="rId3"/>
    </customSheetView>
  </customSheetViews>
  <mergeCells count="2">
    <mergeCell ref="F1:I1"/>
    <mergeCell ref="B1:E1"/>
  </mergeCells>
  <phoneticPr fontId="30" type="noConversion"/>
  <pageMargins left="0.7" right="0.7" top="0.75" bottom="0.75" header="0.3" footer="0.3"/>
  <pageSetup orientation="portrait" r:id="rId4"/>
  <legacy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V116"/>
  <sheetViews>
    <sheetView workbookViewId="0">
      <selection activeCell="D15" sqref="D15:D16"/>
    </sheetView>
  </sheetViews>
  <sheetFormatPr defaultColWidth="8.85546875" defaultRowHeight="12" x14ac:dyDescent="0.2"/>
  <cols>
    <col min="1" max="1" width="33.140625" style="1" bestFit="1" customWidth="1"/>
    <col min="2" max="3" width="9.42578125" customWidth="1"/>
    <col min="4" max="4" width="22.140625" style="310" bestFit="1" customWidth="1"/>
    <col min="5" max="5" width="9.42578125" style="332" customWidth="1"/>
    <col min="6" max="6" width="9.5703125" customWidth="1"/>
    <col min="7" max="7" width="9.42578125" customWidth="1"/>
    <col min="8" max="8" width="22.140625" style="5" bestFit="1" customWidth="1"/>
    <col min="9" max="9" width="9.42578125" style="327" customWidth="1"/>
    <col min="10" max="10" width="18.42578125" customWidth="1"/>
    <col min="11" max="12" width="9.42578125" customWidth="1"/>
    <col min="13" max="13" width="22.140625" style="5" bestFit="1" customWidth="1"/>
    <col min="14" max="14" width="9.42578125" style="327" customWidth="1"/>
    <col min="15" max="16" width="9.42578125" customWidth="1"/>
    <col min="17" max="17" width="22.140625" style="5" bestFit="1" customWidth="1"/>
    <col min="18" max="18" width="9.42578125" style="327" customWidth="1"/>
  </cols>
  <sheetData>
    <row r="1" spans="1:22" x14ac:dyDescent="0.2">
      <c r="A1" s="114"/>
      <c r="B1" s="2561" t="s">
        <v>857</v>
      </c>
      <c r="C1" s="2562"/>
      <c r="D1" s="2562"/>
      <c r="E1" s="2563"/>
      <c r="F1" s="2543">
        <v>2008</v>
      </c>
      <c r="G1" s="2544"/>
      <c r="H1" s="2544"/>
      <c r="I1" s="2564"/>
      <c r="J1" s="1368"/>
      <c r="K1" s="2543">
        <v>2010</v>
      </c>
      <c r="L1" s="2544"/>
      <c r="M1" s="2544"/>
      <c r="N1" s="2564"/>
      <c r="O1" s="2543">
        <v>2015</v>
      </c>
      <c r="P1" s="2544"/>
      <c r="Q1" s="2544"/>
      <c r="R1" s="2564"/>
      <c r="S1" s="65" t="s">
        <v>1542</v>
      </c>
    </row>
    <row r="2" spans="1:22" x14ac:dyDescent="0.2">
      <c r="A2" s="114" t="s">
        <v>604</v>
      </c>
      <c r="B2" s="209" t="s">
        <v>602</v>
      </c>
      <c r="C2" s="141" t="s">
        <v>601</v>
      </c>
      <c r="D2" s="141" t="s">
        <v>603</v>
      </c>
      <c r="E2" s="7" t="s">
        <v>420</v>
      </c>
      <c r="F2" s="209" t="s">
        <v>602</v>
      </c>
      <c r="G2" s="141" t="s">
        <v>601</v>
      </c>
      <c r="H2" s="298" t="s">
        <v>603</v>
      </c>
      <c r="I2" s="125" t="s">
        <v>420</v>
      </c>
      <c r="J2" s="1367" t="s">
        <v>1526</v>
      </c>
      <c r="K2" s="209" t="s">
        <v>602</v>
      </c>
      <c r="L2" s="1841" t="s">
        <v>601</v>
      </c>
      <c r="M2" s="633" t="s">
        <v>603</v>
      </c>
      <c r="N2" s="666" t="s">
        <v>420</v>
      </c>
      <c r="O2" s="209" t="s">
        <v>602</v>
      </c>
      <c r="P2" s="1366" t="s">
        <v>601</v>
      </c>
      <c r="Q2" s="633" t="s">
        <v>603</v>
      </c>
      <c r="R2" s="666" t="s">
        <v>420</v>
      </c>
      <c r="S2" s="214" t="s">
        <v>1539</v>
      </c>
      <c r="T2" s="695"/>
      <c r="U2" s="1493" t="s">
        <v>1541</v>
      </c>
      <c r="V2" s="481"/>
    </row>
    <row r="3" spans="1:22" x14ac:dyDescent="0.2">
      <c r="A3" s="1467" t="s">
        <v>2350</v>
      </c>
      <c r="B3" s="1468"/>
      <c r="C3" s="1468"/>
      <c r="D3" s="1469"/>
      <c r="E3" s="1470"/>
      <c r="F3" s="1468"/>
      <c r="G3" s="1468"/>
      <c r="H3" s="1468"/>
      <c r="I3" s="1470"/>
      <c r="J3" s="1496"/>
      <c r="K3" s="1468"/>
      <c r="L3" s="1468"/>
      <c r="M3" s="1468"/>
      <c r="N3" s="1470"/>
      <c r="O3" s="1468"/>
      <c r="P3" s="1468"/>
      <c r="Q3" s="1468"/>
      <c r="R3" s="1470"/>
      <c r="S3" s="1494"/>
      <c r="T3" s="1484"/>
      <c r="U3" s="1484"/>
      <c r="V3" s="1484"/>
    </row>
    <row r="4" spans="1:22" x14ac:dyDescent="0.2">
      <c r="A4" s="1483" t="s">
        <v>119</v>
      </c>
      <c r="B4" s="311"/>
      <c r="C4" s="135"/>
      <c r="D4" s="287"/>
      <c r="E4" s="358"/>
      <c r="F4" s="210"/>
      <c r="G4" s="135"/>
      <c r="H4" s="130"/>
      <c r="I4" s="383"/>
      <c r="J4" s="1369"/>
      <c r="K4" s="210"/>
      <c r="L4" s="135"/>
      <c r="M4" s="130"/>
      <c r="N4" s="383"/>
      <c r="O4" s="210"/>
      <c r="P4" s="135"/>
      <c r="Q4" s="130"/>
      <c r="R4" s="383"/>
    </row>
    <row r="5" spans="1:22" s="91" customFormat="1" x14ac:dyDescent="0.2">
      <c r="A5" s="614" t="s">
        <v>1228</v>
      </c>
      <c r="B5" s="311"/>
      <c r="C5" s="135"/>
      <c r="D5" s="287"/>
      <c r="E5" s="358"/>
      <c r="F5" s="210"/>
      <c r="G5" s="135"/>
      <c r="H5" s="130"/>
      <c r="I5" s="383"/>
      <c r="J5" s="1369"/>
      <c r="K5" s="210"/>
      <c r="L5" s="135"/>
      <c r="M5" s="130"/>
      <c r="N5" s="383"/>
      <c r="O5" s="210"/>
      <c r="P5" s="135"/>
      <c r="Q5" s="130"/>
      <c r="R5" s="383"/>
    </row>
    <row r="6" spans="1:22" x14ac:dyDescent="0.2">
      <c r="A6" s="594" t="s">
        <v>1233</v>
      </c>
      <c r="B6" s="138"/>
      <c r="C6" s="138"/>
      <c r="D6" s="200"/>
      <c r="E6" s="334"/>
      <c r="F6" s="138"/>
      <c r="G6" s="312"/>
      <c r="H6" s="135"/>
      <c r="I6" s="326"/>
      <c r="J6" s="1370"/>
      <c r="K6" s="138"/>
      <c r="L6" s="312"/>
      <c r="M6" s="135"/>
      <c r="N6" s="326"/>
      <c r="O6" s="138"/>
      <c r="P6" s="312"/>
      <c r="Q6" s="135"/>
      <c r="R6" s="326"/>
    </row>
    <row r="7" spans="1:22" ht="13.5" x14ac:dyDescent="0.2">
      <c r="A7" s="1281" t="s">
        <v>1230</v>
      </c>
      <c r="B7" s="1497">
        <v>32857</v>
      </c>
      <c r="C7" s="628" t="s">
        <v>163</v>
      </c>
      <c r="D7" s="569" t="s">
        <v>2077</v>
      </c>
      <c r="E7" s="334"/>
      <c r="F7" s="1497">
        <v>28319</v>
      </c>
      <c r="G7" s="628" t="s">
        <v>163</v>
      </c>
      <c r="H7" s="569" t="s">
        <v>2077</v>
      </c>
      <c r="I7" s="326"/>
      <c r="J7" s="1370"/>
      <c r="K7" s="1497">
        <v>24076.357366012668</v>
      </c>
      <c r="L7" s="628" t="s">
        <v>163</v>
      </c>
      <c r="M7" s="569" t="s">
        <v>2077</v>
      </c>
      <c r="N7" s="326"/>
      <c r="O7" s="1497">
        <v>21698.83788058018</v>
      </c>
      <c r="P7" s="628" t="s">
        <v>168</v>
      </c>
      <c r="Q7" s="569" t="s">
        <v>2077</v>
      </c>
      <c r="R7" s="326"/>
    </row>
    <row r="8" spans="1:22" ht="13.5" x14ac:dyDescent="0.2">
      <c r="A8" s="1282" t="s">
        <v>189</v>
      </c>
      <c r="B8" s="1497">
        <v>112189</v>
      </c>
      <c r="C8" s="628" t="s">
        <v>163</v>
      </c>
      <c r="D8" s="569" t="s">
        <v>2077</v>
      </c>
      <c r="E8" s="334"/>
      <c r="F8" s="1497">
        <v>96503</v>
      </c>
      <c r="G8" s="628" t="s">
        <v>163</v>
      </c>
      <c r="H8" s="569" t="s">
        <v>2077</v>
      </c>
      <c r="I8" s="383"/>
      <c r="J8" s="1370"/>
      <c r="K8" s="1497">
        <v>81684.127245806099</v>
      </c>
      <c r="L8" s="628" t="s">
        <v>163</v>
      </c>
      <c r="M8" s="569" t="s">
        <v>2077</v>
      </c>
      <c r="N8" s="383"/>
      <c r="O8" s="1497">
        <v>87558.377103508668</v>
      </c>
      <c r="P8" s="628" t="s">
        <v>168</v>
      </c>
      <c r="Q8" s="569" t="s">
        <v>2077</v>
      </c>
      <c r="R8" s="383"/>
    </row>
    <row r="9" spans="1:22" ht="13.5" x14ac:dyDescent="0.2">
      <c r="A9" s="1282" t="s">
        <v>1231</v>
      </c>
      <c r="B9" s="1497">
        <v>-122441</v>
      </c>
      <c r="C9" s="628" t="s">
        <v>163</v>
      </c>
      <c r="D9" s="569" t="s">
        <v>2077</v>
      </c>
      <c r="E9" s="334"/>
      <c r="F9" s="1497">
        <v>-120599</v>
      </c>
      <c r="G9" s="628" t="s">
        <v>163</v>
      </c>
      <c r="H9" s="569" t="s">
        <v>2077</v>
      </c>
      <c r="I9" s="383"/>
      <c r="J9" s="1370"/>
      <c r="K9" s="1497">
        <v>-104689.23594485072</v>
      </c>
      <c r="L9" s="628" t="s">
        <v>163</v>
      </c>
      <c r="M9" s="569" t="s">
        <v>2077</v>
      </c>
      <c r="N9" s="383"/>
      <c r="O9" s="1497">
        <v>-98891.428142605175</v>
      </c>
      <c r="P9" s="628" t="s">
        <v>168</v>
      </c>
      <c r="Q9" s="569" t="s">
        <v>2077</v>
      </c>
      <c r="R9" s="383"/>
    </row>
    <row r="10" spans="1:22" x14ac:dyDescent="0.2">
      <c r="A10" s="1283"/>
      <c r="B10" s="219"/>
      <c r="C10" s="536"/>
      <c r="D10" s="254"/>
      <c r="E10" s="334"/>
      <c r="F10" s="219"/>
      <c r="G10" s="536"/>
      <c r="H10" s="254"/>
      <c r="I10" s="383"/>
      <c r="J10" s="1370"/>
      <c r="K10" s="210"/>
      <c r="L10" s="392"/>
      <c r="M10" s="254"/>
      <c r="N10" s="383"/>
      <c r="O10" s="210"/>
      <c r="P10" s="392"/>
      <c r="Q10" s="254"/>
      <c r="R10" s="383"/>
    </row>
    <row r="11" spans="1:22" x14ac:dyDescent="0.2">
      <c r="A11" s="1284" t="s">
        <v>1227</v>
      </c>
      <c r="B11" s="219"/>
      <c r="C11" s="536"/>
      <c r="D11" s="254"/>
      <c r="E11" s="334"/>
      <c r="F11" s="219"/>
      <c r="G11" s="536"/>
      <c r="H11" s="254"/>
      <c r="I11" s="383"/>
      <c r="J11" s="1370"/>
      <c r="K11" s="210"/>
      <c r="L11" s="392"/>
      <c r="M11" s="254"/>
      <c r="N11" s="383"/>
      <c r="O11" s="210"/>
      <c r="P11" s="392"/>
      <c r="Q11" s="254"/>
      <c r="R11" s="383"/>
    </row>
    <row r="12" spans="1:22" x14ac:dyDescent="0.2">
      <c r="A12" s="594" t="s">
        <v>1233</v>
      </c>
      <c r="B12" s="219"/>
      <c r="C12" s="536"/>
      <c r="D12" s="200"/>
      <c r="E12" s="334"/>
      <c r="F12" s="219"/>
      <c r="G12" s="536"/>
      <c r="H12" s="200"/>
      <c r="I12" s="326"/>
      <c r="J12" s="1371"/>
      <c r="K12" s="210"/>
      <c r="L12" s="392"/>
      <c r="M12" s="200"/>
      <c r="N12" s="326"/>
      <c r="O12" s="210"/>
      <c r="P12" s="392"/>
      <c r="Q12" s="200"/>
      <c r="R12" s="326"/>
    </row>
    <row r="13" spans="1:22" ht="13.5" x14ac:dyDescent="0.2">
      <c r="A13" s="1281" t="s">
        <v>1230</v>
      </c>
      <c r="B13" s="1497">
        <v>11410</v>
      </c>
      <c r="C13" s="628" t="s">
        <v>163</v>
      </c>
      <c r="D13" s="569" t="s">
        <v>2077</v>
      </c>
      <c r="E13" s="334"/>
      <c r="F13" s="1497">
        <v>10848</v>
      </c>
      <c r="G13" s="628" t="s">
        <v>163</v>
      </c>
      <c r="H13" s="569" t="s">
        <v>2077</v>
      </c>
      <c r="I13" s="326"/>
      <c r="J13" s="1371"/>
      <c r="K13" s="1497">
        <v>9685.7336336721819</v>
      </c>
      <c r="L13" s="628" t="s">
        <v>163</v>
      </c>
      <c r="M13" s="569" t="s">
        <v>2077</v>
      </c>
      <c r="N13" s="326"/>
      <c r="O13" s="1497">
        <v>7188.5330369399198</v>
      </c>
      <c r="P13" s="628" t="s">
        <v>168</v>
      </c>
      <c r="Q13" s="569" t="s">
        <v>2077</v>
      </c>
      <c r="R13" s="326"/>
    </row>
    <row r="14" spans="1:22" ht="13.5" x14ac:dyDescent="0.2">
      <c r="A14" s="1282" t="s">
        <v>189</v>
      </c>
      <c r="B14" s="1497">
        <v>99266</v>
      </c>
      <c r="C14" s="628" t="s">
        <v>163</v>
      </c>
      <c r="D14" s="569" t="s">
        <v>2077</v>
      </c>
      <c r="E14" s="334"/>
      <c r="F14" s="1497">
        <v>94217</v>
      </c>
      <c r="G14" s="628" t="s">
        <v>163</v>
      </c>
      <c r="H14" s="569" t="s">
        <v>2077</v>
      </c>
      <c r="I14" s="383"/>
      <c r="J14" s="1371"/>
      <c r="K14" s="1497">
        <v>84204.184782227676</v>
      </c>
      <c r="L14" s="628" t="s">
        <v>163</v>
      </c>
      <c r="M14" s="569" t="s">
        <v>2077</v>
      </c>
      <c r="N14" s="383"/>
      <c r="O14" s="1497">
        <v>60032.213492693423</v>
      </c>
      <c r="P14" s="628" t="s">
        <v>168</v>
      </c>
      <c r="Q14" s="569" t="s">
        <v>2077</v>
      </c>
      <c r="R14" s="383"/>
    </row>
    <row r="15" spans="1:22" ht="13.5" x14ac:dyDescent="0.2">
      <c r="A15" s="2122" t="s">
        <v>1231</v>
      </c>
      <c r="B15" s="1497">
        <v>-276734</v>
      </c>
      <c r="C15" s="628" t="s">
        <v>163</v>
      </c>
      <c r="D15" s="569" t="s">
        <v>2077</v>
      </c>
      <c r="E15" s="334"/>
      <c r="F15" s="1497">
        <v>-283585</v>
      </c>
      <c r="G15" s="628" t="s">
        <v>163</v>
      </c>
      <c r="H15" s="569" t="s">
        <v>2077</v>
      </c>
      <c r="I15" s="383"/>
      <c r="J15" s="1370"/>
      <c r="K15" s="1497">
        <v>-276733.81566256442</v>
      </c>
      <c r="L15" s="628" t="s">
        <v>163</v>
      </c>
      <c r="M15" s="569" t="s">
        <v>2077</v>
      </c>
      <c r="N15" s="383"/>
      <c r="O15" s="1497">
        <v>-253831.39994510464</v>
      </c>
      <c r="P15" s="628" t="s">
        <v>168</v>
      </c>
      <c r="Q15" s="569" t="s">
        <v>2077</v>
      </c>
      <c r="R15" s="383"/>
    </row>
    <row r="16" spans="1:22" x14ac:dyDescent="0.2">
      <c r="A16" s="1476" t="s">
        <v>120</v>
      </c>
      <c r="B16" s="316"/>
      <c r="C16" s="314"/>
      <c r="D16" s="570"/>
      <c r="E16" s="324"/>
      <c r="F16" s="316"/>
      <c r="G16" s="314"/>
      <c r="H16" s="314"/>
      <c r="I16" s="324"/>
      <c r="J16" s="1372"/>
      <c r="K16" s="316"/>
      <c r="L16" s="314"/>
      <c r="M16" s="314"/>
      <c r="N16" s="324"/>
      <c r="O16" s="316"/>
      <c r="P16" s="314"/>
      <c r="Q16" s="314"/>
      <c r="R16" s="324"/>
    </row>
    <row r="17" spans="1:22" s="196" customFormat="1" x14ac:dyDescent="0.2">
      <c r="A17" s="1285" t="s">
        <v>1229</v>
      </c>
      <c r="B17" s="320"/>
      <c r="C17" s="321"/>
      <c r="D17" s="347"/>
      <c r="E17" s="359"/>
      <c r="F17" s="303"/>
      <c r="G17" s="321"/>
      <c r="H17" s="292"/>
      <c r="I17" s="328"/>
      <c r="J17" s="1372"/>
      <c r="K17" s="303"/>
      <c r="L17" s="321"/>
      <c r="M17" s="292"/>
      <c r="N17" s="328"/>
      <c r="O17" s="303"/>
      <c r="P17" s="321"/>
      <c r="Q17" s="292"/>
      <c r="R17" s="328"/>
    </row>
    <row r="18" spans="1:22" s="196" customFormat="1" ht="13.5" x14ac:dyDescent="0.2">
      <c r="A18" s="1281" t="s">
        <v>1230</v>
      </c>
      <c r="B18" s="1653">
        <f>B7+B13</f>
        <v>44267</v>
      </c>
      <c r="C18" s="628" t="s">
        <v>1232</v>
      </c>
      <c r="D18" s="347"/>
      <c r="E18" s="359"/>
      <c r="F18" s="1653">
        <f>F7+F13</f>
        <v>39167</v>
      </c>
      <c r="G18" s="628" t="s">
        <v>2102</v>
      </c>
      <c r="H18" s="569"/>
      <c r="I18" s="328"/>
      <c r="J18" s="2275"/>
      <c r="K18" s="1653">
        <f>K7+K13</f>
        <v>33762.09099968485</v>
      </c>
      <c r="L18" s="628" t="s">
        <v>2102</v>
      </c>
      <c r="M18" s="569"/>
      <c r="N18" s="328"/>
      <c r="O18" s="1653">
        <f>O7+O13</f>
        <v>28887.3709175201</v>
      </c>
      <c r="P18" s="628" t="s">
        <v>2102</v>
      </c>
      <c r="Q18" s="292"/>
      <c r="R18" s="328"/>
    </row>
    <row r="19" spans="1:22" s="196" customFormat="1" ht="13.5" x14ac:dyDescent="0.2">
      <c r="A19" s="1282" t="s">
        <v>189</v>
      </c>
      <c r="B19" s="1653">
        <f>B8+B14</f>
        <v>211455</v>
      </c>
      <c r="C19" s="628" t="s">
        <v>1232</v>
      </c>
      <c r="D19" s="347"/>
      <c r="E19" s="359"/>
      <c r="F19" s="1653">
        <f>F8+F14</f>
        <v>190720</v>
      </c>
      <c r="G19" s="628" t="s">
        <v>2102</v>
      </c>
      <c r="H19" s="569"/>
      <c r="I19" s="328"/>
      <c r="J19" s="2275"/>
      <c r="K19" s="1653">
        <f>K8+K14</f>
        <v>165888.31202803378</v>
      </c>
      <c r="L19" s="628" t="s">
        <v>2102</v>
      </c>
      <c r="M19" s="569"/>
      <c r="N19" s="328"/>
      <c r="O19" s="1653">
        <f>O8+O14</f>
        <v>147590.59059620209</v>
      </c>
      <c r="P19" s="628" t="s">
        <v>2102</v>
      </c>
      <c r="Q19" s="292"/>
      <c r="R19" s="328"/>
    </row>
    <row r="20" spans="1:22" s="196" customFormat="1" ht="13.5" x14ac:dyDescent="0.2">
      <c r="A20" s="2122" t="s">
        <v>1231</v>
      </c>
      <c r="B20" s="1653">
        <f>B9+B15</f>
        <v>-399175</v>
      </c>
      <c r="C20" s="628" t="s">
        <v>1232</v>
      </c>
      <c r="D20" s="347"/>
      <c r="E20" s="359"/>
      <c r="F20" s="1653">
        <f>F9+F15</f>
        <v>-404184</v>
      </c>
      <c r="G20" s="628" t="s">
        <v>2102</v>
      </c>
      <c r="H20" s="569"/>
      <c r="I20" s="328"/>
      <c r="J20" s="2275"/>
      <c r="K20" s="1653">
        <f>K9+K15</f>
        <v>-381423.05160741514</v>
      </c>
      <c r="L20" s="628" t="s">
        <v>2102</v>
      </c>
      <c r="M20" s="569"/>
      <c r="N20" s="328"/>
      <c r="O20" s="1653">
        <f>O9+O15</f>
        <v>-352722.82808770984</v>
      </c>
      <c r="P20" s="628" t="s">
        <v>2102</v>
      </c>
      <c r="Q20" s="292"/>
      <c r="R20" s="328"/>
    </row>
    <row r="21" spans="1:22" x14ac:dyDescent="0.2">
      <c r="A21"/>
      <c r="D21"/>
      <c r="E21" s="1"/>
      <c r="H21"/>
      <c r="I21" s="1"/>
      <c r="J21" s="1490"/>
      <c r="M21"/>
      <c r="N21" s="1"/>
      <c r="Q21"/>
      <c r="R21" s="1"/>
    </row>
    <row r="22" spans="1:22" x14ac:dyDescent="0.2">
      <c r="A22" s="1467" t="s">
        <v>2351</v>
      </c>
      <c r="B22" s="1468"/>
      <c r="C22" s="1468"/>
      <c r="D22" s="1469"/>
      <c r="E22" s="1470"/>
      <c r="F22" s="1468"/>
      <c r="G22" s="1468"/>
      <c r="H22" s="1468"/>
      <c r="I22" s="1470"/>
      <c r="J22" s="1496"/>
      <c r="K22" s="1468"/>
      <c r="L22" s="1468"/>
      <c r="M22" s="1468"/>
      <c r="N22" s="1470"/>
      <c r="O22" s="1468"/>
      <c r="P22" s="1468"/>
      <c r="Q22" s="1468"/>
      <c r="R22" s="1470"/>
      <c r="S22" s="1494"/>
      <c r="T22" s="1484"/>
      <c r="U22" s="1484"/>
      <c r="V22" s="1484"/>
    </row>
    <row r="23" spans="1:22" x14ac:dyDescent="0.2">
      <c r="A23" s="1483" t="s">
        <v>119</v>
      </c>
      <c r="B23" s="311"/>
      <c r="C23" s="135"/>
      <c r="D23" s="287"/>
      <c r="E23" s="358"/>
      <c r="F23" s="210"/>
      <c r="G23" s="135"/>
      <c r="H23" s="130"/>
      <c r="I23" s="383"/>
      <c r="J23" s="1369"/>
      <c r="K23" s="210"/>
      <c r="L23" s="135"/>
      <c r="M23" s="130"/>
      <c r="N23" s="383"/>
      <c r="O23" s="210"/>
      <c r="P23" s="135"/>
      <c r="Q23" s="130"/>
      <c r="R23" s="383"/>
    </row>
    <row r="24" spans="1:22" x14ac:dyDescent="0.2">
      <c r="A24" s="88" t="s">
        <v>2366</v>
      </c>
      <c r="D24"/>
      <c r="E24" s="1"/>
      <c r="H24"/>
      <c r="I24" s="1"/>
      <c r="J24" s="1490"/>
      <c r="M24"/>
      <c r="N24" s="1"/>
      <c r="Q24"/>
      <c r="R24" s="1"/>
    </row>
    <row r="25" spans="1:22" x14ac:dyDescent="0.2">
      <c r="A25" s="2470" t="s">
        <v>2367</v>
      </c>
      <c r="D25"/>
      <c r="E25" s="1"/>
      <c r="F25" s="2469">
        <v>1355</v>
      </c>
      <c r="G25" t="s">
        <v>2372</v>
      </c>
      <c r="H25" t="s">
        <v>2368</v>
      </c>
      <c r="I25" s="1"/>
      <c r="J25" s="1490"/>
      <c r="K25" s="2469">
        <v>2757</v>
      </c>
      <c r="L25" t="s">
        <v>2372</v>
      </c>
      <c r="M25" t="s">
        <v>2368</v>
      </c>
      <c r="N25" s="1"/>
      <c r="O25" s="2469">
        <v>3244</v>
      </c>
      <c r="P25" t="s">
        <v>2372</v>
      </c>
      <c r="Q25" t="s">
        <v>2368</v>
      </c>
      <c r="R25" s="1"/>
    </row>
    <row r="26" spans="1:22" x14ac:dyDescent="0.2">
      <c r="A26" s="2470" t="s">
        <v>2369</v>
      </c>
      <c r="D26"/>
      <c r="E26" s="1"/>
      <c r="F26" s="2469">
        <v>4664</v>
      </c>
      <c r="G26" t="s">
        <v>2372</v>
      </c>
      <c r="H26" t="s">
        <v>2368</v>
      </c>
      <c r="I26" s="1"/>
      <c r="J26" s="1490"/>
      <c r="K26" s="2469">
        <v>9484</v>
      </c>
      <c r="L26" t="s">
        <v>2372</v>
      </c>
      <c r="M26" t="s">
        <v>2368</v>
      </c>
      <c r="N26" s="1"/>
      <c r="O26" s="2469">
        <v>11133</v>
      </c>
      <c r="P26" t="s">
        <v>2372</v>
      </c>
      <c r="Q26" t="s">
        <v>2368</v>
      </c>
      <c r="R26" s="1"/>
    </row>
    <row r="27" spans="1:22" x14ac:dyDescent="0.2">
      <c r="A27" s="2470" t="s">
        <v>2370</v>
      </c>
      <c r="D27"/>
      <c r="E27" s="1"/>
      <c r="F27" s="2469">
        <v>-16257</v>
      </c>
      <c r="G27" t="s">
        <v>2372</v>
      </c>
      <c r="H27" t="s">
        <v>2368</v>
      </c>
      <c r="I27" s="1"/>
      <c r="J27" s="1490"/>
      <c r="K27" s="2469">
        <v>-33089</v>
      </c>
      <c r="L27" t="s">
        <v>2372</v>
      </c>
      <c r="M27" t="s">
        <v>2368</v>
      </c>
      <c r="N27" s="1"/>
      <c r="O27" s="2469">
        <v>-38928</v>
      </c>
      <c r="P27" t="s">
        <v>2372</v>
      </c>
      <c r="Q27" t="s">
        <v>2368</v>
      </c>
      <c r="R27" s="1"/>
    </row>
    <row r="28" spans="1:22" x14ac:dyDescent="0.2">
      <c r="A28" s="88"/>
      <c r="D28"/>
      <c r="E28" s="1"/>
      <c r="H28"/>
      <c r="I28" s="1"/>
      <c r="J28" s="1490"/>
      <c r="M28"/>
      <c r="N28" s="1"/>
      <c r="Q28"/>
      <c r="R28" s="1"/>
    </row>
    <row r="29" spans="1:22" x14ac:dyDescent="0.2">
      <c r="A29" s="88" t="s">
        <v>2371</v>
      </c>
      <c r="D29"/>
      <c r="E29" s="1"/>
      <c r="F29" s="2469">
        <f>SUM(F25:F26)</f>
        <v>6019</v>
      </c>
      <c r="G29" t="s">
        <v>2372</v>
      </c>
      <c r="H29"/>
      <c r="I29" s="1"/>
      <c r="J29" s="1490"/>
      <c r="K29" s="2469">
        <f>SUM(K25:K26)</f>
        <v>12241</v>
      </c>
      <c r="L29" t="s">
        <v>2372</v>
      </c>
      <c r="M29"/>
      <c r="N29" s="1"/>
      <c r="O29" s="2469">
        <f>SUM(O25:O26)</f>
        <v>14377</v>
      </c>
      <c r="P29" t="s">
        <v>2372</v>
      </c>
      <c r="Q29"/>
      <c r="R29" s="1"/>
    </row>
    <row r="30" spans="1:22" x14ac:dyDescent="0.2">
      <c r="A30" s="88"/>
      <c r="D30"/>
      <c r="E30" s="1"/>
      <c r="F30" s="2468"/>
      <c r="H30"/>
      <c r="I30" s="1"/>
      <c r="J30" s="1490"/>
      <c r="M30"/>
      <c r="N30" s="1"/>
      <c r="Q30"/>
      <c r="R30" s="1"/>
    </row>
    <row r="31" spans="1:22" s="91" customFormat="1" x14ac:dyDescent="0.2">
      <c r="A31" s="88"/>
      <c r="B31" s="316"/>
      <c r="C31" s="314"/>
      <c r="D31" s="278"/>
      <c r="E31" s="324"/>
      <c r="F31" s="316"/>
      <c r="G31" s="314"/>
      <c r="H31" s="314"/>
      <c r="I31" s="324"/>
      <c r="J31" s="1370"/>
      <c r="K31" s="316"/>
      <c r="L31" s="314"/>
      <c r="M31" s="314"/>
      <c r="N31" s="324"/>
      <c r="O31" s="316"/>
      <c r="P31" s="314"/>
      <c r="Q31" s="314"/>
      <c r="R31" s="324"/>
    </row>
    <row r="32" spans="1:22" s="1533" customFormat="1" ht="13.5" x14ac:dyDescent="0.2">
      <c r="A32" s="1503" t="s">
        <v>21</v>
      </c>
      <c r="B32" s="1527">
        <f>SUM(B18:B19,B29)</f>
        <v>255722</v>
      </c>
      <c r="C32" s="1528" t="s">
        <v>207</v>
      </c>
      <c r="D32" s="1529"/>
      <c r="E32" s="1530"/>
      <c r="F32" s="1527">
        <f>SUM(F18:F19,F29)</f>
        <v>235906</v>
      </c>
      <c r="G32" s="1528" t="s">
        <v>207</v>
      </c>
      <c r="H32" s="1527"/>
      <c r="I32" s="1531"/>
      <c r="J32" s="1532"/>
      <c r="K32" s="1527">
        <f>SUM(K18:K19,K29)</f>
        <v>211891.40302771862</v>
      </c>
      <c r="L32" s="1528" t="s">
        <v>207</v>
      </c>
      <c r="M32" s="1527"/>
      <c r="N32" s="1531"/>
      <c r="O32" s="1527">
        <f>SUM(O18:O19,O29)</f>
        <v>190854.9615137222</v>
      </c>
      <c r="P32" s="1528" t="s">
        <v>207</v>
      </c>
      <c r="Q32" s="1527"/>
      <c r="R32" s="1531"/>
    </row>
    <row r="33" spans="1:18" x14ac:dyDescent="0.2">
      <c r="A33" s="1" t="s">
        <v>2373</v>
      </c>
      <c r="B33" s="210">
        <f>SUM(B20,B27)</f>
        <v>-399175</v>
      </c>
      <c r="C33" s="67"/>
      <c r="D33" s="287"/>
      <c r="E33" s="358"/>
      <c r="F33" s="210">
        <f>SUM(F20,F27)</f>
        <v>-420441</v>
      </c>
      <c r="G33" s="67"/>
      <c r="H33" s="249"/>
      <c r="I33" s="337"/>
      <c r="J33" s="1370"/>
      <c r="K33" s="210">
        <f>SUM(K20,K27)</f>
        <v>-414512.05160741514</v>
      </c>
      <c r="L33" s="67"/>
      <c r="M33" s="249"/>
      <c r="N33" s="337"/>
      <c r="O33" s="210">
        <f>SUM(O20,O27)</f>
        <v>-391650.82808770984</v>
      </c>
      <c r="P33" s="67"/>
      <c r="Q33" s="249"/>
      <c r="R33" s="337"/>
    </row>
    <row r="34" spans="1:18" x14ac:dyDescent="0.2">
      <c r="A34" s="1" t="s">
        <v>2420</v>
      </c>
      <c r="B34" s="284"/>
      <c r="C34" s="67"/>
      <c r="D34" s="200"/>
      <c r="E34" s="328"/>
      <c r="F34" s="89"/>
      <c r="G34" s="91"/>
      <c r="H34" s="200"/>
      <c r="I34" s="330"/>
      <c r="J34" s="1370"/>
      <c r="K34" s="89"/>
      <c r="L34" s="91"/>
      <c r="M34" s="200"/>
      <c r="N34" s="330"/>
      <c r="O34" s="89"/>
      <c r="P34" s="91"/>
      <c r="Q34" s="200"/>
      <c r="R34" s="330"/>
    </row>
    <row r="35" spans="1:18" x14ac:dyDescent="0.2">
      <c r="A35" s="194"/>
      <c r="B35" s="284"/>
      <c r="C35" s="67"/>
      <c r="D35" s="200"/>
      <c r="E35" s="328"/>
      <c r="F35" s="89"/>
      <c r="G35" s="91"/>
      <c r="H35" s="200"/>
      <c r="I35" s="330"/>
      <c r="J35" s="1372"/>
      <c r="K35" s="89"/>
      <c r="L35" s="91"/>
      <c r="M35" s="200"/>
      <c r="N35" s="330"/>
      <c r="O35" s="89"/>
      <c r="P35" s="91"/>
      <c r="Q35" s="200"/>
      <c r="R35" s="330"/>
    </row>
    <row r="36" spans="1:18" x14ac:dyDescent="0.2">
      <c r="A36" s="216"/>
      <c r="B36" s="2516">
        <v>2003</v>
      </c>
      <c r="C36" s="215" t="s">
        <v>205</v>
      </c>
      <c r="D36" s="307" t="s">
        <v>1401</v>
      </c>
      <c r="E36" s="2517" t="s">
        <v>1535</v>
      </c>
      <c r="F36" s="217"/>
      <c r="G36" s="215"/>
      <c r="H36" s="215"/>
      <c r="I36" s="333"/>
      <c r="J36" s="1372"/>
      <c r="K36" s="217"/>
      <c r="L36" s="215"/>
      <c r="M36" s="215"/>
      <c r="N36" s="333"/>
      <c r="O36" s="217"/>
      <c r="P36" s="215"/>
      <c r="Q36" s="215"/>
      <c r="R36" s="333"/>
    </row>
    <row r="37" spans="1:18" s="91" customFormat="1" x14ac:dyDescent="0.2">
      <c r="A37" s="2470" t="s">
        <v>2418</v>
      </c>
      <c r="B37" s="218">
        <f>B32</f>
        <v>255722</v>
      </c>
      <c r="C37" s="294">
        <f>F32</f>
        <v>235906</v>
      </c>
      <c r="D37" s="939">
        <f>K32</f>
        <v>211891.40302771862</v>
      </c>
      <c r="E37" s="939">
        <f>O32</f>
        <v>190854.9615137222</v>
      </c>
      <c r="F37" s="217"/>
      <c r="H37" s="215"/>
      <c r="I37" s="333"/>
      <c r="J37" s="1371"/>
      <c r="K37" s="217"/>
      <c r="M37" s="215"/>
      <c r="N37" s="333"/>
      <c r="O37" s="217"/>
      <c r="Q37" s="215"/>
      <c r="R37" s="333"/>
    </row>
    <row r="38" spans="1:18" s="91" customFormat="1" x14ac:dyDescent="0.2">
      <c r="A38" s="2470" t="s">
        <v>2419</v>
      </c>
      <c r="B38" s="218"/>
      <c r="C38" s="294"/>
      <c r="D38" s="939"/>
      <c r="E38" s="939"/>
      <c r="F38" s="217"/>
      <c r="G38" s="215"/>
      <c r="H38" s="215"/>
      <c r="I38" s="333"/>
      <c r="J38" s="1371"/>
      <c r="K38" s="217"/>
      <c r="L38" s="215"/>
      <c r="M38" s="215"/>
      <c r="N38" s="333"/>
      <c r="O38" s="217"/>
      <c r="P38" s="215"/>
      <c r="Q38" s="215"/>
      <c r="R38" s="333"/>
    </row>
    <row r="39" spans="1:18" x14ac:dyDescent="0.2">
      <c r="A39" s="2470" t="s">
        <v>1805</v>
      </c>
      <c r="B39" s="218"/>
      <c r="C39" s="294"/>
      <c r="D39" s="287"/>
      <c r="E39" s="358"/>
      <c r="F39" s="210"/>
      <c r="G39" s="67"/>
      <c r="H39" s="249"/>
      <c r="I39" s="337"/>
      <c r="J39" s="1372"/>
      <c r="K39" s="210"/>
      <c r="L39" s="67"/>
      <c r="M39" s="249"/>
      <c r="N39" s="337"/>
      <c r="O39" s="210"/>
      <c r="P39" s="67"/>
      <c r="Q39" s="249"/>
      <c r="R39" s="337"/>
    </row>
    <row r="40" spans="1:18" x14ac:dyDescent="0.2">
      <c r="A40" s="260"/>
      <c r="B40" s="2518">
        <v>2003</v>
      </c>
      <c r="C40" s="2518" t="s">
        <v>205</v>
      </c>
      <c r="D40" s="307" t="s">
        <v>1401</v>
      </c>
      <c r="E40" s="2517" t="s">
        <v>1535</v>
      </c>
      <c r="F40" s="210"/>
      <c r="G40" s="67"/>
      <c r="H40" s="249"/>
      <c r="I40" s="337"/>
      <c r="J40" s="1373"/>
      <c r="K40" s="210"/>
      <c r="L40" s="67"/>
      <c r="M40" s="249"/>
      <c r="N40" s="337"/>
      <c r="O40" s="210"/>
      <c r="P40" s="67"/>
      <c r="Q40" s="2256"/>
      <c r="R40" s="337"/>
    </row>
    <row r="41" spans="1:18" x14ac:dyDescent="0.2">
      <c r="A41" s="614" t="s">
        <v>2428</v>
      </c>
      <c r="B41" s="2519">
        <f>SUM(B18:B19)</f>
        <v>255722</v>
      </c>
      <c r="C41" s="2519">
        <f>SUM(F18:F19)</f>
        <v>229887</v>
      </c>
      <c r="D41" s="2521">
        <f>SUM(K18:K19)</f>
        <v>199650.40302771862</v>
      </c>
      <c r="E41" s="2522">
        <f>SUM(O18:O19)</f>
        <v>176477.9615137222</v>
      </c>
      <c r="F41" s="210"/>
      <c r="G41" s="67"/>
      <c r="H41" s="249"/>
      <c r="I41" s="337"/>
      <c r="J41" s="1373"/>
      <c r="K41" s="210"/>
      <c r="L41" s="67"/>
      <c r="M41" s="249"/>
      <c r="N41" s="337"/>
      <c r="O41" s="210"/>
      <c r="P41" s="67"/>
      <c r="Q41" s="2256"/>
      <c r="R41" s="337"/>
    </row>
    <row r="42" spans="1:18" x14ac:dyDescent="0.2">
      <c r="A42" s="677" t="s">
        <v>2429</v>
      </c>
      <c r="B42" s="91">
        <f>B29</f>
        <v>0</v>
      </c>
      <c r="C42" s="2520">
        <f>F29</f>
        <v>6019</v>
      </c>
      <c r="D42" s="2521">
        <f>K29</f>
        <v>12241</v>
      </c>
      <c r="E42" s="2522">
        <f>O29</f>
        <v>14377</v>
      </c>
      <c r="F42" s="210"/>
      <c r="G42" s="67"/>
      <c r="H42" s="249"/>
      <c r="I42" s="337"/>
      <c r="J42" s="1373"/>
      <c r="K42" s="210"/>
      <c r="L42" s="67"/>
      <c r="M42" s="249"/>
      <c r="N42" s="337"/>
      <c r="O42" s="210"/>
      <c r="P42" s="67"/>
      <c r="Q42" s="2256"/>
      <c r="R42" s="337"/>
    </row>
    <row r="43" spans="1:18" x14ac:dyDescent="0.2">
      <c r="A43" s="166"/>
      <c r="B43" s="398"/>
      <c r="C43" s="396"/>
      <c r="D43" s="200"/>
      <c r="E43" s="328"/>
      <c r="F43" s="89"/>
      <c r="G43" s="91"/>
      <c r="H43" s="200"/>
      <c r="I43" s="330"/>
      <c r="J43" s="1373"/>
      <c r="K43" s="89"/>
      <c r="L43" s="91"/>
      <c r="M43" s="200"/>
      <c r="N43" s="330"/>
      <c r="O43" s="89"/>
      <c r="P43" s="91"/>
      <c r="Q43" s="2255"/>
      <c r="R43" s="330"/>
    </row>
    <row r="44" spans="1:18" x14ac:dyDescent="0.2">
      <c r="A44" s="166"/>
      <c r="B44" s="89"/>
      <c r="C44" s="91"/>
      <c r="D44" s="200"/>
      <c r="E44" s="328"/>
      <c r="F44" s="89"/>
      <c r="G44" s="91"/>
      <c r="H44" s="200"/>
      <c r="I44" s="330"/>
      <c r="J44" s="1374"/>
      <c r="K44" s="89"/>
      <c r="L44" s="91"/>
      <c r="M44" s="200"/>
      <c r="N44" s="330"/>
      <c r="O44" s="89"/>
      <c r="P44" s="91"/>
      <c r="Q44" s="2255"/>
      <c r="R44" s="330"/>
    </row>
    <row r="45" spans="1:18" x14ac:dyDescent="0.2">
      <c r="A45" s="216"/>
      <c r="B45" s="217"/>
      <c r="C45" s="215"/>
      <c r="D45" s="307"/>
      <c r="E45" s="333"/>
      <c r="F45" s="217"/>
      <c r="G45" s="215"/>
      <c r="H45" s="215"/>
      <c r="I45" s="333"/>
      <c r="J45" s="1373"/>
      <c r="K45" s="217"/>
      <c r="L45" s="215"/>
      <c r="M45" s="215"/>
      <c r="N45" s="333"/>
      <c r="O45" s="217"/>
      <c r="P45" s="215"/>
      <c r="Q45" s="2257"/>
      <c r="R45" s="333"/>
    </row>
    <row r="46" spans="1:18" x14ac:dyDescent="0.2">
      <c r="A46" s="216"/>
      <c r="B46" s="217"/>
      <c r="C46" s="91"/>
      <c r="D46" s="307"/>
      <c r="E46" s="333"/>
      <c r="F46" s="217"/>
      <c r="G46" s="91"/>
      <c r="H46" s="215"/>
      <c r="I46" s="333"/>
      <c r="J46" s="1373"/>
      <c r="K46" s="217"/>
      <c r="L46" s="91"/>
      <c r="M46" s="215"/>
      <c r="N46" s="333"/>
      <c r="O46" s="217"/>
      <c r="P46" s="91"/>
      <c r="Q46" s="2257"/>
      <c r="R46" s="333"/>
    </row>
    <row r="47" spans="1:18" x14ac:dyDescent="0.2">
      <c r="A47" s="177"/>
      <c r="B47" s="89"/>
      <c r="C47" s="91"/>
      <c r="D47" s="200"/>
      <c r="E47" s="328"/>
      <c r="F47" s="89"/>
      <c r="G47" s="91"/>
      <c r="H47" s="200"/>
      <c r="I47" s="330"/>
      <c r="J47" s="1372"/>
      <c r="K47" s="89"/>
      <c r="L47" s="91"/>
      <c r="M47" s="200"/>
      <c r="N47" s="330"/>
      <c r="O47" s="89"/>
      <c r="P47" s="91"/>
      <c r="Q47" s="200"/>
      <c r="R47" s="330"/>
    </row>
    <row r="48" spans="1:18" x14ac:dyDescent="0.2">
      <c r="A48" s="166"/>
      <c r="B48" s="104"/>
      <c r="C48" s="67"/>
      <c r="D48" s="254"/>
      <c r="E48" s="328"/>
      <c r="F48" s="265"/>
      <c r="G48" s="67"/>
      <c r="H48" s="288"/>
      <c r="I48" s="353"/>
      <c r="J48" s="1372"/>
      <c r="K48" s="265"/>
      <c r="L48" s="67"/>
      <c r="M48" s="288"/>
      <c r="N48" s="353"/>
      <c r="O48" s="265"/>
      <c r="P48" s="67"/>
      <c r="Q48" s="288"/>
      <c r="R48" s="353"/>
    </row>
    <row r="49" spans="1:18" x14ac:dyDescent="0.2">
      <c r="A49" s="260"/>
      <c r="B49" s="104"/>
      <c r="C49" s="67"/>
      <c r="D49" s="254"/>
      <c r="E49" s="328"/>
      <c r="F49" s="265"/>
      <c r="G49" s="67"/>
      <c r="H49" s="288"/>
      <c r="I49" s="353"/>
      <c r="J49" s="1370"/>
      <c r="K49" s="265"/>
      <c r="L49" s="67"/>
      <c r="M49" s="288"/>
      <c r="N49" s="353"/>
      <c r="O49" s="265"/>
      <c r="P49" s="67"/>
      <c r="Q49" s="288"/>
      <c r="R49" s="353"/>
    </row>
    <row r="50" spans="1:18" x14ac:dyDescent="0.2">
      <c r="A50" s="216"/>
      <c r="B50" s="104"/>
      <c r="C50" s="67"/>
      <c r="D50" s="254"/>
      <c r="E50" s="328"/>
      <c r="F50" s="265"/>
      <c r="G50" s="67"/>
      <c r="H50" s="288"/>
      <c r="I50" s="353"/>
      <c r="J50" s="1370"/>
      <c r="K50" s="265"/>
      <c r="L50" s="67"/>
      <c r="M50" s="288"/>
      <c r="N50" s="353"/>
      <c r="O50" s="265"/>
      <c r="P50" s="67"/>
      <c r="Q50" s="288"/>
      <c r="R50" s="353"/>
    </row>
    <row r="51" spans="1:18" x14ac:dyDescent="0.2">
      <c r="A51" s="677"/>
      <c r="B51" s="104"/>
      <c r="C51" s="67"/>
      <c r="D51" s="254"/>
      <c r="E51" s="328"/>
      <c r="F51" s="265"/>
      <c r="G51" s="67"/>
      <c r="H51" s="288"/>
      <c r="I51" s="353"/>
      <c r="J51" s="1371"/>
      <c r="K51" s="265"/>
      <c r="L51" s="67"/>
      <c r="M51" s="288"/>
      <c r="N51" s="353"/>
      <c r="O51" s="265"/>
      <c r="P51" s="67"/>
      <c r="Q51" s="288"/>
      <c r="R51" s="353"/>
    </row>
    <row r="52" spans="1:18" x14ac:dyDescent="0.2">
      <c r="A52" s="166"/>
      <c r="B52" s="89"/>
      <c r="C52" s="91"/>
      <c r="D52" s="254"/>
      <c r="E52" s="328"/>
      <c r="F52" s="89"/>
      <c r="G52" s="91"/>
      <c r="H52" s="292"/>
      <c r="I52" s="328"/>
      <c r="J52" s="1371"/>
      <c r="K52" s="89"/>
      <c r="L52" s="91"/>
      <c r="M52" s="292"/>
      <c r="N52" s="328"/>
      <c r="O52" s="89"/>
      <c r="P52" s="91"/>
      <c r="Q52" s="292"/>
      <c r="R52" s="328"/>
    </row>
    <row r="53" spans="1:18" x14ac:dyDescent="0.2">
      <c r="A53" s="195"/>
      <c r="B53" s="91"/>
      <c r="C53" s="193"/>
      <c r="D53" s="200"/>
      <c r="E53" s="328"/>
      <c r="F53" s="281"/>
      <c r="G53" s="193"/>
      <c r="H53" s="288"/>
      <c r="I53" s="353"/>
      <c r="J53" s="1372"/>
      <c r="K53" s="281"/>
      <c r="L53" s="193"/>
      <c r="M53" s="288"/>
      <c r="N53" s="353"/>
      <c r="O53" s="281"/>
      <c r="P53" s="193"/>
      <c r="Q53" s="288"/>
      <c r="R53" s="353"/>
    </row>
    <row r="54" spans="1:18" x14ac:dyDescent="0.2">
      <c r="A54" s="88"/>
      <c r="B54" s="104"/>
      <c r="C54" s="193"/>
      <c r="D54" s="254"/>
      <c r="E54" s="328"/>
      <c r="F54" s="206"/>
      <c r="G54" s="193"/>
      <c r="H54" s="221"/>
      <c r="I54" s="353"/>
      <c r="J54" s="1372"/>
      <c r="K54" s="206"/>
      <c r="L54" s="193"/>
      <c r="M54" s="221"/>
      <c r="N54" s="353"/>
      <c r="O54" s="206"/>
      <c r="P54" s="193"/>
      <c r="Q54" s="221"/>
      <c r="R54" s="353"/>
    </row>
    <row r="55" spans="1:18" x14ac:dyDescent="0.2">
      <c r="A55" s="166"/>
      <c r="B55" s="104"/>
      <c r="C55" s="91"/>
      <c r="D55" s="200"/>
      <c r="E55" s="328"/>
      <c r="F55" s="104"/>
      <c r="G55" s="91"/>
      <c r="H55" s="200"/>
      <c r="I55" s="330"/>
      <c r="J55" s="1372"/>
      <c r="K55" s="104"/>
      <c r="L55" s="91"/>
      <c r="M55" s="200"/>
      <c r="N55" s="330"/>
      <c r="O55" s="104"/>
      <c r="P55" s="91"/>
      <c r="Q55" s="200"/>
      <c r="R55" s="330"/>
    </row>
    <row r="56" spans="1:18" x14ac:dyDescent="0.2">
      <c r="A56" s="166"/>
      <c r="B56" s="104"/>
      <c r="C56" s="91"/>
      <c r="D56" s="200"/>
      <c r="E56" s="328"/>
      <c r="F56" s="104"/>
      <c r="G56" s="91"/>
      <c r="H56" s="200"/>
      <c r="I56" s="330"/>
      <c r="J56" s="1371"/>
      <c r="K56" s="104"/>
      <c r="L56" s="91"/>
      <c r="M56" s="200"/>
      <c r="N56" s="330"/>
      <c r="O56" s="104"/>
      <c r="P56" s="91"/>
      <c r="Q56" s="200"/>
      <c r="R56" s="330"/>
    </row>
    <row r="57" spans="1:18" x14ac:dyDescent="0.2">
      <c r="A57" s="166"/>
      <c r="B57" s="100"/>
      <c r="C57" s="67"/>
      <c r="D57" s="200"/>
      <c r="E57" s="328"/>
      <c r="F57" s="100"/>
      <c r="G57" s="67"/>
      <c r="H57" s="249"/>
      <c r="I57" s="337"/>
      <c r="J57" s="1375"/>
      <c r="K57" s="100"/>
      <c r="L57" s="67"/>
      <c r="M57" s="249"/>
      <c r="N57" s="337"/>
      <c r="O57" s="100"/>
      <c r="P57" s="67"/>
      <c r="Q57" s="249"/>
      <c r="R57" s="337"/>
    </row>
    <row r="58" spans="1:18" x14ac:dyDescent="0.2">
      <c r="A58" s="166"/>
      <c r="B58" s="100"/>
      <c r="C58" s="67"/>
      <c r="D58" s="200"/>
      <c r="E58" s="328"/>
      <c r="F58" s="100"/>
      <c r="G58" s="67"/>
      <c r="H58" s="249"/>
      <c r="I58" s="337"/>
      <c r="J58" s="1376"/>
      <c r="K58" s="100"/>
      <c r="L58" s="67"/>
      <c r="M58" s="249"/>
      <c r="N58" s="337"/>
      <c r="O58" s="100"/>
      <c r="P58" s="67"/>
      <c r="Q58" s="249"/>
      <c r="R58" s="337"/>
    </row>
    <row r="59" spans="1:18" x14ac:dyDescent="0.2">
      <c r="A59" s="216"/>
      <c r="B59" s="217"/>
      <c r="C59" s="215"/>
      <c r="D59" s="307"/>
      <c r="E59" s="333"/>
      <c r="F59" s="217"/>
      <c r="G59" s="215"/>
      <c r="H59" s="215"/>
      <c r="I59" s="333"/>
      <c r="J59" s="1376"/>
      <c r="K59" s="217"/>
      <c r="L59" s="215"/>
      <c r="M59" s="215"/>
      <c r="N59" s="333"/>
      <c r="O59" s="217"/>
      <c r="P59" s="215"/>
      <c r="Q59" s="215"/>
      <c r="R59" s="333"/>
    </row>
    <row r="60" spans="1:18" x14ac:dyDescent="0.2">
      <c r="A60" s="216"/>
      <c r="B60" s="217"/>
      <c r="C60" s="91"/>
      <c r="D60" s="307"/>
      <c r="E60" s="333"/>
      <c r="F60" s="217"/>
      <c r="G60" s="91"/>
      <c r="H60" s="215"/>
      <c r="I60" s="333"/>
      <c r="J60" s="1376"/>
      <c r="K60" s="217"/>
      <c r="L60" s="91"/>
      <c r="M60" s="215"/>
      <c r="N60" s="333"/>
      <c r="O60" s="217"/>
      <c r="P60" s="91"/>
      <c r="Q60" s="215"/>
      <c r="R60" s="333"/>
    </row>
    <row r="61" spans="1:18" x14ac:dyDescent="0.2">
      <c r="A61" s="177"/>
      <c r="B61" s="89"/>
      <c r="C61" s="91"/>
      <c r="D61" s="200"/>
      <c r="E61" s="328"/>
      <c r="F61" s="89"/>
      <c r="G61" s="91"/>
      <c r="H61" s="200"/>
      <c r="I61" s="330"/>
      <c r="J61" s="1371"/>
      <c r="K61" s="89"/>
      <c r="L61" s="91"/>
      <c r="M61" s="200"/>
      <c r="N61" s="330"/>
      <c r="O61" s="89"/>
      <c r="P61" s="91"/>
      <c r="Q61" s="200"/>
      <c r="R61" s="330"/>
    </row>
    <row r="62" spans="1:18" x14ac:dyDescent="0.2">
      <c r="A62" s="177"/>
      <c r="B62" s="89"/>
      <c r="C62" s="91"/>
      <c r="D62" s="200"/>
      <c r="E62" s="328"/>
      <c r="F62" s="89"/>
      <c r="G62" s="91"/>
      <c r="H62" s="200"/>
      <c r="I62" s="330"/>
      <c r="J62" s="1371"/>
      <c r="K62" s="89"/>
      <c r="L62" s="91"/>
      <c r="M62" s="200"/>
      <c r="N62" s="330"/>
      <c r="O62" s="89"/>
      <c r="P62" s="91"/>
      <c r="Q62" s="200"/>
      <c r="R62" s="330"/>
    </row>
    <row r="63" spans="1:18" ht="12" customHeight="1" x14ac:dyDescent="0.2">
      <c r="A63" s="260"/>
      <c r="B63" s="142"/>
      <c r="C63" s="193"/>
      <c r="D63" s="254"/>
      <c r="E63" s="328"/>
      <c r="F63" s="142"/>
      <c r="G63" s="193"/>
      <c r="H63" s="254"/>
      <c r="I63" s="330"/>
      <c r="J63" s="1372"/>
      <c r="K63" s="142"/>
      <c r="L63" s="193"/>
      <c r="M63" s="254"/>
      <c r="N63" s="330"/>
      <c r="O63" s="142"/>
      <c r="P63" s="193"/>
      <c r="Q63" s="254"/>
      <c r="R63" s="330"/>
    </row>
    <row r="64" spans="1:18" s="91" customFormat="1" x14ac:dyDescent="0.2">
      <c r="A64" s="216"/>
      <c r="D64" s="287"/>
      <c r="E64" s="358"/>
      <c r="F64" s="193"/>
      <c r="G64" s="254"/>
      <c r="H64" s="215"/>
      <c r="I64" s="333"/>
      <c r="J64" s="1372"/>
      <c r="K64" s="193"/>
      <c r="L64" s="254"/>
      <c r="M64" s="215"/>
      <c r="N64" s="333"/>
      <c r="O64" s="193"/>
      <c r="P64" s="254"/>
      <c r="Q64" s="215"/>
      <c r="R64" s="333"/>
    </row>
    <row r="65" spans="1:18" s="91" customFormat="1" x14ac:dyDescent="0.2">
      <c r="A65" s="216"/>
      <c r="B65" s="142"/>
      <c r="C65" s="193"/>
      <c r="D65" s="254"/>
      <c r="E65" s="328"/>
      <c r="F65" s="193"/>
      <c r="G65" s="254"/>
      <c r="H65" s="215"/>
      <c r="I65" s="333"/>
      <c r="J65" s="1376"/>
      <c r="K65" s="193"/>
      <c r="L65" s="254"/>
      <c r="M65" s="215"/>
      <c r="N65" s="333"/>
      <c r="O65" s="193"/>
      <c r="P65" s="254"/>
      <c r="Q65" s="215"/>
      <c r="R65" s="333"/>
    </row>
    <row r="66" spans="1:18" x14ac:dyDescent="0.2">
      <c r="A66" s="216"/>
      <c r="B66" s="217"/>
      <c r="C66" s="215"/>
      <c r="D66" s="307"/>
      <c r="E66" s="333"/>
      <c r="F66" s="217"/>
      <c r="G66" s="215"/>
      <c r="H66" s="215"/>
      <c r="I66" s="333"/>
      <c r="J66" s="1371"/>
      <c r="K66" s="217"/>
      <c r="L66" s="215"/>
      <c r="M66" s="215"/>
      <c r="N66" s="333"/>
      <c r="O66" s="217"/>
      <c r="P66" s="215"/>
      <c r="Q66" s="215"/>
      <c r="R66" s="333"/>
    </row>
    <row r="67" spans="1:18" x14ac:dyDescent="0.2">
      <c r="A67" s="216"/>
      <c r="B67" s="210"/>
      <c r="C67" s="193"/>
      <c r="D67" s="200"/>
      <c r="E67" s="328"/>
      <c r="F67" s="210"/>
      <c r="G67" s="193"/>
      <c r="H67" s="249"/>
      <c r="I67" s="337"/>
      <c r="J67" s="1371"/>
      <c r="K67" s="210"/>
      <c r="L67" s="193"/>
      <c r="M67" s="249"/>
      <c r="N67" s="337"/>
      <c r="O67" s="210"/>
      <c r="P67" s="193"/>
      <c r="Q67" s="249"/>
      <c r="R67" s="337"/>
    </row>
    <row r="68" spans="1:18" x14ac:dyDescent="0.2">
      <c r="A68" s="177"/>
      <c r="B68" s="262"/>
      <c r="C68" s="193"/>
      <c r="D68" s="200"/>
      <c r="E68" s="328"/>
      <c r="F68" s="210"/>
      <c r="G68" s="193"/>
      <c r="H68" s="249"/>
      <c r="I68" s="337"/>
      <c r="J68" s="1371"/>
      <c r="K68" s="210"/>
      <c r="L68" s="193"/>
      <c r="M68" s="249"/>
      <c r="N68" s="337"/>
      <c r="O68" s="210"/>
      <c r="P68" s="193"/>
      <c r="Q68" s="249"/>
      <c r="R68" s="337"/>
    </row>
    <row r="69" spans="1:18" x14ac:dyDescent="0.2">
      <c r="A69" s="177"/>
      <c r="B69" s="262"/>
      <c r="C69" s="193"/>
      <c r="D69" s="200"/>
      <c r="E69" s="328"/>
      <c r="F69" s="263"/>
      <c r="G69" s="193"/>
      <c r="H69" s="249"/>
      <c r="I69" s="337"/>
      <c r="J69" s="1371"/>
      <c r="K69" s="263"/>
      <c r="L69" s="193"/>
      <c r="M69" s="249"/>
      <c r="N69" s="337"/>
      <c r="O69" s="263"/>
      <c r="P69" s="193"/>
      <c r="Q69" s="249"/>
      <c r="R69" s="337"/>
    </row>
    <row r="70" spans="1:18" x14ac:dyDescent="0.2">
      <c r="A70" s="177"/>
      <c r="B70" s="262"/>
      <c r="C70" s="193"/>
      <c r="D70" s="200"/>
      <c r="E70" s="328"/>
      <c r="F70" s="210"/>
      <c r="G70" s="193"/>
      <c r="H70" s="249"/>
      <c r="I70" s="337"/>
      <c r="J70" s="1371"/>
      <c r="K70" s="210"/>
      <c r="L70" s="193"/>
      <c r="M70" s="249"/>
      <c r="N70" s="337"/>
      <c r="O70" s="210"/>
      <c r="P70" s="193"/>
      <c r="Q70" s="249"/>
      <c r="R70" s="337"/>
    </row>
    <row r="71" spans="1:18" x14ac:dyDescent="0.2">
      <c r="A71" s="177"/>
      <c r="B71" s="210"/>
      <c r="C71" s="67"/>
      <c r="D71" s="200"/>
      <c r="E71" s="328"/>
      <c r="F71" s="210"/>
      <c r="G71" s="67"/>
      <c r="H71" s="249"/>
      <c r="I71" s="337"/>
      <c r="J71" s="1371"/>
      <c r="K71" s="210"/>
      <c r="L71" s="67"/>
      <c r="M71" s="249"/>
      <c r="N71" s="337"/>
      <c r="O71" s="210"/>
      <c r="P71" s="67"/>
      <c r="Q71" s="249"/>
      <c r="R71" s="337"/>
    </row>
    <row r="72" spans="1:18" x14ac:dyDescent="0.2">
      <c r="A72" s="177"/>
      <c r="B72" s="142"/>
      <c r="C72" s="67"/>
      <c r="D72" s="287"/>
      <c r="E72" s="358"/>
      <c r="F72" s="142"/>
      <c r="G72" s="67"/>
      <c r="H72" s="249"/>
      <c r="I72" s="337"/>
      <c r="J72" s="1377"/>
      <c r="K72" s="142"/>
      <c r="L72" s="67"/>
      <c r="M72" s="249"/>
      <c r="N72" s="337"/>
      <c r="O72" s="142"/>
      <c r="P72" s="67"/>
      <c r="Q72" s="249"/>
      <c r="R72" s="337"/>
    </row>
    <row r="73" spans="1:18" x14ac:dyDescent="0.2">
      <c r="A73" s="260"/>
      <c r="B73" s="142"/>
      <c r="C73" s="67"/>
      <c r="D73" s="287"/>
      <c r="E73" s="358"/>
      <c r="F73" s="142"/>
      <c r="G73" s="67"/>
      <c r="H73" s="249"/>
      <c r="I73" s="337"/>
      <c r="J73" s="1378"/>
      <c r="K73" s="142"/>
      <c r="L73" s="67"/>
      <c r="M73" s="249"/>
      <c r="N73" s="337"/>
      <c r="O73" s="142"/>
      <c r="P73" s="67"/>
      <c r="Q73" s="249"/>
      <c r="R73" s="337"/>
    </row>
    <row r="74" spans="1:18" x14ac:dyDescent="0.2">
      <c r="A74" s="216"/>
      <c r="B74" s="142"/>
      <c r="C74" s="67"/>
      <c r="D74" s="287"/>
      <c r="E74" s="358"/>
      <c r="F74" s="142"/>
      <c r="G74" s="67"/>
      <c r="H74" s="254"/>
      <c r="I74" s="330"/>
      <c r="J74" s="1378"/>
      <c r="K74" s="142"/>
      <c r="L74" s="67"/>
      <c r="M74" s="254"/>
      <c r="N74" s="330"/>
      <c r="O74" s="142"/>
      <c r="P74" s="67"/>
      <c r="Q74" s="254"/>
      <c r="R74" s="330"/>
    </row>
    <row r="75" spans="1:18" x14ac:dyDescent="0.2">
      <c r="A75" s="195"/>
      <c r="B75" s="104"/>
      <c r="C75" s="206"/>
      <c r="D75" s="200"/>
      <c r="E75" s="328"/>
      <c r="F75" s="264"/>
      <c r="G75" s="206"/>
      <c r="H75" s="200"/>
      <c r="I75" s="330"/>
      <c r="J75" s="1378"/>
      <c r="K75" s="264"/>
      <c r="L75" s="206"/>
      <c r="M75" s="200"/>
      <c r="N75" s="330"/>
      <c r="O75" s="264"/>
      <c r="P75" s="206"/>
      <c r="Q75" s="200"/>
      <c r="R75" s="330"/>
    </row>
    <row r="76" spans="1:18" x14ac:dyDescent="0.2">
      <c r="A76" s="194"/>
      <c r="B76" s="101"/>
      <c r="C76" s="91"/>
      <c r="D76" s="254"/>
      <c r="E76" s="328"/>
      <c r="F76" s="193"/>
      <c r="G76" s="67"/>
      <c r="H76" s="221"/>
      <c r="I76" s="353"/>
      <c r="J76" s="1378"/>
      <c r="K76" s="193"/>
      <c r="L76" s="67"/>
      <c r="M76" s="221"/>
      <c r="N76" s="353"/>
      <c r="O76" s="193"/>
      <c r="P76" s="67"/>
      <c r="Q76" s="221"/>
      <c r="R76" s="353"/>
    </row>
    <row r="77" spans="1:18" x14ac:dyDescent="0.2">
      <c r="A77" s="194"/>
      <c r="B77" s="104"/>
      <c r="C77" s="196"/>
      <c r="D77" s="254"/>
      <c r="E77" s="328"/>
      <c r="F77" s="268"/>
      <c r="G77" s="193"/>
      <c r="H77" s="254"/>
      <c r="I77" s="330"/>
      <c r="J77" s="1378"/>
      <c r="K77" s="268"/>
      <c r="L77" s="193"/>
      <c r="M77" s="254"/>
      <c r="N77" s="330"/>
      <c r="O77" s="268"/>
      <c r="P77" s="193"/>
      <c r="Q77" s="254"/>
      <c r="R77" s="330"/>
    </row>
    <row r="78" spans="1:18" x14ac:dyDescent="0.2">
      <c r="A78" s="117"/>
      <c r="B78" s="142"/>
      <c r="C78" s="142"/>
      <c r="D78" s="200"/>
      <c r="E78" s="328"/>
      <c r="F78" s="266"/>
      <c r="G78" s="214"/>
      <c r="H78" s="67"/>
      <c r="I78" s="329"/>
      <c r="J78" s="1379"/>
      <c r="K78" s="266"/>
      <c r="L78" s="214"/>
      <c r="M78" s="67"/>
      <c r="N78" s="329"/>
      <c r="O78" s="266"/>
      <c r="P78" s="214"/>
      <c r="Q78" s="67"/>
      <c r="R78" s="329"/>
    </row>
    <row r="79" spans="1:18" x14ac:dyDescent="0.2">
      <c r="A79" s="216"/>
      <c r="B79" s="217"/>
      <c r="C79" s="215"/>
      <c r="D79" s="307"/>
      <c r="E79" s="333"/>
      <c r="F79" s="217"/>
      <c r="G79" s="215"/>
      <c r="H79" s="215"/>
      <c r="I79" s="333"/>
      <c r="J79" s="1379"/>
      <c r="K79" s="217"/>
      <c r="L79" s="215"/>
      <c r="M79" s="215"/>
      <c r="N79" s="333"/>
      <c r="O79" s="217"/>
      <c r="P79" s="215"/>
      <c r="Q79" s="215"/>
      <c r="R79" s="333"/>
    </row>
    <row r="80" spans="1:18" s="91" customFormat="1" x14ac:dyDescent="0.2">
      <c r="A80" s="177"/>
      <c r="B80" s="218"/>
      <c r="C80" s="193"/>
      <c r="D80" s="307"/>
      <c r="E80" s="333"/>
      <c r="F80" s="217"/>
      <c r="G80" s="215"/>
      <c r="H80" s="215"/>
      <c r="I80" s="333"/>
      <c r="J80" s="1380"/>
      <c r="K80" s="217"/>
      <c r="L80" s="215"/>
      <c r="M80" s="215"/>
      <c r="N80" s="333"/>
      <c r="O80" s="217"/>
      <c r="P80" s="215"/>
      <c r="Q80" s="215"/>
      <c r="R80" s="333"/>
    </row>
    <row r="81" spans="1:18" x14ac:dyDescent="0.2">
      <c r="A81" s="195"/>
      <c r="B81" s="294"/>
      <c r="C81" s="193"/>
      <c r="D81" s="200"/>
      <c r="E81" s="328"/>
      <c r="F81" s="283"/>
      <c r="G81" s="67"/>
      <c r="H81" s="200"/>
      <c r="I81" s="330"/>
      <c r="J81" s="1377"/>
      <c r="K81" s="283"/>
      <c r="L81" s="67"/>
      <c r="M81" s="200"/>
      <c r="N81" s="330"/>
      <c r="O81" s="283"/>
      <c r="P81" s="67"/>
      <c r="Q81" s="200"/>
      <c r="R81" s="330"/>
    </row>
    <row r="82" spans="1:18" x14ac:dyDescent="0.2">
      <c r="A82" s="252"/>
      <c r="B82" s="211"/>
      <c r="C82" s="193"/>
      <c r="D82" s="200"/>
      <c r="E82" s="328"/>
      <c r="F82" s="210"/>
      <c r="G82" s="206"/>
      <c r="H82" s="200"/>
      <c r="I82" s="330"/>
      <c r="J82" s="1381"/>
      <c r="K82" s="210"/>
      <c r="L82" s="206"/>
      <c r="M82" s="200"/>
      <c r="N82" s="330"/>
      <c r="O82" s="210"/>
      <c r="P82" s="206"/>
      <c r="Q82" s="200"/>
      <c r="R82" s="330"/>
    </row>
    <row r="83" spans="1:18" x14ac:dyDescent="0.2">
      <c r="A83" s="252"/>
      <c r="B83" s="211"/>
      <c r="C83" s="193"/>
      <c r="D83" s="200"/>
      <c r="E83" s="328"/>
      <c r="F83" s="210"/>
      <c r="G83" s="206"/>
      <c r="H83" s="200"/>
      <c r="I83" s="330"/>
      <c r="J83" s="1377"/>
      <c r="K83" s="210"/>
      <c r="L83" s="206"/>
      <c r="M83" s="200"/>
      <c r="N83" s="330"/>
      <c r="O83" s="210"/>
      <c r="P83" s="206"/>
      <c r="Q83" s="200"/>
      <c r="R83" s="330"/>
    </row>
    <row r="84" spans="1:18" x14ac:dyDescent="0.2">
      <c r="A84" s="252"/>
      <c r="B84" s="211"/>
      <c r="C84" s="193"/>
      <c r="D84" s="200"/>
      <c r="E84" s="328"/>
      <c r="F84" s="210"/>
      <c r="G84" s="206"/>
      <c r="H84" s="200"/>
      <c r="I84" s="330"/>
      <c r="J84" s="1377"/>
      <c r="K84" s="210"/>
      <c r="L84" s="206"/>
      <c r="M84" s="200"/>
      <c r="N84" s="330"/>
      <c r="O84" s="210"/>
      <c r="P84" s="206"/>
      <c r="Q84" s="200"/>
      <c r="R84" s="330"/>
    </row>
    <row r="85" spans="1:18" x14ac:dyDescent="0.2">
      <c r="A85" s="252"/>
      <c r="B85" s="210"/>
      <c r="C85" s="67"/>
      <c r="D85" s="200"/>
      <c r="E85" s="328"/>
      <c r="F85" s="210"/>
      <c r="G85" s="193"/>
      <c r="H85" s="200"/>
      <c r="I85" s="330"/>
      <c r="J85" s="1379"/>
      <c r="K85" s="210"/>
      <c r="L85" s="193"/>
      <c r="M85" s="200"/>
      <c r="N85" s="330"/>
      <c r="O85" s="210"/>
      <c r="P85" s="193"/>
      <c r="Q85" s="200"/>
      <c r="R85" s="330"/>
    </row>
    <row r="86" spans="1:18" x14ac:dyDescent="0.2">
      <c r="A86" s="612"/>
      <c r="B86" s="210"/>
      <c r="C86" s="193"/>
      <c r="D86" s="200"/>
      <c r="E86" s="328"/>
      <c r="F86" s="210"/>
      <c r="G86" s="193"/>
      <c r="H86" s="200"/>
      <c r="I86" s="330"/>
      <c r="J86" s="1379"/>
      <c r="K86" s="210"/>
      <c r="L86" s="193"/>
      <c r="M86" s="200"/>
      <c r="N86" s="330"/>
      <c r="O86" s="210"/>
      <c r="P86" s="193"/>
      <c r="Q86" s="200"/>
      <c r="R86" s="330"/>
    </row>
    <row r="87" spans="1:18" x14ac:dyDescent="0.2">
      <c r="A87" s="612"/>
      <c r="B87" s="210"/>
      <c r="C87" s="206"/>
      <c r="D87" s="200"/>
      <c r="E87" s="328"/>
      <c r="F87" s="210"/>
      <c r="G87" s="206"/>
      <c r="H87" s="278"/>
      <c r="I87" s="331"/>
      <c r="J87" s="1379"/>
      <c r="K87" s="210"/>
      <c r="L87" s="206"/>
      <c r="M87" s="570"/>
      <c r="N87" s="331"/>
      <c r="O87" s="210"/>
      <c r="P87" s="206"/>
      <c r="Q87" s="570"/>
      <c r="R87" s="331"/>
    </row>
    <row r="88" spans="1:18" x14ac:dyDescent="0.2">
      <c r="A88" s="252"/>
      <c r="B88" s="250"/>
      <c r="C88" s="257"/>
      <c r="D88" s="278"/>
      <c r="E88" s="324"/>
      <c r="F88" s="250"/>
      <c r="G88" s="257"/>
      <c r="H88" s="200"/>
      <c r="I88" s="330"/>
      <c r="J88" s="1379"/>
      <c r="K88" s="250"/>
      <c r="L88" s="257"/>
      <c r="M88" s="200"/>
      <c r="N88" s="330"/>
      <c r="O88" s="250"/>
      <c r="P88" s="257"/>
      <c r="Q88" s="200"/>
      <c r="R88" s="330"/>
    </row>
    <row r="89" spans="1:18" x14ac:dyDescent="0.2">
      <c r="A89" s="256"/>
      <c r="B89" s="220"/>
      <c r="C89" s="206"/>
      <c r="D89" s="200"/>
      <c r="E89" s="328"/>
      <c r="F89" s="142"/>
      <c r="G89" s="206"/>
      <c r="H89" s="67"/>
      <c r="I89" s="329"/>
      <c r="J89" s="1379"/>
      <c r="K89" s="142"/>
      <c r="L89" s="206"/>
      <c r="M89" s="67"/>
      <c r="N89" s="329"/>
      <c r="O89" s="142"/>
      <c r="P89" s="206"/>
      <c r="Q89" s="67"/>
      <c r="R89" s="329"/>
    </row>
    <row r="90" spans="1:18" x14ac:dyDescent="0.2">
      <c r="A90" s="194"/>
      <c r="B90" s="104"/>
      <c r="C90" s="193"/>
      <c r="D90" s="287"/>
      <c r="E90" s="358"/>
      <c r="F90" s="67"/>
      <c r="G90" s="200"/>
      <c r="H90" s="67"/>
      <c r="I90" s="329"/>
      <c r="J90" s="1379"/>
      <c r="K90" s="67"/>
      <c r="L90" s="200"/>
      <c r="M90" s="67"/>
      <c r="N90" s="329"/>
      <c r="O90" s="67"/>
      <c r="P90" s="200"/>
      <c r="Q90" s="67"/>
      <c r="R90" s="329"/>
    </row>
    <row r="91" spans="1:18" x14ac:dyDescent="0.2">
      <c r="A91" s="194"/>
      <c r="B91" s="104"/>
      <c r="C91" s="193"/>
      <c r="D91" s="340"/>
      <c r="E91" s="360"/>
      <c r="F91" s="67"/>
      <c r="G91" s="200"/>
      <c r="H91" s="67"/>
      <c r="I91" s="329"/>
      <c r="J91" s="1382"/>
      <c r="K91" s="67"/>
      <c r="L91" s="200"/>
      <c r="M91" s="67"/>
      <c r="N91" s="329"/>
      <c r="O91" s="67"/>
      <c r="P91" s="200"/>
      <c r="Q91" s="67"/>
      <c r="R91" s="329"/>
    </row>
    <row r="92" spans="1:18" x14ac:dyDescent="0.2">
      <c r="A92" s="655"/>
      <c r="B92" s="104"/>
      <c r="C92" s="193"/>
      <c r="D92" s="340"/>
      <c r="E92" s="360"/>
      <c r="F92" s="67"/>
      <c r="G92" s="200"/>
      <c r="H92" s="67"/>
      <c r="I92" s="329"/>
      <c r="J92" s="1382"/>
      <c r="K92" s="67"/>
      <c r="L92" s="200"/>
      <c r="M92" s="67"/>
      <c r="N92" s="329"/>
      <c r="O92" s="67"/>
      <c r="P92" s="200"/>
      <c r="Q92" s="67"/>
      <c r="R92" s="329"/>
    </row>
    <row r="93" spans="1:18" x14ac:dyDescent="0.2">
      <c r="A93" s="194"/>
      <c r="B93" s="104"/>
      <c r="C93" s="67"/>
      <c r="D93" s="287"/>
      <c r="E93" s="358"/>
      <c r="F93" s="67"/>
      <c r="G93" s="200"/>
      <c r="H93" s="67"/>
      <c r="I93" s="329"/>
      <c r="J93" s="1382"/>
      <c r="K93" s="67"/>
      <c r="L93" s="200"/>
      <c r="M93" s="67"/>
      <c r="N93" s="329"/>
      <c r="O93" s="67"/>
      <c r="P93" s="200"/>
      <c r="Q93" s="67"/>
      <c r="R93" s="329"/>
    </row>
    <row r="94" spans="1:18" x14ac:dyDescent="0.2">
      <c r="A94" s="122"/>
      <c r="B94" s="104"/>
      <c r="C94" s="67"/>
      <c r="D94" s="287"/>
      <c r="E94" s="358"/>
      <c r="F94" s="67"/>
      <c r="G94" s="200"/>
      <c r="J94" s="1382"/>
      <c r="K94" s="67"/>
      <c r="L94" s="200"/>
      <c r="O94" s="67"/>
      <c r="P94" s="200"/>
    </row>
    <row r="95" spans="1:18" x14ac:dyDescent="0.2">
      <c r="A95" s="122"/>
      <c r="C95" s="5"/>
      <c r="J95" s="1382"/>
    </row>
    <row r="96" spans="1:18" x14ac:dyDescent="0.2">
      <c r="A96" s="117"/>
      <c r="J96" s="1383"/>
    </row>
    <row r="97" spans="1:10" x14ac:dyDescent="0.2">
      <c r="J97" s="1383"/>
    </row>
    <row r="98" spans="1:10" x14ac:dyDescent="0.2">
      <c r="J98" s="1383"/>
    </row>
    <row r="99" spans="1:10" x14ac:dyDescent="0.2">
      <c r="J99" s="1383"/>
    </row>
    <row r="100" spans="1:10" x14ac:dyDescent="0.2">
      <c r="J100" s="1383"/>
    </row>
    <row r="101" spans="1:10" x14ac:dyDescent="0.2">
      <c r="J101" s="1383"/>
    </row>
    <row r="102" spans="1:10" x14ac:dyDescent="0.2">
      <c r="J102" s="1383"/>
    </row>
    <row r="103" spans="1:10" x14ac:dyDescent="0.2">
      <c r="J103" s="1383"/>
    </row>
    <row r="104" spans="1:10" x14ac:dyDescent="0.2">
      <c r="J104" s="1383"/>
    </row>
    <row r="105" spans="1:10" x14ac:dyDescent="0.2">
      <c r="J105" s="1384"/>
    </row>
    <row r="106" spans="1:10" x14ac:dyDescent="0.2">
      <c r="J106" s="1384"/>
    </row>
    <row r="107" spans="1:10" x14ac:dyDescent="0.2">
      <c r="A107"/>
      <c r="D107"/>
      <c r="E107"/>
      <c r="H107"/>
      <c r="I107"/>
      <c r="J107" s="1384"/>
    </row>
    <row r="108" spans="1:10" x14ac:dyDescent="0.2">
      <c r="A108"/>
      <c r="D108"/>
      <c r="E108"/>
      <c r="H108"/>
      <c r="I108"/>
      <c r="J108" s="1384"/>
    </row>
    <row r="109" spans="1:10" x14ac:dyDescent="0.2">
      <c r="A109"/>
      <c r="D109"/>
      <c r="E109"/>
      <c r="H109"/>
      <c r="I109"/>
      <c r="J109" s="1384"/>
    </row>
    <row r="110" spans="1:10" x14ac:dyDescent="0.2">
      <c r="A110"/>
      <c r="D110"/>
      <c r="E110"/>
      <c r="H110"/>
      <c r="I110"/>
      <c r="J110" s="1384"/>
    </row>
    <row r="111" spans="1:10" x14ac:dyDescent="0.2">
      <c r="A111"/>
      <c r="D111"/>
      <c r="E111"/>
      <c r="H111"/>
      <c r="I111"/>
      <c r="J111" s="1384"/>
    </row>
    <row r="112" spans="1:10" x14ac:dyDescent="0.2">
      <c r="J112" s="1384"/>
    </row>
    <row r="113" spans="10:10" x14ac:dyDescent="0.2">
      <c r="J113" s="1384"/>
    </row>
    <row r="114" spans="10:10" x14ac:dyDescent="0.2">
      <c r="J114" s="1384"/>
    </row>
    <row r="115" spans="10:10" x14ac:dyDescent="0.2">
      <c r="J115" s="327"/>
    </row>
    <row r="116" spans="10:10" x14ac:dyDescent="0.2">
      <c r="J116" s="327"/>
    </row>
  </sheetData>
  <customSheetViews>
    <customSheetView guid="{9BEC6399-AE85-4D88-8FBA-3674E2F30307}">
      <selection activeCell="D15" sqref="D15:D16"/>
      <pageMargins left="0.7" right="0.7" top="0.75" bottom="0.75" header="0.3" footer="0.3"/>
      <pageSetup orientation="portrait" r:id="rId1"/>
    </customSheetView>
    <customSheetView guid="{0347A67A-6027-4907-965C-6EA2A8295536}">
      <selection activeCell="D15" sqref="D15:D16"/>
      <pageMargins left="0.7" right="0.7" top="0.75" bottom="0.75" header="0.3" footer="0.3"/>
      <pageSetup orientation="portrait" r:id="rId2"/>
    </customSheetView>
    <customSheetView guid="{15CC7F3D-99AB-49C1-AC00-E04D3FE3FBC1}">
      <selection activeCell="C38" sqref="C38"/>
      <pageMargins left="0.7" right="0.7" top="0.75" bottom="0.75" header="0.3" footer="0.3"/>
      <pageSetup orientation="portrait" r:id="rId3"/>
    </customSheetView>
  </customSheetViews>
  <mergeCells count="4">
    <mergeCell ref="B1:E1"/>
    <mergeCell ref="F1:I1"/>
    <mergeCell ref="O1:R1"/>
    <mergeCell ref="K1:N1"/>
  </mergeCells>
  <phoneticPr fontId="30" type="noConversion"/>
  <pageMargins left="0.7" right="0.7" top="0.75" bottom="0.75" header="0.3" footer="0.3"/>
  <pageSetup orientation="portrait"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4"/>
  </sheetPr>
  <dimension ref="A1:R89"/>
  <sheetViews>
    <sheetView workbookViewId="0">
      <selection activeCell="J86" sqref="D86:J86"/>
    </sheetView>
  </sheetViews>
  <sheetFormatPr defaultColWidth="8.85546875" defaultRowHeight="12" x14ac:dyDescent="0.2"/>
  <cols>
    <col min="1" max="1" width="45.28515625" customWidth="1"/>
    <col min="2" max="2" width="15" customWidth="1"/>
    <col min="3" max="3" width="9.42578125" customWidth="1"/>
    <col min="4" max="4" width="12.85546875" customWidth="1"/>
    <col min="5" max="5" width="9.42578125" style="72" customWidth="1"/>
    <col min="6" max="6" width="13.85546875" customWidth="1"/>
    <col min="7" max="7" width="9.42578125" customWidth="1"/>
    <col min="8" max="8" width="24.42578125" bestFit="1" customWidth="1"/>
    <col min="9" max="9" width="9.42578125" customWidth="1"/>
    <col min="10" max="10" width="16.42578125" customWidth="1"/>
    <col min="11" max="11" width="13.85546875" customWidth="1"/>
    <col min="12" max="12" width="9.42578125" customWidth="1"/>
    <col min="13" max="13" width="24.42578125" bestFit="1" customWidth="1"/>
    <col min="14" max="14" width="9.42578125" style="1" customWidth="1"/>
    <col min="15" max="17" width="9.42578125" customWidth="1"/>
    <col min="19" max="19" width="9.7109375" bestFit="1" customWidth="1"/>
  </cols>
  <sheetData>
    <row r="1" spans="1:18" x14ac:dyDescent="0.2">
      <c r="A1" s="282"/>
      <c r="B1" s="2326" t="s">
        <v>857</v>
      </c>
      <c r="C1" s="2327"/>
      <c r="D1" s="2327"/>
      <c r="E1" s="2328"/>
      <c r="F1" s="2321">
        <v>2008</v>
      </c>
      <c r="G1" s="2322"/>
      <c r="H1" s="2322"/>
      <c r="I1" s="2329"/>
      <c r="J1" s="1368"/>
      <c r="K1" s="2321">
        <v>2015</v>
      </c>
      <c r="L1" s="2322"/>
      <c r="M1" s="2322"/>
      <c r="N1" s="2325"/>
      <c r="O1" s="65" t="s">
        <v>1542</v>
      </c>
    </row>
    <row r="2" spans="1:18" x14ac:dyDescent="0.2">
      <c r="A2" s="282" t="s">
        <v>604</v>
      </c>
      <c r="B2" s="2324" t="s">
        <v>602</v>
      </c>
      <c r="C2" s="2322" t="s">
        <v>601</v>
      </c>
      <c r="D2" s="2322" t="s">
        <v>603</v>
      </c>
      <c r="E2" s="2322" t="s">
        <v>420</v>
      </c>
      <c r="F2" s="2324" t="s">
        <v>602</v>
      </c>
      <c r="G2" s="2322" t="s">
        <v>601</v>
      </c>
      <c r="H2" s="2323" t="s">
        <v>603</v>
      </c>
      <c r="I2" s="2323" t="s">
        <v>420</v>
      </c>
      <c r="J2" s="1367" t="s">
        <v>1526</v>
      </c>
      <c r="K2" s="2324" t="s">
        <v>602</v>
      </c>
      <c r="L2" s="2322" t="s">
        <v>601</v>
      </c>
      <c r="M2" s="2323" t="s">
        <v>603</v>
      </c>
      <c r="N2" s="666" t="s">
        <v>420</v>
      </c>
      <c r="O2" s="214" t="s">
        <v>1539</v>
      </c>
      <c r="P2" s="695" t="s">
        <v>1547</v>
      </c>
      <c r="Q2" s="1493" t="s">
        <v>1541</v>
      </c>
      <c r="R2" s="481">
        <v>15</v>
      </c>
    </row>
    <row r="3" spans="1:18" x14ac:dyDescent="0.2">
      <c r="A3" s="1468" t="s">
        <v>149</v>
      </c>
      <c r="B3" s="1499"/>
      <c r="C3" s="1468"/>
      <c r="D3" s="1469"/>
      <c r="E3" s="1500"/>
      <c r="F3" s="1499"/>
      <c r="G3" s="1468"/>
      <c r="H3" s="1469"/>
      <c r="I3" s="1500"/>
      <c r="J3" s="1496"/>
      <c r="K3" s="1499"/>
      <c r="L3" s="1468"/>
      <c r="M3" s="1469"/>
      <c r="N3" s="1470"/>
      <c r="O3" s="1494"/>
      <c r="P3" s="1484"/>
      <c r="Q3" s="1484"/>
      <c r="R3" s="1484"/>
    </row>
    <row r="4" spans="1:18" s="91" customFormat="1" x14ac:dyDescent="0.2">
      <c r="A4" s="261"/>
      <c r="B4" s="377"/>
      <c r="C4" s="305"/>
      <c r="D4" s="308"/>
      <c r="E4" s="384"/>
      <c r="F4" s="377"/>
      <c r="G4" s="305"/>
      <c r="H4" s="308"/>
      <c r="I4" s="384"/>
      <c r="J4" s="1369"/>
      <c r="K4" s="377"/>
      <c r="L4" s="305"/>
      <c r="M4" s="308"/>
      <c r="N4" s="1501"/>
      <c r="O4" s="384"/>
      <c r="P4" s="384"/>
      <c r="Q4" s="384"/>
    </row>
    <row r="5" spans="1:18" s="91" customFormat="1" x14ac:dyDescent="0.2">
      <c r="A5" s="261" t="s">
        <v>2405</v>
      </c>
      <c r="B5" s="377"/>
      <c r="C5" s="305"/>
      <c r="D5" s="308"/>
      <c r="E5" s="384"/>
      <c r="F5" s="377"/>
      <c r="G5" s="305"/>
      <c r="H5" s="308"/>
      <c r="I5" s="384"/>
      <c r="J5" s="1369"/>
      <c r="K5" s="377"/>
      <c r="L5" s="305"/>
      <c r="M5" s="308"/>
      <c r="N5" s="1501"/>
      <c r="O5" s="384"/>
      <c r="P5" s="384"/>
      <c r="Q5" s="384"/>
    </row>
    <row r="6" spans="1:18" s="91" customFormat="1" x14ac:dyDescent="0.2">
      <c r="A6" s="259" t="s">
        <v>150</v>
      </c>
      <c r="B6" s="377"/>
      <c r="C6" s="305"/>
      <c r="D6" s="308"/>
      <c r="E6" s="384"/>
      <c r="F6" s="377"/>
      <c r="G6" s="305"/>
      <c r="H6" s="308"/>
      <c r="I6" s="384"/>
      <c r="J6" s="1369"/>
      <c r="K6" s="377"/>
      <c r="L6" s="305"/>
      <c r="M6" s="308"/>
      <c r="N6" s="1501"/>
      <c r="O6" s="384"/>
      <c r="P6" s="384"/>
      <c r="Q6" s="384"/>
    </row>
    <row r="7" spans="1:18" x14ac:dyDescent="0.2">
      <c r="A7" s="1505" t="s">
        <v>119</v>
      </c>
      <c r="B7" s="380"/>
      <c r="C7" s="135"/>
      <c r="D7" s="287"/>
      <c r="E7" s="323"/>
      <c r="F7" s="380"/>
      <c r="G7" s="135"/>
      <c r="H7" s="200"/>
      <c r="I7" s="386"/>
      <c r="J7" s="1370"/>
      <c r="K7" s="222"/>
      <c r="L7" s="135"/>
      <c r="M7" s="200"/>
      <c r="N7" s="383"/>
      <c r="O7" s="386"/>
      <c r="P7" s="386"/>
      <c r="Q7" s="386"/>
    </row>
    <row r="8" spans="1:18" x14ac:dyDescent="0.2">
      <c r="A8" s="249" t="s">
        <v>243</v>
      </c>
      <c r="B8" s="382"/>
      <c r="C8" s="72"/>
      <c r="D8" s="2331"/>
      <c r="E8" s="322"/>
      <c r="F8" s="2502"/>
      <c r="G8" s="135"/>
      <c r="H8" s="200"/>
      <c r="I8" s="386"/>
      <c r="J8" s="1370"/>
      <c r="K8" s="222"/>
      <c r="L8" s="135"/>
      <c r="M8" s="200"/>
      <c r="N8" s="383"/>
      <c r="O8" s="386"/>
      <c r="P8" s="386"/>
      <c r="Q8" s="386"/>
    </row>
    <row r="9" spans="1:18" ht="13.5" x14ac:dyDescent="0.2">
      <c r="A9" s="201" t="s">
        <v>227</v>
      </c>
      <c r="B9" s="380">
        <v>3814.3721542675453</v>
      </c>
      <c r="C9" s="312" t="s">
        <v>168</v>
      </c>
      <c r="D9" s="254" t="s">
        <v>90</v>
      </c>
      <c r="E9" s="569" t="s">
        <v>1235</v>
      </c>
      <c r="F9" s="380"/>
      <c r="G9" s="312"/>
      <c r="H9" s="644"/>
      <c r="I9" s="386"/>
      <c r="J9" s="1370"/>
      <c r="K9" s="222"/>
      <c r="L9" s="135"/>
      <c r="M9" s="200"/>
      <c r="N9" s="383"/>
      <c r="O9" s="386"/>
      <c r="P9" s="386"/>
      <c r="Q9" s="386"/>
    </row>
    <row r="10" spans="1:18" x14ac:dyDescent="0.2">
      <c r="A10" s="293" t="s">
        <v>226</v>
      </c>
      <c r="B10" s="363">
        <v>7.2</v>
      </c>
      <c r="C10" s="312"/>
      <c r="D10" s="200" t="s">
        <v>225</v>
      </c>
      <c r="E10" s="352"/>
      <c r="F10" s="380"/>
      <c r="G10" s="312"/>
      <c r="H10" s="644"/>
      <c r="I10" s="386"/>
      <c r="J10" s="1370"/>
      <c r="K10" s="222"/>
      <c r="L10" s="135"/>
      <c r="M10" s="200"/>
      <c r="N10" s="383"/>
      <c r="O10" s="386"/>
      <c r="P10" s="386"/>
      <c r="Q10" s="386"/>
    </row>
    <row r="11" spans="1:18" x14ac:dyDescent="0.2">
      <c r="A11" s="293" t="s">
        <v>93</v>
      </c>
      <c r="B11" s="363"/>
      <c r="C11" s="312"/>
      <c r="D11" s="200"/>
      <c r="E11" s="352"/>
      <c r="F11" s="380"/>
      <c r="G11" s="312"/>
      <c r="H11" s="644"/>
      <c r="I11" s="386"/>
      <c r="J11" s="1370"/>
      <c r="K11" s="222"/>
      <c r="L11" s="135"/>
      <c r="M11" s="200"/>
      <c r="N11" s="383"/>
      <c r="O11" s="386"/>
      <c r="P11" s="386"/>
      <c r="Q11" s="386"/>
    </row>
    <row r="12" spans="1:18" x14ac:dyDescent="0.2">
      <c r="A12" s="201"/>
      <c r="B12" s="379"/>
      <c r="C12" s="135"/>
      <c r="D12" s="254"/>
      <c r="E12" s="376"/>
      <c r="F12" s="379"/>
      <c r="G12" s="135"/>
      <c r="H12" s="200"/>
      <c r="I12" s="386"/>
      <c r="J12" s="1370"/>
      <c r="K12" s="222"/>
      <c r="L12" s="135"/>
      <c r="M12" s="200"/>
      <c r="N12" s="383"/>
      <c r="O12" s="386"/>
      <c r="P12" s="386"/>
      <c r="Q12" s="386"/>
    </row>
    <row r="13" spans="1:18" x14ac:dyDescent="0.2">
      <c r="A13" s="1504" t="s">
        <v>120</v>
      </c>
      <c r="B13" s="362"/>
      <c r="C13" s="314"/>
      <c r="D13" s="570"/>
      <c r="E13" s="385"/>
      <c r="F13" s="362"/>
      <c r="G13" s="314"/>
      <c r="H13" s="570"/>
      <c r="I13" s="385"/>
      <c r="J13" s="1371"/>
      <c r="K13" s="222"/>
      <c r="L13" s="135"/>
      <c r="M13" s="200"/>
      <c r="N13" s="324"/>
      <c r="O13" s="385"/>
      <c r="P13" s="385"/>
      <c r="Q13" s="385"/>
    </row>
    <row r="14" spans="1:18" s="91" customFormat="1" ht="13.5" x14ac:dyDescent="0.2">
      <c r="A14" s="259" t="s">
        <v>150</v>
      </c>
      <c r="B14" s="1509">
        <f>B10*B9</f>
        <v>27463.479510726327</v>
      </c>
      <c r="C14" s="318" t="s">
        <v>207</v>
      </c>
      <c r="D14" s="570"/>
      <c r="E14" s="385"/>
      <c r="F14" s="1509">
        <v>15000</v>
      </c>
      <c r="G14" s="318" t="s">
        <v>207</v>
      </c>
      <c r="H14" s="644" t="s">
        <v>2404</v>
      </c>
      <c r="I14" s="376"/>
      <c r="J14" s="1371"/>
      <c r="K14" s="1509">
        <v>6601.4188958662562</v>
      </c>
      <c r="L14" s="318" t="s">
        <v>207</v>
      </c>
      <c r="M14" s="200" t="s">
        <v>2404</v>
      </c>
      <c r="N14" s="324"/>
      <c r="O14" s="385"/>
      <c r="P14" s="385"/>
      <c r="Q14" s="385"/>
    </row>
    <row r="15" spans="1:18" s="91" customFormat="1" x14ac:dyDescent="0.2">
      <c r="A15" s="225" t="s">
        <v>96</v>
      </c>
      <c r="B15" s="362"/>
      <c r="C15" s="314"/>
      <c r="D15" s="570"/>
      <c r="E15" s="385"/>
      <c r="F15" s="362"/>
      <c r="G15" s="314"/>
      <c r="H15" s="570"/>
      <c r="I15" s="385"/>
      <c r="J15" s="1371"/>
      <c r="K15" s="222"/>
      <c r="L15" s="135"/>
      <c r="M15" s="200"/>
      <c r="N15" s="324"/>
      <c r="O15" s="385"/>
      <c r="P15" s="385"/>
      <c r="Q15" s="385"/>
    </row>
    <row r="16" spans="1:18" x14ac:dyDescent="0.2">
      <c r="A16" s="201"/>
      <c r="B16" s="379"/>
      <c r="C16" s="135"/>
      <c r="D16" s="254"/>
      <c r="E16" s="376"/>
      <c r="F16" s="379"/>
      <c r="G16" s="135"/>
      <c r="H16" s="200"/>
      <c r="I16" s="386"/>
      <c r="J16" s="1370"/>
      <c r="K16" s="222"/>
      <c r="L16" s="135"/>
      <c r="M16" s="200"/>
      <c r="N16" s="383"/>
      <c r="O16" s="386"/>
      <c r="P16" s="386"/>
      <c r="Q16" s="386"/>
    </row>
    <row r="17" spans="1:17" x14ac:dyDescent="0.2">
      <c r="A17" s="259" t="s">
        <v>255</v>
      </c>
      <c r="B17" s="379"/>
      <c r="C17" s="135"/>
      <c r="D17" s="254"/>
      <c r="E17" s="376"/>
      <c r="F17" s="379"/>
      <c r="G17" s="135"/>
      <c r="H17" s="200"/>
      <c r="I17" s="386"/>
      <c r="J17" s="1370"/>
      <c r="K17" s="222"/>
      <c r="L17" s="135"/>
      <c r="M17" s="200"/>
      <c r="N17" s="383"/>
      <c r="O17" s="386"/>
      <c r="P17" s="386"/>
      <c r="Q17" s="386"/>
    </row>
    <row r="18" spans="1:17" x14ac:dyDescent="0.2">
      <c r="A18" s="1505" t="s">
        <v>119</v>
      </c>
      <c r="B18" s="379"/>
      <c r="C18" s="135"/>
      <c r="D18" s="254"/>
      <c r="E18" s="376"/>
      <c r="F18" s="379"/>
      <c r="G18" s="135"/>
      <c r="H18" s="200"/>
      <c r="I18" s="386"/>
      <c r="J18" s="1370"/>
      <c r="K18" s="222"/>
      <c r="L18" s="135"/>
      <c r="M18" s="200"/>
      <c r="N18" s="383"/>
      <c r="O18" s="386"/>
      <c r="P18" s="386"/>
      <c r="Q18" s="386"/>
    </row>
    <row r="19" spans="1:17" x14ac:dyDescent="0.2">
      <c r="A19" s="295" t="s">
        <v>244</v>
      </c>
      <c r="B19" s="222"/>
      <c r="C19" s="135"/>
      <c r="D19" s="287"/>
      <c r="E19" s="323"/>
      <c r="F19" s="222"/>
      <c r="G19" s="135"/>
      <c r="H19" s="200"/>
      <c r="I19" s="386"/>
      <c r="J19" s="1370"/>
      <c r="K19" s="222"/>
      <c r="L19" s="135"/>
      <c r="M19" s="200"/>
      <c r="N19" s="383"/>
      <c r="O19" s="386"/>
      <c r="P19" s="386"/>
      <c r="Q19" s="386"/>
    </row>
    <row r="20" spans="1:17" x14ac:dyDescent="0.2">
      <c r="A20" s="293" t="s">
        <v>256</v>
      </c>
      <c r="B20" s="387">
        <v>0.95</v>
      </c>
      <c r="C20" s="312"/>
      <c r="D20" s="200" t="s">
        <v>250</v>
      </c>
      <c r="E20" s="352"/>
      <c r="F20" s="387"/>
      <c r="G20" s="312"/>
      <c r="H20" s="200"/>
      <c r="I20" s="352"/>
      <c r="J20" s="1372"/>
      <c r="K20" s="222"/>
      <c r="L20" s="135"/>
      <c r="M20" s="200"/>
      <c r="N20" s="330"/>
      <c r="O20" s="352"/>
      <c r="P20" s="352"/>
      <c r="Q20" s="352"/>
    </row>
    <row r="21" spans="1:17" x14ac:dyDescent="0.2">
      <c r="A21" s="293"/>
      <c r="B21" s="387"/>
      <c r="C21" s="312"/>
      <c r="D21" s="200"/>
      <c r="E21" s="352"/>
      <c r="F21" s="387"/>
      <c r="G21" s="318"/>
      <c r="H21" s="200"/>
      <c r="I21" s="352"/>
      <c r="J21" s="1372"/>
      <c r="K21" s="222"/>
      <c r="L21" s="135"/>
      <c r="M21" s="200"/>
      <c r="N21" s="330"/>
      <c r="O21" s="352"/>
      <c r="P21" s="352"/>
      <c r="Q21" s="352"/>
    </row>
    <row r="22" spans="1:17" x14ac:dyDescent="0.2">
      <c r="A22" s="1504" t="s">
        <v>120</v>
      </c>
      <c r="B22" s="362"/>
      <c r="C22" s="314"/>
      <c r="D22" s="570"/>
      <c r="E22" s="385"/>
      <c r="F22" s="362"/>
      <c r="G22" s="314"/>
      <c r="H22" s="570"/>
      <c r="I22" s="385"/>
      <c r="J22" s="1371"/>
      <c r="K22" s="222"/>
      <c r="L22" s="135"/>
      <c r="M22" s="200"/>
      <c r="N22" s="324"/>
      <c r="O22" s="385"/>
      <c r="P22" s="385"/>
      <c r="Q22" s="385"/>
    </row>
    <row r="23" spans="1:17" s="91" customFormat="1" ht="13.5" x14ac:dyDescent="0.2">
      <c r="A23" s="215" t="s">
        <v>151</v>
      </c>
      <c r="B23" s="1509">
        <f>B20*B14</f>
        <v>26090.305535190011</v>
      </c>
      <c r="C23" s="318" t="s">
        <v>207</v>
      </c>
      <c r="D23" s="570"/>
      <c r="E23" s="385"/>
      <c r="F23" s="1509">
        <v>15000</v>
      </c>
      <c r="G23" s="318" t="s">
        <v>207</v>
      </c>
      <c r="H23" s="644" t="s">
        <v>2404</v>
      </c>
      <c r="I23" s="376"/>
      <c r="J23" s="1371"/>
      <c r="K23" s="1509">
        <v>5272.6637405464426</v>
      </c>
      <c r="L23" s="318" t="s">
        <v>207</v>
      </c>
      <c r="M23" s="200" t="s">
        <v>2404</v>
      </c>
      <c r="N23" s="324"/>
      <c r="O23" s="385"/>
      <c r="P23" s="385"/>
      <c r="Q23" s="385"/>
    </row>
    <row r="24" spans="1:17" s="91" customFormat="1" x14ac:dyDescent="0.2">
      <c r="A24" s="691" t="s">
        <v>137</v>
      </c>
      <c r="B24" s="362"/>
      <c r="C24" s="314"/>
      <c r="D24" s="570"/>
      <c r="E24" s="385"/>
      <c r="F24" s="362"/>
      <c r="G24" s="314"/>
      <c r="H24" s="570"/>
      <c r="I24" s="385"/>
      <c r="J24" s="1371"/>
      <c r="K24" s="222"/>
      <c r="L24" s="135"/>
      <c r="M24" s="200"/>
      <c r="N24" s="324"/>
      <c r="O24" s="385"/>
      <c r="P24" s="385"/>
      <c r="Q24" s="385"/>
    </row>
    <row r="25" spans="1:17" x14ac:dyDescent="0.2">
      <c r="A25" s="293"/>
      <c r="B25" s="382"/>
      <c r="C25" s="72"/>
      <c r="D25" s="2331"/>
      <c r="E25" s="322"/>
      <c r="F25" s="382"/>
      <c r="G25" s="309"/>
      <c r="H25" s="200"/>
      <c r="I25" s="386"/>
      <c r="J25" s="1370"/>
      <c r="K25" s="222"/>
      <c r="L25" s="135"/>
      <c r="M25" s="200"/>
      <c r="N25" s="383"/>
      <c r="O25" s="386"/>
      <c r="P25" s="386"/>
      <c r="Q25" s="386"/>
    </row>
    <row r="26" spans="1:17" x14ac:dyDescent="0.2">
      <c r="A26" s="259" t="s">
        <v>284</v>
      </c>
      <c r="B26" s="382"/>
      <c r="C26" s="72"/>
      <c r="D26" s="2331"/>
      <c r="E26" s="322"/>
      <c r="F26" s="382"/>
      <c r="G26" s="309"/>
      <c r="H26" s="200"/>
      <c r="I26" s="386"/>
      <c r="J26" s="1370"/>
      <c r="K26" s="222"/>
      <c r="L26" s="135"/>
      <c r="M26" s="200"/>
      <c r="N26" s="383"/>
      <c r="O26" s="386"/>
      <c r="P26" s="386"/>
      <c r="Q26" s="386"/>
    </row>
    <row r="27" spans="1:17" x14ac:dyDescent="0.2">
      <c r="A27" s="1505" t="s">
        <v>119</v>
      </c>
      <c r="B27" s="382"/>
      <c r="C27" s="72"/>
      <c r="D27" s="2331"/>
      <c r="E27" s="322"/>
      <c r="F27" s="382"/>
      <c r="G27" s="309"/>
      <c r="H27" s="200"/>
      <c r="I27" s="386"/>
      <c r="J27" s="1370"/>
      <c r="K27" s="222"/>
      <c r="L27" s="135"/>
      <c r="M27" s="200"/>
      <c r="N27" s="383"/>
      <c r="O27" s="386"/>
      <c r="P27" s="386"/>
      <c r="Q27" s="386"/>
    </row>
    <row r="28" spans="1:17" x14ac:dyDescent="0.2">
      <c r="A28" s="295" t="s">
        <v>244</v>
      </c>
      <c r="B28" s="382"/>
      <c r="C28" s="72"/>
      <c r="D28" s="2331"/>
      <c r="E28" s="322"/>
      <c r="F28" s="382"/>
      <c r="G28" s="309"/>
      <c r="H28" s="200"/>
      <c r="I28" s="386"/>
      <c r="J28" s="1370"/>
      <c r="K28" s="222"/>
      <c r="L28" s="135"/>
      <c r="M28" s="200"/>
      <c r="N28" s="383"/>
      <c r="O28" s="386"/>
      <c r="P28" s="386"/>
      <c r="Q28" s="386"/>
    </row>
    <row r="29" spans="1:17" x14ac:dyDescent="0.2">
      <c r="A29" s="201" t="s">
        <v>245</v>
      </c>
      <c r="B29" s="387">
        <v>0.17</v>
      </c>
      <c r="C29" s="312"/>
      <c r="D29" s="200" t="s">
        <v>250</v>
      </c>
      <c r="E29" s="352"/>
      <c r="F29" s="2501"/>
      <c r="G29" s="318"/>
      <c r="H29" s="200"/>
      <c r="I29" s="352"/>
      <c r="J29" s="1372"/>
      <c r="K29" s="222"/>
      <c r="L29" s="135"/>
      <c r="M29" s="200"/>
      <c r="N29" s="330"/>
      <c r="O29" s="352"/>
      <c r="P29" s="352"/>
      <c r="Q29" s="352"/>
    </row>
    <row r="30" spans="1:17" x14ac:dyDescent="0.2">
      <c r="A30" s="201"/>
      <c r="B30" s="387"/>
      <c r="C30" s="312"/>
      <c r="D30" s="200"/>
      <c r="E30" s="352"/>
      <c r="F30" s="387"/>
      <c r="G30" s="318"/>
      <c r="H30" s="200"/>
      <c r="I30" s="352"/>
      <c r="J30" s="1372"/>
      <c r="K30" s="222"/>
      <c r="L30" s="135"/>
      <c r="M30" s="200"/>
      <c r="N30" s="330"/>
      <c r="O30" s="352"/>
      <c r="P30" s="352"/>
      <c r="Q30" s="352"/>
    </row>
    <row r="31" spans="1:17" x14ac:dyDescent="0.2">
      <c r="A31" s="1504" t="s">
        <v>120</v>
      </c>
      <c r="B31" s="362"/>
      <c r="C31" s="314"/>
      <c r="D31" s="570"/>
      <c r="E31" s="385"/>
      <c r="F31" s="362"/>
      <c r="G31" s="314"/>
      <c r="H31" s="570"/>
      <c r="I31" s="385"/>
      <c r="J31" s="1371"/>
      <c r="K31" s="222"/>
      <c r="L31" s="135"/>
      <c r="M31" s="200"/>
      <c r="N31" s="324"/>
      <c r="O31" s="385"/>
      <c r="P31" s="385"/>
      <c r="Q31" s="385"/>
    </row>
    <row r="32" spans="1:17" ht="13.5" x14ac:dyDescent="0.2">
      <c r="A32" s="215" t="s">
        <v>151</v>
      </c>
      <c r="B32" s="1509">
        <f>B29*B14</f>
        <v>4668.7915168234758</v>
      </c>
      <c r="C32" s="318" t="s">
        <v>207</v>
      </c>
      <c r="D32" s="570"/>
      <c r="E32" s="385"/>
      <c r="F32" s="1509">
        <v>3000</v>
      </c>
      <c r="G32" s="318" t="s">
        <v>207</v>
      </c>
      <c r="H32" s="644" t="s">
        <v>2404</v>
      </c>
      <c r="I32" s="376"/>
      <c r="J32" s="1371"/>
      <c r="K32" s="1509">
        <v>991.45173861295916</v>
      </c>
      <c r="L32" s="318" t="s">
        <v>207</v>
      </c>
      <c r="M32" s="200" t="s">
        <v>2404</v>
      </c>
      <c r="N32" s="324"/>
      <c r="O32" s="385"/>
      <c r="P32" s="385"/>
      <c r="Q32" s="385"/>
    </row>
    <row r="33" spans="1:17" x14ac:dyDescent="0.2">
      <c r="A33" s="225" t="s">
        <v>54</v>
      </c>
      <c r="B33" s="387"/>
      <c r="C33" s="312"/>
      <c r="D33" s="200"/>
      <c r="E33" s="352"/>
      <c r="F33" s="387"/>
      <c r="G33" s="318"/>
      <c r="H33" s="200"/>
      <c r="I33" s="352"/>
      <c r="J33" s="1372"/>
      <c r="K33" s="222"/>
      <c r="L33" s="135"/>
      <c r="M33" s="200"/>
      <c r="N33" s="330"/>
      <c r="O33" s="352"/>
      <c r="P33" s="352"/>
      <c r="Q33" s="352"/>
    </row>
    <row r="34" spans="1:17" x14ac:dyDescent="0.2">
      <c r="A34" s="201"/>
      <c r="B34" s="380"/>
      <c r="C34" s="135"/>
      <c r="D34" s="254"/>
      <c r="E34" s="352"/>
      <c r="F34" s="380"/>
      <c r="G34" s="309"/>
      <c r="H34" s="342"/>
      <c r="I34" s="388"/>
      <c r="J34" s="1373"/>
      <c r="K34" s="222"/>
      <c r="L34" s="135"/>
      <c r="M34" s="200"/>
      <c r="N34" s="1502"/>
      <c r="O34" s="388"/>
      <c r="P34" s="388"/>
      <c r="Q34" s="388"/>
    </row>
    <row r="35" spans="1:17" x14ac:dyDescent="0.2">
      <c r="A35" s="259" t="s">
        <v>285</v>
      </c>
      <c r="B35" s="380"/>
      <c r="C35" s="135"/>
      <c r="D35" s="254"/>
      <c r="E35" s="352"/>
      <c r="F35" s="380"/>
      <c r="G35" s="309"/>
      <c r="H35" s="342"/>
      <c r="I35" s="388"/>
      <c r="J35" s="1373"/>
      <c r="K35" s="222"/>
      <c r="L35" s="135"/>
      <c r="M35" s="200"/>
      <c r="N35" s="1502"/>
      <c r="O35" s="388"/>
      <c r="P35" s="388"/>
      <c r="Q35" s="388"/>
    </row>
    <row r="36" spans="1:17" x14ac:dyDescent="0.2">
      <c r="A36" s="1505" t="s">
        <v>119</v>
      </c>
      <c r="B36" s="380"/>
      <c r="C36" s="135"/>
      <c r="D36" s="254"/>
      <c r="E36" s="352"/>
      <c r="F36" s="380"/>
      <c r="G36" s="309"/>
      <c r="H36" s="342"/>
      <c r="I36" s="388"/>
      <c r="J36" s="1373"/>
      <c r="K36" s="222"/>
      <c r="L36" s="135"/>
      <c r="M36" s="200"/>
      <c r="N36" s="1502"/>
      <c r="O36" s="388"/>
      <c r="P36" s="388"/>
      <c r="Q36" s="388"/>
    </row>
    <row r="37" spans="1:17" x14ac:dyDescent="0.2">
      <c r="A37" s="295" t="s">
        <v>244</v>
      </c>
      <c r="B37" s="380"/>
      <c r="C37" s="135"/>
      <c r="D37" s="254"/>
      <c r="E37" s="352"/>
      <c r="F37" s="380"/>
      <c r="G37" s="309"/>
      <c r="H37" s="342"/>
      <c r="I37" s="388"/>
      <c r="J37" s="1373"/>
      <c r="K37" s="222"/>
      <c r="L37" s="135"/>
      <c r="M37" s="200"/>
      <c r="N37" s="1502"/>
      <c r="O37" s="388"/>
      <c r="P37" s="388"/>
      <c r="Q37" s="388"/>
    </row>
    <row r="38" spans="1:17" ht="18" customHeight="1" x14ac:dyDescent="0.2">
      <c r="A38" s="201" t="s">
        <v>246</v>
      </c>
      <c r="B38" s="387">
        <v>0.1</v>
      </c>
      <c r="C38" s="312"/>
      <c r="D38" s="254" t="s">
        <v>91</v>
      </c>
      <c r="E38" s="569" t="s">
        <v>92</v>
      </c>
      <c r="F38" s="380"/>
      <c r="G38" s="318"/>
      <c r="H38" s="342"/>
      <c r="I38" s="388"/>
      <c r="J38" s="1374"/>
      <c r="K38" s="222"/>
      <c r="L38" s="135"/>
      <c r="M38" s="200"/>
      <c r="N38" s="348"/>
      <c r="O38" s="351"/>
      <c r="P38" s="351"/>
      <c r="Q38" s="351"/>
    </row>
    <row r="39" spans="1:17" x14ac:dyDescent="0.2">
      <c r="A39" s="292" t="s">
        <v>254</v>
      </c>
      <c r="B39" s="378"/>
      <c r="C39" s="205"/>
      <c r="D39" s="200"/>
      <c r="E39" s="352"/>
      <c r="F39" s="380"/>
      <c r="G39" s="309"/>
      <c r="H39" s="342"/>
      <c r="I39" s="388"/>
      <c r="J39" s="1373"/>
      <c r="K39" s="222"/>
      <c r="L39" s="135"/>
      <c r="M39" s="200"/>
      <c r="N39" s="1502"/>
      <c r="O39" s="388"/>
      <c r="P39" s="388"/>
      <c r="Q39" s="388"/>
    </row>
    <row r="40" spans="1:17" ht="24" x14ac:dyDescent="0.2">
      <c r="A40" s="399" t="s">
        <v>185</v>
      </c>
      <c r="B40" s="380"/>
      <c r="C40" s="205"/>
      <c r="D40" s="254"/>
      <c r="E40" s="352"/>
      <c r="F40" s="380"/>
      <c r="G40" s="392"/>
      <c r="H40" s="2500"/>
      <c r="I40" s="388"/>
      <c r="J40" s="1373"/>
      <c r="K40" s="222"/>
      <c r="L40" s="135"/>
      <c r="M40" s="200"/>
      <c r="N40" s="1502"/>
      <c r="O40" s="388"/>
      <c r="P40" s="388"/>
      <c r="Q40" s="388"/>
    </row>
    <row r="41" spans="1:17" x14ac:dyDescent="0.2">
      <c r="A41" s="201" t="s">
        <v>186</v>
      </c>
      <c r="B41" s="380">
        <v>55</v>
      </c>
      <c r="C41" s="312" t="s">
        <v>637</v>
      </c>
      <c r="D41" s="200" t="s">
        <v>187</v>
      </c>
      <c r="E41" s="352"/>
      <c r="F41" s="380"/>
      <c r="G41" s="864"/>
      <c r="H41" s="2500"/>
      <c r="I41" s="388"/>
      <c r="J41" s="1372"/>
      <c r="K41" s="222"/>
      <c r="L41" s="135"/>
      <c r="M41" s="200"/>
      <c r="N41" s="330"/>
      <c r="O41" s="352"/>
      <c r="P41" s="352"/>
      <c r="Q41" s="352"/>
    </row>
    <row r="42" spans="1:17" x14ac:dyDescent="0.2">
      <c r="A42" s="201" t="s">
        <v>188</v>
      </c>
      <c r="B42" s="380">
        <v>20</v>
      </c>
      <c r="C42" s="312" t="s">
        <v>637</v>
      </c>
      <c r="D42" s="200" t="s">
        <v>187</v>
      </c>
      <c r="E42" s="352"/>
      <c r="F42" s="380"/>
      <c r="G42" s="864"/>
      <c r="H42" s="2500"/>
      <c r="I42" s="388"/>
      <c r="J42" s="1372"/>
      <c r="K42" s="222"/>
      <c r="L42" s="135"/>
      <c r="M42" s="200"/>
      <c r="N42" s="330"/>
      <c r="O42" s="352"/>
      <c r="P42" s="352"/>
      <c r="Q42" s="352"/>
    </row>
    <row r="43" spans="1:17" x14ac:dyDescent="0.2">
      <c r="A43" s="201" t="s">
        <v>246</v>
      </c>
      <c r="B43" s="381">
        <f>B42/B41</f>
        <v>0.36363636363636365</v>
      </c>
      <c r="C43" s="135"/>
      <c r="D43" s="200"/>
      <c r="E43" s="352"/>
      <c r="F43" s="380"/>
      <c r="G43" s="309"/>
      <c r="H43" s="2500"/>
      <c r="I43" s="388"/>
      <c r="J43" s="1370"/>
      <c r="K43" s="222"/>
      <c r="L43" s="135"/>
      <c r="M43" s="200"/>
      <c r="N43" s="383"/>
      <c r="O43" s="386"/>
      <c r="P43" s="386"/>
      <c r="Q43" s="386"/>
    </row>
    <row r="44" spans="1:17" x14ac:dyDescent="0.2">
      <c r="A44" s="201"/>
      <c r="B44" s="381"/>
      <c r="C44" s="135"/>
      <c r="D44" s="200"/>
      <c r="E44" s="352"/>
      <c r="F44" s="380"/>
      <c r="G44" s="309"/>
      <c r="H44" s="2500"/>
      <c r="I44" s="388"/>
      <c r="J44" s="1370"/>
      <c r="K44" s="222"/>
      <c r="L44" s="135"/>
      <c r="M44" s="200"/>
      <c r="N44" s="383"/>
      <c r="O44" s="386"/>
      <c r="P44" s="386"/>
      <c r="Q44" s="386"/>
    </row>
    <row r="45" spans="1:17" x14ac:dyDescent="0.2">
      <c r="A45" s="1504" t="s">
        <v>120</v>
      </c>
      <c r="B45" s="362"/>
      <c r="C45" s="314"/>
      <c r="D45" s="570"/>
      <c r="E45" s="385"/>
      <c r="F45" s="362"/>
      <c r="G45" s="314"/>
      <c r="H45" s="570"/>
      <c r="I45" s="385"/>
      <c r="J45" s="1371"/>
      <c r="K45" s="222"/>
      <c r="L45" s="135"/>
      <c r="M45" s="200"/>
      <c r="N45" s="324"/>
      <c r="O45" s="385"/>
      <c r="P45" s="385"/>
      <c r="Q45" s="385"/>
    </row>
    <row r="46" spans="1:17" ht="13.5" x14ac:dyDescent="0.2">
      <c r="A46" s="215" t="s">
        <v>151</v>
      </c>
      <c r="B46" s="1509">
        <f>B43*B14</f>
        <v>9986.7198220823011</v>
      </c>
      <c r="C46" s="318" t="s">
        <v>207</v>
      </c>
      <c r="D46" s="570"/>
      <c r="E46" s="385"/>
      <c r="F46" s="1509">
        <v>6000</v>
      </c>
      <c r="G46" s="318" t="s">
        <v>207</v>
      </c>
      <c r="H46" s="644" t="s">
        <v>2156</v>
      </c>
      <c r="I46" s="376"/>
      <c r="J46" s="1371"/>
      <c r="K46" s="1509">
        <v>1182.8126128506847</v>
      </c>
      <c r="L46" s="318" t="s">
        <v>207</v>
      </c>
      <c r="M46" s="200" t="s">
        <v>2156</v>
      </c>
      <c r="N46" s="324"/>
      <c r="O46" s="385"/>
      <c r="P46" s="385"/>
      <c r="Q46" s="385"/>
    </row>
    <row r="47" spans="1:17" x14ac:dyDescent="0.2">
      <c r="A47" s="225" t="s">
        <v>55</v>
      </c>
      <c r="B47" s="387"/>
      <c r="C47" s="312"/>
      <c r="D47" s="200"/>
      <c r="E47" s="352"/>
      <c r="F47" s="387"/>
      <c r="G47" s="318"/>
      <c r="H47" s="200"/>
      <c r="I47" s="352"/>
      <c r="J47" s="1372"/>
      <c r="K47" s="222"/>
      <c r="L47" s="135"/>
      <c r="M47" s="200"/>
      <c r="N47" s="330"/>
      <c r="O47" s="352"/>
      <c r="P47" s="352"/>
      <c r="Q47" s="352"/>
    </row>
    <row r="48" spans="1:17" x14ac:dyDescent="0.2">
      <c r="A48" s="225"/>
      <c r="B48" s="387"/>
      <c r="C48" s="312"/>
      <c r="D48" s="200"/>
      <c r="E48" s="352"/>
      <c r="F48" s="387"/>
      <c r="G48" s="318"/>
      <c r="H48" s="200"/>
      <c r="I48" s="352"/>
      <c r="J48" s="1372"/>
      <c r="K48" s="222"/>
      <c r="L48" s="135"/>
      <c r="M48" s="200"/>
      <c r="N48" s="330"/>
      <c r="O48" s="352"/>
      <c r="P48" s="352"/>
      <c r="Q48" s="352"/>
    </row>
    <row r="49" spans="1:18" ht="12" customHeight="1" x14ac:dyDescent="0.2">
      <c r="A49" s="225"/>
      <c r="B49" s="380"/>
      <c r="C49" s="135"/>
      <c r="D49" s="287"/>
      <c r="E49" s="323"/>
      <c r="F49" s="380"/>
      <c r="G49" s="309"/>
      <c r="H49" s="200"/>
      <c r="I49" s="386"/>
      <c r="J49" s="1378"/>
      <c r="K49" s="222"/>
      <c r="L49" s="135"/>
      <c r="M49" s="200"/>
      <c r="N49" s="383"/>
      <c r="O49" s="386"/>
      <c r="P49" s="386"/>
      <c r="Q49" s="386"/>
    </row>
    <row r="50" spans="1:18" s="91" customFormat="1" x14ac:dyDescent="0.2">
      <c r="A50" s="259" t="s">
        <v>145</v>
      </c>
      <c r="B50" s="380"/>
      <c r="C50" s="135"/>
      <c r="D50" s="287"/>
      <c r="E50" s="323"/>
      <c r="F50" s="380"/>
      <c r="G50" s="309"/>
      <c r="H50" s="200"/>
      <c r="I50" s="386"/>
      <c r="J50" s="1378"/>
      <c r="K50" s="222"/>
      <c r="L50" s="135"/>
      <c r="M50" s="200"/>
      <c r="N50" s="383"/>
      <c r="O50" s="386"/>
      <c r="P50" s="386"/>
      <c r="Q50" s="386"/>
      <c r="R50"/>
    </row>
    <row r="51" spans="1:18" s="91" customFormat="1" x14ac:dyDescent="0.2">
      <c r="A51" s="1505" t="s">
        <v>118</v>
      </c>
      <c r="B51" s="380"/>
      <c r="C51" s="135"/>
      <c r="D51" s="287"/>
      <c r="E51" s="323"/>
      <c r="F51" s="380"/>
      <c r="G51" s="309"/>
      <c r="H51" s="254"/>
      <c r="I51" s="352"/>
      <c r="J51" s="1379"/>
      <c r="K51" s="222"/>
      <c r="L51" s="135"/>
      <c r="M51" s="200"/>
      <c r="N51" s="330"/>
      <c r="O51" s="352"/>
      <c r="P51" s="352"/>
      <c r="Q51" s="352"/>
      <c r="R51"/>
    </row>
    <row r="52" spans="1:18" s="91" customFormat="1" ht="13.5" x14ac:dyDescent="0.2">
      <c r="A52" s="215" t="s">
        <v>2406</v>
      </c>
      <c r="B52" s="1508">
        <v>3000</v>
      </c>
      <c r="C52" s="318" t="s">
        <v>168</v>
      </c>
      <c r="D52" s="644" t="s">
        <v>2156</v>
      </c>
      <c r="E52" s="390"/>
      <c r="F52" s="1508">
        <v>3000</v>
      </c>
      <c r="G52" s="318" t="s">
        <v>168</v>
      </c>
      <c r="H52" s="200" t="s">
        <v>2156</v>
      </c>
      <c r="I52" s="352"/>
      <c r="J52" s="1379"/>
      <c r="K52" s="222"/>
      <c r="L52" s="135"/>
      <c r="M52" s="295" t="s">
        <v>2407</v>
      </c>
      <c r="N52" s="330"/>
      <c r="O52" s="352"/>
      <c r="P52" s="352"/>
      <c r="Q52" s="352"/>
      <c r="R52"/>
    </row>
    <row r="53" spans="1:18" s="91" customFormat="1" x14ac:dyDescent="0.2">
      <c r="A53" s="275"/>
      <c r="B53" s="222"/>
      <c r="C53" s="193"/>
      <c r="D53" s="200"/>
      <c r="E53" s="352"/>
      <c r="F53" s="222"/>
      <c r="G53" s="193"/>
      <c r="H53" s="295"/>
      <c r="I53" s="352"/>
      <c r="J53" s="1379"/>
      <c r="K53" s="222"/>
      <c r="L53" s="135"/>
      <c r="M53" s="200"/>
      <c r="N53" s="330"/>
      <c r="O53" s="352"/>
      <c r="P53" s="352"/>
      <c r="Q53" s="352"/>
      <c r="R53"/>
    </row>
    <row r="54" spans="1:18" x14ac:dyDescent="0.2">
      <c r="A54" s="275"/>
      <c r="B54" s="222"/>
      <c r="C54" s="206"/>
      <c r="D54" s="200"/>
      <c r="E54" s="352"/>
      <c r="F54" s="222"/>
      <c r="G54" s="206"/>
      <c r="H54" s="314"/>
      <c r="I54" s="374"/>
      <c r="J54" s="1379"/>
      <c r="K54" s="222"/>
      <c r="L54" s="135"/>
      <c r="M54" s="200"/>
      <c r="N54" s="331"/>
      <c r="O54" s="374"/>
      <c r="P54" s="374"/>
      <c r="Q54" s="374"/>
    </row>
    <row r="55" spans="1:18" ht="13.5" customHeight="1" x14ac:dyDescent="0.2">
      <c r="A55" s="259" t="s">
        <v>2150</v>
      </c>
      <c r="B55" s="258"/>
      <c r="C55" s="257"/>
      <c r="D55" s="570"/>
      <c r="E55" s="374"/>
      <c r="F55" s="258"/>
      <c r="G55" s="257"/>
      <c r="H55" s="295"/>
      <c r="I55" s="352"/>
      <c r="J55" s="1379"/>
      <c r="K55" s="222"/>
      <c r="L55" s="135"/>
      <c r="M55" s="200"/>
      <c r="N55" s="330"/>
      <c r="O55" s="352"/>
      <c r="P55" s="352"/>
      <c r="Q55" s="352"/>
    </row>
    <row r="56" spans="1:18" x14ac:dyDescent="0.2">
      <c r="A56" s="1505" t="s">
        <v>119</v>
      </c>
      <c r="B56" s="368"/>
      <c r="C56" s="206"/>
      <c r="D56" s="200"/>
      <c r="E56" s="352"/>
      <c r="F56" s="368"/>
      <c r="G56" s="206"/>
      <c r="H56" s="137"/>
      <c r="I56" s="367"/>
      <c r="J56" s="1382"/>
      <c r="K56" s="222"/>
      <c r="L56" s="135"/>
      <c r="M56" s="200"/>
      <c r="N56" s="329"/>
      <c r="O56" s="367"/>
      <c r="P56" s="367"/>
      <c r="Q56" s="367"/>
    </row>
    <row r="57" spans="1:18" ht="13.5" x14ac:dyDescent="0.2">
      <c r="A57" s="761" t="s">
        <v>172</v>
      </c>
      <c r="B57" s="2334">
        <v>13842.047489048813</v>
      </c>
      <c r="C57" s="318" t="s">
        <v>207</v>
      </c>
      <c r="D57" s="137" t="s">
        <v>2229</v>
      </c>
      <c r="E57" s="326"/>
      <c r="F57" s="2334">
        <v>10409.417020730529</v>
      </c>
      <c r="G57" s="318" t="s">
        <v>207</v>
      </c>
      <c r="H57" s="137" t="s">
        <v>2229</v>
      </c>
      <c r="I57" s="367"/>
      <c r="J57" s="1382"/>
      <c r="K57" s="2334">
        <v>6984.6220274204734</v>
      </c>
      <c r="L57" s="318" t="s">
        <v>163</v>
      </c>
      <c r="M57" s="137" t="s">
        <v>2229</v>
      </c>
      <c r="N57" s="329"/>
      <c r="O57" s="367"/>
      <c r="P57" s="367"/>
      <c r="Q57" s="367"/>
    </row>
    <row r="58" spans="1:18" ht="13.5" x14ac:dyDescent="0.2">
      <c r="A58" s="226" t="s">
        <v>1222</v>
      </c>
      <c r="B58" s="1507">
        <v>957.69827793196589</v>
      </c>
      <c r="C58" s="318" t="s">
        <v>207</v>
      </c>
      <c r="D58" s="137" t="s">
        <v>2229</v>
      </c>
      <c r="E58" s="352"/>
      <c r="F58" s="1507">
        <v>720.20275634196423</v>
      </c>
      <c r="G58" s="318" t="s">
        <v>207</v>
      </c>
      <c r="H58" s="137" t="s">
        <v>2229</v>
      </c>
      <c r="I58" s="367"/>
      <c r="J58" s="1382"/>
      <c r="K58" s="1507">
        <v>483.24935259457942</v>
      </c>
      <c r="L58" s="318" t="s">
        <v>163</v>
      </c>
      <c r="M58" s="137" t="s">
        <v>2229</v>
      </c>
      <c r="N58" s="329"/>
      <c r="O58" s="367"/>
      <c r="P58" s="367"/>
      <c r="Q58" s="367"/>
    </row>
    <row r="59" spans="1:18" ht="13.5" x14ac:dyDescent="0.2">
      <c r="A59" s="226" t="s">
        <v>1223</v>
      </c>
      <c r="B59" s="1507">
        <v>2816.6119939900946</v>
      </c>
      <c r="C59" s="318" t="s">
        <v>207</v>
      </c>
      <c r="D59" s="137" t="s">
        <v>2229</v>
      </c>
      <c r="E59" s="1485"/>
      <c r="F59" s="1507">
        <v>2118.1323683674905</v>
      </c>
      <c r="G59" s="318" t="s">
        <v>207</v>
      </c>
      <c r="H59" s="137" t="s">
        <v>2229</v>
      </c>
      <c r="I59" s="367"/>
      <c r="J59" s="1382"/>
      <c r="K59" s="1507">
        <v>1421.2471234103375</v>
      </c>
      <c r="L59" s="318" t="s">
        <v>163</v>
      </c>
      <c r="M59" s="137" t="s">
        <v>2229</v>
      </c>
      <c r="N59" s="329"/>
      <c r="O59" s="367"/>
      <c r="P59" s="367"/>
      <c r="Q59" s="367"/>
    </row>
    <row r="60" spans="1:18" ht="13.5" x14ac:dyDescent="0.2">
      <c r="A60" s="226" t="s">
        <v>1224</v>
      </c>
      <c r="B60" s="1507">
        <v>3117.5730304934941</v>
      </c>
      <c r="C60" s="318" t="s">
        <v>207</v>
      </c>
      <c r="D60" s="137" t="s">
        <v>2229</v>
      </c>
      <c r="E60" s="1485"/>
      <c r="F60" s="1507">
        <v>2344.4593578127833</v>
      </c>
      <c r="G60" s="318" t="s">
        <v>207</v>
      </c>
      <c r="H60" s="137" t="s">
        <v>2229</v>
      </c>
      <c r="I60" s="367"/>
      <c r="J60" s="1382"/>
      <c r="K60" s="1507">
        <v>1573.1104287934493</v>
      </c>
      <c r="L60" s="318" t="s">
        <v>163</v>
      </c>
      <c r="M60" s="137" t="s">
        <v>2229</v>
      </c>
      <c r="N60" s="329"/>
      <c r="O60" s="367"/>
      <c r="P60" s="367"/>
      <c r="Q60" s="367"/>
    </row>
    <row r="61" spans="1:18" ht="13.5" x14ac:dyDescent="0.2">
      <c r="A61" s="226" t="s">
        <v>1225</v>
      </c>
      <c r="B61" s="1507">
        <v>2060.7337753355237</v>
      </c>
      <c r="C61" s="318" t="s">
        <v>207</v>
      </c>
      <c r="D61" s="137" t="s">
        <v>2229</v>
      </c>
      <c r="E61" s="326"/>
      <c r="F61" s="1507">
        <v>1549.7011734097098</v>
      </c>
      <c r="G61" s="318" t="s">
        <v>207</v>
      </c>
      <c r="H61" s="137" t="s">
        <v>2229</v>
      </c>
      <c r="I61" s="367"/>
      <c r="J61" s="1382"/>
      <c r="K61" s="1507">
        <v>1039.835077234439</v>
      </c>
      <c r="L61" s="318" t="s">
        <v>163</v>
      </c>
      <c r="M61" s="137" t="s">
        <v>2229</v>
      </c>
      <c r="N61" s="329"/>
      <c r="O61" s="367"/>
      <c r="P61" s="367"/>
      <c r="Q61" s="367"/>
    </row>
    <row r="62" spans="1:18" x14ac:dyDescent="0.2">
      <c r="A62" s="761"/>
      <c r="B62" s="142"/>
      <c r="C62" s="67"/>
      <c r="D62" s="346"/>
      <c r="E62" s="326"/>
      <c r="F62" s="142"/>
      <c r="G62" s="318"/>
      <c r="H62" s="137"/>
      <c r="I62" s="367"/>
      <c r="J62" s="1382"/>
      <c r="K62" s="222"/>
      <c r="L62" s="135"/>
      <c r="M62" s="200"/>
      <c r="N62" s="329"/>
      <c r="O62" s="367"/>
      <c r="P62" s="367"/>
      <c r="Q62" s="367"/>
    </row>
    <row r="63" spans="1:18" x14ac:dyDescent="0.2">
      <c r="A63" s="251" t="s">
        <v>1226</v>
      </c>
      <c r="B63" s="142"/>
      <c r="C63" s="67"/>
      <c r="D63" s="346"/>
      <c r="E63" s="326"/>
      <c r="F63" s="142"/>
      <c r="G63" s="200"/>
      <c r="H63" s="287"/>
      <c r="I63" s="367"/>
      <c r="J63" s="1383"/>
      <c r="K63" s="222"/>
      <c r="L63" s="135"/>
      <c r="M63" s="200"/>
      <c r="N63" s="329"/>
      <c r="O63" s="367"/>
      <c r="P63" s="367"/>
      <c r="Q63" s="367"/>
    </row>
    <row r="64" spans="1:18" x14ac:dyDescent="0.2">
      <c r="A64" s="1483" t="s">
        <v>119</v>
      </c>
      <c r="B64" s="142"/>
      <c r="C64" s="67"/>
      <c r="D64" s="346"/>
      <c r="E64" s="326"/>
      <c r="F64" s="142"/>
      <c r="G64" s="200"/>
      <c r="H64" s="287"/>
      <c r="I64" s="367"/>
      <c r="J64" s="1383"/>
      <c r="K64" s="222"/>
      <c r="L64" s="135"/>
      <c r="M64" s="200"/>
      <c r="N64" s="329"/>
      <c r="O64" s="367"/>
      <c r="P64" s="367"/>
      <c r="Q64" s="367"/>
    </row>
    <row r="65" spans="1:18" x14ac:dyDescent="0.2">
      <c r="A65" s="761" t="s">
        <v>1236</v>
      </c>
      <c r="B65" s="142"/>
      <c r="C65" s="67"/>
      <c r="D65" s="346"/>
      <c r="E65" s="326"/>
      <c r="F65" s="142"/>
      <c r="G65" s="200"/>
      <c r="H65" s="287"/>
      <c r="I65" s="367"/>
      <c r="J65" s="1383"/>
      <c r="K65" s="222"/>
      <c r="L65" s="135"/>
      <c r="M65" s="200"/>
      <c r="N65" s="329"/>
      <c r="O65" s="367"/>
      <c r="P65" s="367"/>
      <c r="Q65" s="367"/>
    </row>
    <row r="66" spans="1:18" ht="13.5" x14ac:dyDescent="0.2">
      <c r="A66" s="605" t="s">
        <v>1237</v>
      </c>
      <c r="B66" s="142">
        <v>4255.5087436022804</v>
      </c>
      <c r="C66" s="313" t="s">
        <v>190</v>
      </c>
      <c r="D66" s="137" t="s">
        <v>2230</v>
      </c>
      <c r="E66" s="326"/>
      <c r="F66" s="142">
        <v>4346.8990885977391</v>
      </c>
      <c r="G66" s="313" t="s">
        <v>190</v>
      </c>
      <c r="H66" s="137" t="s">
        <v>2230</v>
      </c>
      <c r="I66" s="367"/>
      <c r="J66" s="1383"/>
      <c r="K66" s="222"/>
      <c r="L66" s="135"/>
      <c r="M66" s="200"/>
      <c r="N66" s="329"/>
      <c r="O66" s="367"/>
      <c r="P66" s="367"/>
      <c r="Q66" s="367"/>
    </row>
    <row r="67" spans="1:18" x14ac:dyDescent="0.2">
      <c r="A67" s="571" t="s">
        <v>1241</v>
      </c>
      <c r="B67" s="1136">
        <v>0.98</v>
      </c>
      <c r="C67" s="313"/>
      <c r="D67" s="137" t="s">
        <v>2231</v>
      </c>
      <c r="E67" s="326"/>
      <c r="F67" s="1136">
        <v>0.98</v>
      </c>
      <c r="G67" s="313"/>
      <c r="H67" s="137" t="s">
        <v>2231</v>
      </c>
      <c r="I67" s="367"/>
      <c r="J67" s="1383"/>
      <c r="K67" s="222"/>
      <c r="L67" s="135"/>
      <c r="M67" s="200"/>
      <c r="N67" s="329"/>
      <c r="O67" s="367"/>
      <c r="P67" s="367"/>
      <c r="Q67" s="367"/>
    </row>
    <row r="68" spans="1:18" x14ac:dyDescent="0.2">
      <c r="A68" s="571" t="s">
        <v>1242</v>
      </c>
      <c r="B68" s="1137">
        <v>0.9</v>
      </c>
      <c r="C68" s="313"/>
      <c r="D68" s="137" t="s">
        <v>2231</v>
      </c>
      <c r="E68" s="326"/>
      <c r="F68" s="1137">
        <v>0.9</v>
      </c>
      <c r="G68" s="313"/>
      <c r="H68" s="137" t="s">
        <v>2231</v>
      </c>
      <c r="I68" s="367"/>
      <c r="J68" s="1383"/>
      <c r="K68" s="222"/>
      <c r="L68" s="135"/>
      <c r="M68" s="200"/>
      <c r="N68" s="329"/>
      <c r="O68" s="367"/>
      <c r="P68" s="367"/>
      <c r="Q68" s="367"/>
    </row>
    <row r="69" spans="1:18" x14ac:dyDescent="0.2">
      <c r="A69" s="571" t="s">
        <v>1249</v>
      </c>
      <c r="B69" s="1137">
        <v>0.1</v>
      </c>
      <c r="C69" s="313"/>
      <c r="D69" s="137" t="s">
        <v>2232</v>
      </c>
      <c r="E69" s="326"/>
      <c r="F69" s="1137">
        <v>0.1</v>
      </c>
      <c r="G69" s="313"/>
      <c r="H69" s="137" t="s">
        <v>2232</v>
      </c>
      <c r="I69" s="367"/>
      <c r="J69" s="1383"/>
      <c r="K69" s="222"/>
      <c r="L69" s="135"/>
      <c r="M69" s="200"/>
      <c r="N69" s="329"/>
      <c r="O69" s="367"/>
      <c r="P69" s="367"/>
      <c r="Q69" s="367"/>
    </row>
    <row r="70" spans="1:18" s="91" customFormat="1" x14ac:dyDescent="0.2">
      <c r="A70" s="605"/>
      <c r="B70" s="142"/>
      <c r="C70"/>
      <c r="D70" s="346"/>
      <c r="E70" s="326"/>
      <c r="F70" s="142"/>
      <c r="G70"/>
      <c r="H70" s="287"/>
      <c r="I70" s="367"/>
      <c r="J70" s="1383"/>
      <c r="K70" s="222"/>
      <c r="L70" s="135"/>
      <c r="M70" s="200"/>
      <c r="N70" s="329"/>
      <c r="O70" s="367"/>
      <c r="P70" s="367"/>
      <c r="Q70" s="367"/>
      <c r="R70"/>
    </row>
    <row r="71" spans="1:18" x14ac:dyDescent="0.2">
      <c r="A71" s="1504" t="s">
        <v>120</v>
      </c>
      <c r="B71" s="140"/>
      <c r="D71" s="2330"/>
      <c r="E71" s="322"/>
      <c r="F71" s="140"/>
      <c r="H71" s="2330"/>
      <c r="I71" s="367"/>
      <c r="J71" s="1384"/>
      <c r="K71" s="222"/>
      <c r="L71" s="135"/>
      <c r="M71" s="200"/>
      <c r="N71" s="329"/>
      <c r="O71" s="367"/>
      <c r="P71" s="367"/>
      <c r="Q71" s="367"/>
    </row>
    <row r="72" spans="1:18" x14ac:dyDescent="0.2">
      <c r="A72" s="157" t="s">
        <v>1238</v>
      </c>
      <c r="B72" s="1135">
        <f>B66*ft3TOL/minTOday</f>
        <v>173523870.54208672</v>
      </c>
      <c r="C72" t="s">
        <v>191</v>
      </c>
      <c r="D72" s="2330"/>
      <c r="E72" s="322"/>
      <c r="F72" s="1135">
        <f>F66*ft3TOL/minTOday</f>
        <v>177250430.00871456</v>
      </c>
      <c r="G72" t="s">
        <v>191</v>
      </c>
      <c r="H72" s="2330"/>
      <c r="I72" s="367"/>
      <c r="J72" s="1384"/>
      <c r="K72" s="222"/>
      <c r="L72" s="135"/>
      <c r="M72" s="200"/>
      <c r="N72" s="329"/>
      <c r="O72" s="367"/>
      <c r="P72" s="367"/>
      <c r="Q72" s="367"/>
    </row>
    <row r="73" spans="1:18" x14ac:dyDescent="0.2">
      <c r="A73" s="157" t="s">
        <v>1239</v>
      </c>
      <c r="B73" s="1135">
        <f>B72*densityCH4</f>
        <v>117734537.01717474</v>
      </c>
      <c r="C73" t="s">
        <v>192</v>
      </c>
      <c r="D73" s="2330"/>
      <c r="E73" s="322"/>
      <c r="F73" s="1135">
        <f>F72*densityCH4</f>
        <v>120262977.3527883</v>
      </c>
      <c r="G73" t="s">
        <v>192</v>
      </c>
      <c r="H73" s="2330"/>
      <c r="I73" s="367"/>
      <c r="J73" s="1384"/>
      <c r="K73" s="222"/>
      <c r="L73" s="135"/>
      <c r="M73" s="200"/>
      <c r="N73" s="329"/>
      <c r="O73" s="367"/>
      <c r="P73" s="367"/>
      <c r="Q73" s="367"/>
    </row>
    <row r="74" spans="1:18" x14ac:dyDescent="0.2">
      <c r="A74" t="s">
        <v>1240</v>
      </c>
      <c r="B74" s="364">
        <f>B73/(dayTOyr)/1000000</f>
        <v>43001.362300152898</v>
      </c>
      <c r="C74" s="205" t="s">
        <v>193</v>
      </c>
      <c r="D74" s="2330"/>
      <c r="E74" s="322"/>
      <c r="F74" s="364">
        <f>F73/(dayTOyr)/1000000</f>
        <v>43924.8498483324</v>
      </c>
      <c r="G74" s="205" t="s">
        <v>193</v>
      </c>
      <c r="H74" s="2330"/>
      <c r="I74" s="367"/>
      <c r="J74" s="1384"/>
      <c r="K74" s="222"/>
      <c r="L74" s="135"/>
      <c r="M74" s="200"/>
      <c r="N74" s="329"/>
      <c r="O74" s="367"/>
      <c r="P74" s="367"/>
      <c r="Q74" s="367"/>
    </row>
    <row r="75" spans="1:18" x14ac:dyDescent="0.2">
      <c r="A75" t="s">
        <v>1243</v>
      </c>
      <c r="B75" s="1135">
        <f>(1-B67)*B74</f>
        <v>860.02724600305874</v>
      </c>
      <c r="C75" s="205" t="s">
        <v>193</v>
      </c>
      <c r="D75" s="2330"/>
      <c r="E75" s="322"/>
      <c r="F75" s="1135">
        <f>(1-F67)*F74</f>
        <v>878.49699696664879</v>
      </c>
      <c r="G75" s="205" t="s">
        <v>193</v>
      </c>
      <c r="H75" s="2330"/>
      <c r="I75" s="367"/>
      <c r="J75" s="1384"/>
      <c r="K75" s="222"/>
      <c r="L75" s="135"/>
      <c r="M75" s="200"/>
      <c r="N75" s="329"/>
      <c r="O75" s="367"/>
      <c r="P75" s="367"/>
      <c r="Q75" s="367"/>
    </row>
    <row r="76" spans="1:18" x14ac:dyDescent="0.2">
      <c r="A76" t="s">
        <v>1244</v>
      </c>
      <c r="B76" s="1135">
        <f>(1-B69)*(B74/B68-B74)</f>
        <v>4300.1362300152923</v>
      </c>
      <c r="C76" s="205" t="s">
        <v>193</v>
      </c>
      <c r="D76" s="2330"/>
      <c r="E76" s="322"/>
      <c r="F76" s="1135">
        <f>(1-F69)*(F74/F68-F74)</f>
        <v>4392.4849848332369</v>
      </c>
      <c r="G76" s="205" t="s">
        <v>193</v>
      </c>
      <c r="H76" s="1138"/>
      <c r="I76" s="329"/>
      <c r="K76" s="222"/>
      <c r="L76" s="135"/>
      <c r="M76" s="644"/>
      <c r="N76" s="1127"/>
      <c r="O76" s="367"/>
      <c r="P76" s="367"/>
      <c r="Q76" s="367"/>
    </row>
    <row r="77" spans="1:18" x14ac:dyDescent="0.2">
      <c r="A77" t="s">
        <v>1245</v>
      </c>
      <c r="B77" s="1135">
        <f>SUM(B75:B76)</f>
        <v>5160.1634760183515</v>
      </c>
      <c r="C77" s="205" t="s">
        <v>193</v>
      </c>
      <c r="D77" s="2330"/>
      <c r="E77" s="322"/>
      <c r="F77" s="1135">
        <f>SUM(F75:F76)</f>
        <v>5270.9819817998859</v>
      </c>
      <c r="G77" s="205" t="s">
        <v>193</v>
      </c>
      <c r="H77" s="1138"/>
      <c r="I77" s="367"/>
      <c r="J77" s="1384"/>
      <c r="K77" s="1135">
        <f>715*7.48</f>
        <v>5348.2000000000007</v>
      </c>
      <c r="L77" s="205" t="s">
        <v>193</v>
      </c>
      <c r="M77" s="644" t="s">
        <v>2151</v>
      </c>
      <c r="N77" s="1127" t="s">
        <v>2152</v>
      </c>
      <c r="O77" s="367"/>
      <c r="P77" s="367"/>
      <c r="Q77" s="367"/>
    </row>
    <row r="78" spans="1:18" ht="13.5" x14ac:dyDescent="0.2">
      <c r="A78" s="91" t="s">
        <v>1246</v>
      </c>
      <c r="B78" s="1506">
        <f>B77*GWPCH4</f>
        <v>108363.43299638538</v>
      </c>
      <c r="C78" s="318" t="s">
        <v>168</v>
      </c>
      <c r="D78" s="2330"/>
      <c r="E78" s="322"/>
      <c r="F78" s="2337">
        <f>F77*GWPCH4</f>
        <v>110690.6216177976</v>
      </c>
      <c r="G78" s="318" t="s">
        <v>168</v>
      </c>
      <c r="H78" s="1138"/>
      <c r="I78" s="367"/>
      <c r="J78" s="1384"/>
      <c r="K78" s="2335">
        <f>K77*GWPCH4</f>
        <v>112312.20000000001</v>
      </c>
      <c r="L78" s="318" t="s">
        <v>168</v>
      </c>
      <c r="M78" s="135"/>
      <c r="N78" s="329"/>
      <c r="O78" s="367"/>
      <c r="P78" s="367"/>
      <c r="Q78" s="367"/>
    </row>
    <row r="79" spans="1:18" x14ac:dyDescent="0.2">
      <c r="B79" s="140"/>
      <c r="D79" s="2330"/>
      <c r="E79" s="322"/>
      <c r="F79" s="140"/>
      <c r="G79" s="205"/>
      <c r="H79" s="2330"/>
      <c r="I79" s="367"/>
      <c r="J79" s="1384"/>
      <c r="K79" s="222"/>
      <c r="L79" s="135"/>
      <c r="M79" s="135"/>
      <c r="N79" s="329"/>
      <c r="O79" s="367"/>
      <c r="P79" s="367"/>
      <c r="Q79" s="367"/>
    </row>
    <row r="80" spans="1:18" x14ac:dyDescent="0.2">
      <c r="A80" t="s">
        <v>2153</v>
      </c>
      <c r="B80" s="140"/>
      <c r="D80" s="2330"/>
      <c r="E80" s="322"/>
      <c r="F80" s="140"/>
      <c r="G80" s="205"/>
      <c r="H80" s="2503"/>
      <c r="I80" s="367"/>
      <c r="J80" s="1384"/>
      <c r="K80" s="2336">
        <v>0.29799999999999999</v>
      </c>
      <c r="L80" s="205" t="s">
        <v>193</v>
      </c>
      <c r="M80" s="2524"/>
      <c r="N80" s="329"/>
      <c r="O80" s="367"/>
      <c r="P80" s="367"/>
      <c r="Q80" s="367"/>
    </row>
    <row r="81" spans="1:18" ht="13.5" x14ac:dyDescent="0.2">
      <c r="A81" t="s">
        <v>2154</v>
      </c>
      <c r="B81" s="140"/>
      <c r="D81" s="2330"/>
      <c r="E81" s="322"/>
      <c r="F81" s="140"/>
      <c r="G81" s="205"/>
      <c r="H81" s="2330"/>
      <c r="I81" s="367"/>
      <c r="J81" s="1384"/>
      <c r="K81" s="2335">
        <f>K80*GWPN2O</f>
        <v>92.38</v>
      </c>
      <c r="L81" s="318" t="s">
        <v>168</v>
      </c>
      <c r="M81" s="135"/>
      <c r="N81" s="329"/>
      <c r="O81" s="367"/>
      <c r="P81" s="367"/>
      <c r="Q81" s="367"/>
    </row>
    <row r="82" spans="1:18" x14ac:dyDescent="0.2">
      <c r="A82" t="s">
        <v>2155</v>
      </c>
      <c r="B82" s="140"/>
      <c r="D82" s="2330"/>
      <c r="E82" s="322"/>
      <c r="F82" s="140"/>
      <c r="G82" s="205"/>
      <c r="H82" s="2330"/>
      <c r="I82" s="367"/>
      <c r="J82" s="1384"/>
      <c r="K82" s="2337">
        <f>K81+K78</f>
        <v>112404.58000000002</v>
      </c>
      <c r="L82" s="318"/>
      <c r="M82" s="135"/>
      <c r="N82" s="329"/>
      <c r="O82" s="367"/>
      <c r="P82" s="367"/>
      <c r="Q82" s="367"/>
    </row>
    <row r="83" spans="1:18" x14ac:dyDescent="0.2">
      <c r="B83" s="140"/>
      <c r="D83" s="2423"/>
      <c r="E83" s="322"/>
      <c r="F83" s="140"/>
      <c r="G83" s="205"/>
      <c r="H83" s="2423"/>
      <c r="I83" s="367"/>
      <c r="J83" s="1384"/>
      <c r="K83" s="2432"/>
      <c r="L83" s="318"/>
      <c r="M83" s="135"/>
      <c r="N83" s="329"/>
      <c r="O83" s="367"/>
      <c r="P83" s="367"/>
      <c r="Q83" s="367"/>
    </row>
    <row r="84" spans="1:18" x14ac:dyDescent="0.2">
      <c r="A84" t="s">
        <v>2308</v>
      </c>
      <c r="B84" s="140"/>
      <c r="D84" s="2423"/>
      <c r="E84" s="322"/>
      <c r="F84" s="140"/>
      <c r="G84" s="205"/>
      <c r="H84" s="2423"/>
      <c r="I84" s="367"/>
      <c r="J84" s="1384"/>
      <c r="K84" s="2504">
        <v>2425.2979999999998</v>
      </c>
      <c r="L84" s="318"/>
      <c r="M84" s="135" t="s">
        <v>2057</v>
      </c>
      <c r="N84" s="329"/>
      <c r="O84" s="367"/>
      <c r="P84" s="367"/>
      <c r="Q84" s="367"/>
    </row>
    <row r="85" spans="1:18" x14ac:dyDescent="0.2">
      <c r="B85" s="140"/>
      <c r="D85" s="2423"/>
      <c r="E85" s="322"/>
      <c r="F85" s="140"/>
      <c r="G85" s="205"/>
      <c r="H85" s="2423"/>
      <c r="I85" s="367"/>
      <c r="J85" s="1384"/>
      <c r="K85" s="2432"/>
      <c r="L85" s="318"/>
      <c r="M85" s="135"/>
      <c r="N85" s="329"/>
      <c r="O85" s="367"/>
      <c r="P85" s="367"/>
      <c r="Q85" s="367"/>
    </row>
    <row r="86" spans="1:18" x14ac:dyDescent="0.2">
      <c r="B86" s="140"/>
      <c r="D86" s="2423"/>
      <c r="E86" s="322"/>
      <c r="F86" s="140"/>
      <c r="G86" s="205"/>
      <c r="H86" s="2423"/>
      <c r="I86" s="367"/>
      <c r="J86" s="1384"/>
      <c r="K86" s="2432"/>
      <c r="L86" s="318"/>
      <c r="M86" s="135"/>
      <c r="N86" s="329"/>
      <c r="O86" s="367"/>
      <c r="P86" s="367"/>
      <c r="Q86" s="367"/>
    </row>
    <row r="87" spans="1:18" x14ac:dyDescent="0.2">
      <c r="B87" s="140"/>
      <c r="D87" s="2330"/>
      <c r="E87" s="322"/>
      <c r="F87" s="140"/>
      <c r="H87" s="2330"/>
      <c r="I87" s="367"/>
      <c r="J87" s="1384"/>
      <c r="K87" s="140"/>
      <c r="M87" s="2330"/>
      <c r="N87" s="329"/>
      <c r="O87" s="367"/>
      <c r="P87" s="367"/>
      <c r="Q87" s="367"/>
    </row>
    <row r="88" spans="1:18" ht="13.5" x14ac:dyDescent="0.2">
      <c r="A88" s="1503" t="s">
        <v>21</v>
      </c>
      <c r="B88" s="1510">
        <f>SUM(B14,B23,B32,B46,B52,B57:B61,B78)</f>
        <v>202367.39394800738</v>
      </c>
      <c r="C88" s="1511" t="s">
        <v>207</v>
      </c>
      <c r="D88" s="1512"/>
      <c r="E88" s="1513"/>
      <c r="F88" s="1510">
        <f>SUM(F14,F23,F32,F46,F52,F57:F61,F78)</f>
        <v>169832.53429446009</v>
      </c>
      <c r="G88" s="1511" t="s">
        <v>207</v>
      </c>
      <c r="H88" s="1512"/>
      <c r="I88" s="1514"/>
      <c r="J88" s="1514"/>
      <c r="K88" s="1510">
        <f>SUM(K14,K23,K32,K46,K52,K57:K61,K78)</f>
        <v>137862.61099732964</v>
      </c>
      <c r="L88" s="1511" t="s">
        <v>207</v>
      </c>
      <c r="M88" s="1512"/>
      <c r="N88" s="1514"/>
      <c r="O88" s="367"/>
      <c r="P88" s="367"/>
      <c r="Q88" s="367"/>
      <c r="R88" s="412"/>
    </row>
    <row r="89" spans="1:18" x14ac:dyDescent="0.2">
      <c r="A89" s="631"/>
      <c r="B89" s="790"/>
      <c r="C89" s="865"/>
      <c r="D89" s="346"/>
      <c r="E89" s="326"/>
      <c r="F89" s="790"/>
      <c r="G89" s="865"/>
      <c r="H89" s="344"/>
      <c r="I89" s="329"/>
      <c r="J89" s="327"/>
      <c r="K89" s="790"/>
      <c r="L89" s="865"/>
      <c r="M89" s="344"/>
      <c r="N89" s="329"/>
      <c r="O89" s="367"/>
      <c r="P89" s="367"/>
      <c r="Q89" s="367"/>
    </row>
  </sheetData>
  <customSheetViews>
    <customSheetView guid="{9BEC6399-AE85-4D88-8FBA-3674E2F30307}">
      <selection activeCell="J86" sqref="D86:J86"/>
      <pageMargins left="0.7" right="0.7" top="0.75" bottom="0.75" header="0.3" footer="0.3"/>
    </customSheetView>
    <customSheetView guid="{0347A67A-6027-4907-965C-6EA2A8295536}">
      <selection activeCell="I10" sqref="I10"/>
      <pageMargins left="0.7" right="0.7" top="0.75" bottom="0.75" header="0.3" footer="0.3"/>
    </customSheetView>
    <customSheetView guid="{15CC7F3D-99AB-49C1-AC00-E04D3FE3FBC1}">
      <selection activeCell="K82" sqref="K82"/>
      <pageMargins left="0.7" right="0.7" top="0.75" bottom="0.75" header="0.3" footer="0.3"/>
      <pageSetup orientation="portrait" horizontalDpi="1200" verticalDpi="1200" r:id="rId1"/>
    </customSheetView>
  </customSheetViews>
  <phoneticPr fontId="30" type="noConversion"/>
  <pageMargins left="0.7" right="0.7" top="0.75" bottom="0.75" header="0.3" footer="0.3"/>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sheetPr>
  <dimension ref="A1:AD138"/>
  <sheetViews>
    <sheetView workbookViewId="0">
      <selection activeCell="J33" sqref="J33"/>
    </sheetView>
  </sheetViews>
  <sheetFormatPr defaultColWidth="8.85546875" defaultRowHeight="12" x14ac:dyDescent="0.2"/>
  <cols>
    <col min="1" max="1" width="32" style="1" customWidth="1"/>
    <col min="2" max="2" width="13.28515625" style="5" customWidth="1"/>
    <col min="3" max="3" width="9.42578125" customWidth="1"/>
    <col min="4" max="4" width="6.7109375" style="5" bestFit="1" customWidth="1"/>
    <col min="5" max="5" width="9.42578125" style="2077" customWidth="1"/>
    <col min="6" max="6" width="12.140625" style="2091" bestFit="1" customWidth="1"/>
    <col min="7" max="8" width="9.42578125" style="2077" customWidth="1"/>
    <col min="9" max="9" width="9.42578125" style="327" customWidth="1"/>
    <col min="10" max="10" width="14.42578125" customWidth="1"/>
    <col min="11" max="11" width="9.42578125" customWidth="1"/>
    <col min="12" max="12" width="14.85546875" bestFit="1" customWidth="1"/>
    <col min="13" max="13" width="9.42578125" style="325" customWidth="1"/>
    <col min="14" max="14" width="12.140625" style="322" bestFit="1" customWidth="1"/>
    <col min="15" max="16" width="9.42578125" style="322" customWidth="1"/>
    <col min="17" max="17" width="9.42578125" style="325" customWidth="1"/>
    <col min="18" max="18" width="15.7109375" style="423" bestFit="1" customWidth="1"/>
    <col min="19" max="20" width="9.42578125" style="423" customWidth="1"/>
    <col min="21" max="21" width="16.28515625" style="621" customWidth="1"/>
    <col min="22" max="22" width="14.7109375" customWidth="1"/>
    <col min="23" max="23" width="9.42578125" customWidth="1"/>
    <col min="24" max="24" width="14.85546875" bestFit="1" customWidth="1"/>
    <col min="25" max="25" width="23.28515625" style="325" bestFit="1" customWidth="1"/>
    <col min="26" max="26" width="82.5703125" style="1734" bestFit="1" customWidth="1"/>
  </cols>
  <sheetData>
    <row r="1" spans="1:30" x14ac:dyDescent="0.2">
      <c r="A1" s="119" t="s">
        <v>1653</v>
      </c>
      <c r="B1" s="2561" t="s">
        <v>857</v>
      </c>
      <c r="C1" s="2562"/>
      <c r="D1" s="2562"/>
      <c r="E1" s="2562"/>
      <c r="F1" s="2562"/>
      <c r="G1" s="2562"/>
      <c r="H1" s="2562"/>
      <c r="I1" s="2565"/>
      <c r="J1" s="2561" t="s">
        <v>205</v>
      </c>
      <c r="K1" s="2562"/>
      <c r="L1" s="2562"/>
      <c r="M1" s="2562"/>
      <c r="N1" s="2562"/>
      <c r="O1" s="2562"/>
      <c r="P1" s="2562"/>
      <c r="Q1" s="2562"/>
      <c r="R1" s="2566">
        <v>2015</v>
      </c>
      <c r="S1" s="2566"/>
      <c r="T1" s="2566"/>
      <c r="U1" s="2566"/>
      <c r="V1" s="2566"/>
      <c r="W1" s="2566"/>
      <c r="X1" s="2566"/>
      <c r="Y1" s="2545"/>
      <c r="Z1" s="1724"/>
      <c r="AA1" s="65" t="s">
        <v>1542</v>
      </c>
    </row>
    <row r="2" spans="1:30" x14ac:dyDescent="0.2">
      <c r="A2" s="119"/>
      <c r="B2" s="2544" t="s">
        <v>1654</v>
      </c>
      <c r="C2" s="2544"/>
      <c r="D2" s="2544"/>
      <c r="E2" s="2544"/>
      <c r="F2" s="2561" t="s">
        <v>1655</v>
      </c>
      <c r="G2" s="2562"/>
      <c r="H2" s="2562"/>
      <c r="I2" s="2062"/>
      <c r="J2" s="2544" t="s">
        <v>1654</v>
      </c>
      <c r="K2" s="2544"/>
      <c r="L2" s="2544"/>
      <c r="M2" s="2544"/>
      <c r="N2" s="2562" t="s">
        <v>1655</v>
      </c>
      <c r="O2" s="2562"/>
      <c r="P2" s="2562"/>
      <c r="Q2" s="2019"/>
      <c r="R2" s="2544" t="s">
        <v>1654</v>
      </c>
      <c r="S2" s="2544"/>
      <c r="T2" s="2544"/>
      <c r="U2" s="2544"/>
      <c r="V2" s="2562" t="s">
        <v>1655</v>
      </c>
      <c r="W2" s="2562"/>
      <c r="X2" s="2562"/>
      <c r="Y2" s="1715"/>
      <c r="Z2" s="1724"/>
      <c r="AA2" s="65"/>
    </row>
    <row r="3" spans="1:30" x14ac:dyDescent="0.2">
      <c r="A3" s="114" t="s">
        <v>604</v>
      </c>
      <c r="B3" s="209" t="s">
        <v>602</v>
      </c>
      <c r="C3" s="1713" t="s">
        <v>601</v>
      </c>
      <c r="D3" s="1713" t="s">
        <v>603</v>
      </c>
      <c r="E3" s="2059" t="s">
        <v>420</v>
      </c>
      <c r="F3" s="2061" t="s">
        <v>602</v>
      </c>
      <c r="G3" s="2059" t="s">
        <v>601</v>
      </c>
      <c r="H3" s="2059" t="s">
        <v>603</v>
      </c>
      <c r="I3" s="2060" t="s">
        <v>420</v>
      </c>
      <c r="J3" s="209" t="s">
        <v>602</v>
      </c>
      <c r="K3" s="1713" t="s">
        <v>601</v>
      </c>
      <c r="L3" s="1713" t="s">
        <v>603</v>
      </c>
      <c r="M3" s="1714" t="s">
        <v>420</v>
      </c>
      <c r="N3" s="209" t="s">
        <v>602</v>
      </c>
      <c r="O3" s="2016" t="s">
        <v>601</v>
      </c>
      <c r="P3" s="2016" t="s">
        <v>603</v>
      </c>
      <c r="Q3" s="2017" t="s">
        <v>420</v>
      </c>
      <c r="R3" s="209" t="s">
        <v>602</v>
      </c>
      <c r="S3" s="1995" t="s">
        <v>601</v>
      </c>
      <c r="T3" s="1713" t="s">
        <v>603</v>
      </c>
      <c r="U3" s="1714" t="s">
        <v>600</v>
      </c>
      <c r="V3" s="209" t="s">
        <v>602</v>
      </c>
      <c r="W3" s="1713" t="s">
        <v>601</v>
      </c>
      <c r="X3" s="1713" t="s">
        <v>603</v>
      </c>
      <c r="Y3" s="1714" t="s">
        <v>420</v>
      </c>
      <c r="Z3" s="1368" t="s">
        <v>1656</v>
      </c>
      <c r="AA3" s="214" t="s">
        <v>1539</v>
      </c>
      <c r="AB3" s="695" t="s">
        <v>1540</v>
      </c>
      <c r="AC3" s="1493" t="s">
        <v>1541</v>
      </c>
      <c r="AD3" s="481">
        <v>60</v>
      </c>
    </row>
    <row r="4" spans="1:30" x14ac:dyDescent="0.2">
      <c r="A4" s="1467" t="s">
        <v>1538</v>
      </c>
      <c r="B4" s="1468"/>
      <c r="C4" s="1468"/>
      <c r="D4" s="1468"/>
      <c r="E4" s="1500"/>
      <c r="F4" s="2078"/>
      <c r="G4" s="1500"/>
      <c r="H4" s="1500"/>
      <c r="I4" s="1470"/>
      <c r="J4" s="1468"/>
      <c r="K4" s="1468"/>
      <c r="L4" s="1468"/>
      <c r="M4" s="1477"/>
      <c r="N4" s="1484"/>
      <c r="O4" s="1484"/>
      <c r="P4" s="1484"/>
      <c r="Q4" s="1477"/>
      <c r="R4" s="1484"/>
      <c r="S4" s="1484"/>
      <c r="T4" s="1484"/>
      <c r="U4" s="1477"/>
      <c r="V4" s="1468"/>
      <c r="W4" s="1468"/>
      <c r="X4" s="1468"/>
      <c r="Y4" s="1477"/>
      <c r="Z4" s="1725"/>
      <c r="AA4" s="1484"/>
      <c r="AB4" s="1484"/>
      <c r="AC4" s="1484"/>
      <c r="AD4" s="1484"/>
    </row>
    <row r="5" spans="1:30" x14ac:dyDescent="0.2">
      <c r="A5" s="260"/>
      <c r="B5" s="261"/>
      <c r="C5" s="261"/>
      <c r="D5" s="261"/>
      <c r="E5" s="2065"/>
      <c r="F5" s="2067"/>
      <c r="G5" s="2065"/>
      <c r="H5" s="2065"/>
      <c r="I5" s="339"/>
      <c r="J5" s="261"/>
      <c r="K5" s="261"/>
      <c r="L5" s="261"/>
      <c r="M5" s="1126"/>
      <c r="N5" s="2028"/>
      <c r="O5" s="2028"/>
      <c r="P5" s="2028"/>
      <c r="Q5" s="1126"/>
      <c r="R5" s="487"/>
      <c r="S5" s="487"/>
      <c r="T5" s="487"/>
      <c r="U5" s="589"/>
      <c r="V5" s="1769"/>
      <c r="W5" s="1769"/>
      <c r="X5" s="1769"/>
      <c r="Y5" s="1770"/>
      <c r="Z5" s="1726"/>
    </row>
    <row r="6" spans="1:30" s="91" customFormat="1" x14ac:dyDescent="0.2">
      <c r="A6" s="260" t="s">
        <v>1657</v>
      </c>
      <c r="B6" s="2096">
        <f>F11/F12</f>
        <v>124.82694564634814</v>
      </c>
      <c r="C6" s="1769" t="s">
        <v>1658</v>
      </c>
      <c r="D6" s="1769"/>
      <c r="E6" s="589"/>
      <c r="F6" s="1769"/>
      <c r="G6" s="1769"/>
      <c r="H6" s="261"/>
      <c r="I6" s="260"/>
      <c r="J6" s="1823">
        <f>N11/N12</f>
        <v>105.00686135938932</v>
      </c>
      <c r="K6" s="1769" t="s">
        <v>1658</v>
      </c>
      <c r="L6" s="1769"/>
      <c r="M6" s="589"/>
      <c r="N6" s="1769"/>
      <c r="O6" s="1769"/>
      <c r="Q6" s="260"/>
      <c r="R6" s="1823">
        <f>V11/V12</f>
        <v>100.92307692307692</v>
      </c>
      <c r="S6" s="1769" t="s">
        <v>1658</v>
      </c>
      <c r="T6" s="1769"/>
      <c r="U6" s="589"/>
      <c r="V6" s="1769"/>
      <c r="W6" s="1769"/>
      <c r="Y6" s="1741"/>
      <c r="Z6" s="1727"/>
    </row>
    <row r="7" spans="1:30" s="91" customFormat="1" x14ac:dyDescent="0.2">
      <c r="A7" s="1741" t="s">
        <v>1829</v>
      </c>
      <c r="B7" s="487"/>
      <c r="C7" s="487"/>
      <c r="D7" s="487"/>
      <c r="E7" s="1803"/>
      <c r="F7" s="1819">
        <v>0.67</v>
      </c>
      <c r="G7" s="1769"/>
      <c r="H7" s="487"/>
      <c r="I7" s="1741" t="s">
        <v>2040</v>
      </c>
      <c r="J7" s="487"/>
      <c r="K7" s="487"/>
      <c r="L7" s="487"/>
      <c r="M7" s="1803"/>
      <c r="N7" s="1819">
        <v>0.67</v>
      </c>
      <c r="O7" s="1769"/>
      <c r="P7" s="487"/>
      <c r="Q7" s="1741" t="s">
        <v>2040</v>
      </c>
      <c r="R7" s="487"/>
      <c r="S7" s="487"/>
      <c r="T7" s="487"/>
      <c r="U7" s="1803"/>
      <c r="V7" s="1819">
        <v>0.67</v>
      </c>
      <c r="X7" s="487" t="s">
        <v>2039</v>
      </c>
      <c r="Y7" s="1741"/>
      <c r="Z7" s="1727"/>
    </row>
    <row r="8" spans="1:30" s="91" customFormat="1" x14ac:dyDescent="0.2">
      <c r="A8" s="1741" t="s">
        <v>1830</v>
      </c>
      <c r="B8" s="487"/>
      <c r="C8" s="487"/>
      <c r="D8" s="487"/>
      <c r="E8" s="1803"/>
      <c r="F8" s="1819">
        <v>0.33</v>
      </c>
      <c r="G8" s="1769"/>
      <c r="H8" s="487"/>
      <c r="I8" s="1741" t="s">
        <v>2040</v>
      </c>
      <c r="J8" s="487"/>
      <c r="K8" s="487"/>
      <c r="L8" s="487"/>
      <c r="M8" s="1803"/>
      <c r="N8" s="1819">
        <v>0.33</v>
      </c>
      <c r="O8" s="1769"/>
      <c r="P8" s="487"/>
      <c r="Q8" s="1741" t="s">
        <v>2040</v>
      </c>
      <c r="R8" s="487"/>
      <c r="S8" s="487"/>
      <c r="T8" s="487"/>
      <c r="U8" s="1803"/>
      <c r="V8" s="1819">
        <v>0.33</v>
      </c>
      <c r="X8" s="487" t="s">
        <v>2038</v>
      </c>
      <c r="Y8" s="1741"/>
      <c r="Z8" s="1727"/>
    </row>
    <row r="9" spans="1:30" s="91" customFormat="1" x14ac:dyDescent="0.2">
      <c r="A9" s="1741" t="s">
        <v>1992</v>
      </c>
      <c r="B9" s="487"/>
      <c r="C9" s="487"/>
      <c r="D9" s="487"/>
      <c r="E9" s="1803"/>
      <c r="F9" s="2093">
        <f>F11*F7*10^-6</f>
        <v>93.73299999999999</v>
      </c>
      <c r="G9" s="487" t="s">
        <v>1943</v>
      </c>
      <c r="H9" s="487"/>
      <c r="I9" s="1741" t="s">
        <v>2040</v>
      </c>
      <c r="J9" s="487"/>
      <c r="K9" s="487"/>
      <c r="L9" s="487"/>
      <c r="M9" s="1803"/>
      <c r="N9" s="2093">
        <f>N11*N7*10^-6</f>
        <v>83.950999999999993</v>
      </c>
      <c r="O9" s="487" t="s">
        <v>1943</v>
      </c>
      <c r="P9" s="487"/>
      <c r="Q9" s="1741" t="s">
        <v>2040</v>
      </c>
      <c r="R9" s="487"/>
      <c r="S9" s="487"/>
      <c r="T9" s="487"/>
      <c r="U9" s="1803"/>
      <c r="V9" s="2093">
        <f>V11*V7*10^-6</f>
        <v>87.903999999999996</v>
      </c>
      <c r="W9" s="487" t="s">
        <v>1943</v>
      </c>
      <c r="X9" s="487"/>
      <c r="Y9" s="1803"/>
      <c r="Z9" s="1727"/>
    </row>
    <row r="10" spans="1:30" s="91" customFormat="1" x14ac:dyDescent="0.2">
      <c r="A10" s="1741" t="s">
        <v>1993</v>
      </c>
      <c r="B10" s="487"/>
      <c r="C10" s="487"/>
      <c r="D10" s="487"/>
      <c r="E10" s="1803"/>
      <c r="F10" s="2093">
        <f>F11*F8*10^-6</f>
        <v>46.166999999999994</v>
      </c>
      <c r="G10" s="487" t="s">
        <v>1943</v>
      </c>
      <c r="H10" s="487"/>
      <c r="I10" s="1741" t="s">
        <v>2040</v>
      </c>
      <c r="J10" s="487"/>
      <c r="K10" s="487"/>
      <c r="L10" s="487"/>
      <c r="M10" s="1803"/>
      <c r="N10" s="2093">
        <f>N11*N8*10^-6</f>
        <v>41.348999999999997</v>
      </c>
      <c r="O10" s="487" t="s">
        <v>1943</v>
      </c>
      <c r="P10" s="487"/>
      <c r="Q10" s="1741" t="s">
        <v>2040</v>
      </c>
      <c r="R10" s="487"/>
      <c r="S10" s="487"/>
      <c r="T10" s="487"/>
      <c r="U10" s="1803"/>
      <c r="V10" s="2093">
        <f>V11*V8*10^-6</f>
        <v>43.295999999999999</v>
      </c>
      <c r="W10" s="487" t="s">
        <v>1943</v>
      </c>
      <c r="X10" s="487"/>
      <c r="Y10" s="1803"/>
      <c r="Z10" s="1727"/>
    </row>
    <row r="11" spans="1:30" s="91" customFormat="1" x14ac:dyDescent="0.2">
      <c r="A11" s="1741" t="s">
        <v>1832</v>
      </c>
      <c r="B11" s="487"/>
      <c r="C11" s="487"/>
      <c r="D11" s="487"/>
      <c r="E11" s="589"/>
      <c r="F11" s="2430">
        <v>139900000</v>
      </c>
      <c r="G11" s="1769" t="s">
        <v>1833</v>
      </c>
      <c r="H11" s="1769" t="s">
        <v>2329</v>
      </c>
      <c r="I11" s="1741" t="s">
        <v>2415</v>
      </c>
      <c r="J11" s="487"/>
      <c r="K11" s="487"/>
      <c r="L11" s="487"/>
      <c r="M11" s="589"/>
      <c r="N11" s="2431">
        <v>125300000</v>
      </c>
      <c r="O11" s="1769" t="s">
        <v>1833</v>
      </c>
      <c r="P11" s="1769" t="s">
        <v>2329</v>
      </c>
      <c r="Q11" s="1741" t="s">
        <v>2415</v>
      </c>
      <c r="R11" s="487"/>
      <c r="S11" s="487"/>
      <c r="T11" s="487"/>
      <c r="U11" s="589"/>
      <c r="V11" s="2430">
        <v>131200000</v>
      </c>
      <c r="W11" s="1769" t="s">
        <v>1833</v>
      </c>
      <c r="X11" s="1769" t="s">
        <v>2329</v>
      </c>
      <c r="Y11" s="1741" t="s">
        <v>2330</v>
      </c>
      <c r="Z11" s="1728"/>
    </row>
    <row r="12" spans="1:30" s="91" customFormat="1" x14ac:dyDescent="0.2">
      <c r="A12" s="1741" t="s">
        <v>1831</v>
      </c>
      <c r="B12" s="2093"/>
      <c r="C12" s="487"/>
      <c r="D12" s="487"/>
      <c r="E12" s="589"/>
      <c r="F12" s="2030">
        <f>V12*B13</f>
        <v>1120751.6075604053</v>
      </c>
      <c r="G12" s="1769" t="s">
        <v>1757</v>
      </c>
      <c r="H12" s="1769"/>
      <c r="I12" s="1741" t="s">
        <v>2040</v>
      </c>
      <c r="J12" s="2092"/>
      <c r="K12" s="487"/>
      <c r="L12" s="487"/>
      <c r="M12" s="589"/>
      <c r="N12" s="2030">
        <f>V12*J13</f>
        <v>1193255.3585346844</v>
      </c>
      <c r="O12" s="1769" t="s">
        <v>1757</v>
      </c>
      <c r="P12" s="1769"/>
      <c r="Q12" s="1741" t="s">
        <v>2040</v>
      </c>
      <c r="R12" s="487"/>
      <c r="S12" s="487"/>
      <c r="T12" s="487"/>
      <c r="U12" s="589"/>
      <c r="V12" s="2030">
        <v>1300000</v>
      </c>
      <c r="W12" s="1769" t="s">
        <v>1757</v>
      </c>
      <c r="X12" s="1769" t="s">
        <v>2328</v>
      </c>
      <c r="Y12" s="1741"/>
      <c r="Z12" s="1728"/>
    </row>
    <row r="13" spans="1:30" s="91" customFormat="1" x14ac:dyDescent="0.2">
      <c r="A13" s="1741" t="s">
        <v>2006</v>
      </c>
      <c r="B13" s="1732">
        <f>popKC03/popKC15</f>
        <v>0.86211662120031174</v>
      </c>
      <c r="C13" s="487"/>
      <c r="D13" s="487"/>
      <c r="E13" s="589"/>
      <c r="F13" s="2030"/>
      <c r="G13" s="1769"/>
      <c r="H13" s="261"/>
      <c r="I13" s="260"/>
      <c r="J13" s="1732">
        <f>popKC08/popKC15</f>
        <v>0.9178887373343726</v>
      </c>
      <c r="K13" s="487"/>
      <c r="L13" s="487"/>
      <c r="M13" s="589"/>
      <c r="N13" s="2030"/>
      <c r="O13" s="1769"/>
      <c r="P13" s="1769"/>
      <c r="Q13" s="260"/>
      <c r="R13" s="1733">
        <v>1</v>
      </c>
      <c r="S13" s="487"/>
      <c r="T13" s="487"/>
      <c r="U13" s="589"/>
      <c r="V13" s="2030"/>
      <c r="W13" s="1769"/>
      <c r="X13" s="1769"/>
      <c r="Y13" s="1741"/>
      <c r="Z13" s="1728"/>
    </row>
    <row r="14" spans="1:30" s="91" customFormat="1" x14ac:dyDescent="0.2">
      <c r="A14" s="260"/>
      <c r="B14" s="487"/>
      <c r="C14" s="487"/>
      <c r="D14" s="487"/>
      <c r="E14" s="589"/>
      <c r="F14" s="1769"/>
      <c r="G14" s="1769"/>
      <c r="H14" s="261"/>
      <c r="I14" s="260"/>
      <c r="J14" s="487"/>
      <c r="K14" s="487"/>
      <c r="L14" s="487"/>
      <c r="M14" s="589"/>
      <c r="N14" s="1769"/>
      <c r="O14" s="1769"/>
      <c r="P14" s="1769"/>
      <c r="Q14" s="260"/>
      <c r="R14" s="487"/>
      <c r="S14" s="487"/>
      <c r="T14" s="487"/>
      <c r="U14" s="589"/>
      <c r="V14" s="1769"/>
      <c r="W14" s="1769"/>
      <c r="X14" s="1769"/>
      <c r="Y14" s="1741"/>
      <c r="Z14" s="1728"/>
    </row>
    <row r="15" spans="1:30" s="91" customFormat="1" x14ac:dyDescent="0.2">
      <c r="A15" s="1479" t="s">
        <v>1543</v>
      </c>
      <c r="B15" s="1729"/>
      <c r="C15" s="1729"/>
      <c r="D15" s="1729"/>
      <c r="E15" s="1730"/>
      <c r="F15" s="1771"/>
      <c r="G15" s="1771"/>
      <c r="H15" s="2064"/>
      <c r="I15" s="2063"/>
      <c r="J15" s="1729"/>
      <c r="K15" s="1729"/>
      <c r="L15" s="1729"/>
      <c r="M15" s="1730"/>
      <c r="N15" s="1771"/>
      <c r="O15" s="1771"/>
      <c r="P15" s="1771"/>
      <c r="Q15" s="2020"/>
      <c r="R15" s="1729"/>
      <c r="S15" s="1729"/>
      <c r="T15" s="1729"/>
      <c r="U15" s="1730"/>
      <c r="V15" s="1771"/>
      <c r="W15" s="1771"/>
      <c r="X15" s="1771"/>
      <c r="Y15" s="1772"/>
      <c r="Z15" s="1731"/>
    </row>
    <row r="16" spans="1:30" s="91" customFormat="1" x14ac:dyDescent="0.2">
      <c r="A16" s="260"/>
      <c r="B16" s="487"/>
      <c r="C16" s="487"/>
      <c r="D16" s="487"/>
      <c r="E16" s="589"/>
      <c r="F16" s="1769"/>
      <c r="G16" s="1769"/>
      <c r="H16" s="261"/>
      <c r="I16" s="260"/>
      <c r="J16" s="487"/>
      <c r="K16" s="487"/>
      <c r="L16" s="487"/>
      <c r="M16" s="589"/>
      <c r="N16" s="1769"/>
      <c r="O16" s="1769"/>
      <c r="P16" s="1769"/>
      <c r="Q16" s="260"/>
      <c r="R16" s="487"/>
      <c r="S16" s="487"/>
      <c r="T16" s="487"/>
      <c r="U16" s="589"/>
      <c r="V16" s="1769"/>
      <c r="W16" s="1769"/>
      <c r="X16" s="1769"/>
      <c r="Y16" s="1741"/>
      <c r="Z16" s="1728"/>
    </row>
    <row r="17" spans="1:26" s="91" customFormat="1" x14ac:dyDescent="0.2">
      <c r="A17" s="260" t="s">
        <v>1660</v>
      </c>
      <c r="B17" s="487"/>
      <c r="C17" s="487"/>
      <c r="D17" s="487"/>
      <c r="E17" s="589"/>
      <c r="F17" s="1769"/>
      <c r="G17" s="1769"/>
      <c r="H17" s="261"/>
      <c r="I17" s="260"/>
      <c r="J17" s="487"/>
      <c r="K17" s="487"/>
      <c r="L17" s="487"/>
      <c r="M17" s="589"/>
      <c r="N17" s="1769"/>
      <c r="O17" s="1769"/>
      <c r="P17" s="1769"/>
      <c r="Q17" s="260"/>
      <c r="R17" s="487"/>
      <c r="S17" s="487"/>
      <c r="T17" s="487"/>
      <c r="U17" s="589"/>
      <c r="V17" s="1769"/>
      <c r="W17" s="1769"/>
      <c r="X17" s="1769"/>
      <c r="Y17" s="1741"/>
      <c r="Z17" s="1728"/>
    </row>
    <row r="18" spans="1:26" s="91" customFormat="1" x14ac:dyDescent="0.2">
      <c r="A18" s="1741" t="s">
        <v>1661</v>
      </c>
      <c r="B18" s="487"/>
      <c r="C18" s="487"/>
      <c r="D18" s="487"/>
      <c r="E18" s="589"/>
      <c r="F18" s="1819">
        <v>0</v>
      </c>
      <c r="G18" s="1769"/>
      <c r="H18" s="261"/>
      <c r="I18" s="260"/>
      <c r="J18" s="487"/>
      <c r="K18" s="487"/>
      <c r="L18" s="487"/>
      <c r="M18" s="589"/>
      <c r="N18" s="1819">
        <v>0</v>
      </c>
      <c r="O18" s="1769"/>
      <c r="P18" s="1769"/>
      <c r="Q18" s="260"/>
      <c r="R18" s="487"/>
      <c r="S18" s="487"/>
      <c r="T18" s="487"/>
      <c r="U18" s="589"/>
      <c r="V18" s="1819">
        <v>0</v>
      </c>
      <c r="W18" s="1769"/>
      <c r="X18" s="1769"/>
      <c r="Y18" s="1741"/>
      <c r="Z18" s="1728"/>
    </row>
    <row r="19" spans="1:26" s="91" customFormat="1" x14ac:dyDescent="0.2">
      <c r="A19" s="1741" t="s">
        <v>1662</v>
      </c>
      <c r="B19" s="487"/>
      <c r="C19" s="487"/>
      <c r="D19" s="487"/>
      <c r="E19" s="589"/>
      <c r="F19" s="1819">
        <v>1</v>
      </c>
      <c r="G19" s="1769"/>
      <c r="H19" s="261"/>
      <c r="I19" s="260"/>
      <c r="J19" s="487"/>
      <c r="K19" s="487"/>
      <c r="L19" s="487"/>
      <c r="M19" s="589"/>
      <c r="N19" s="1819">
        <v>1</v>
      </c>
      <c r="O19" s="1769"/>
      <c r="P19" s="1769"/>
      <c r="Q19" s="260"/>
      <c r="R19" s="487"/>
      <c r="S19" s="487"/>
      <c r="T19" s="487"/>
      <c r="U19" s="589"/>
      <c r="V19" s="1819">
        <v>1</v>
      </c>
      <c r="W19" s="1769"/>
      <c r="X19" s="1769"/>
      <c r="Y19" s="1741" t="s">
        <v>1663</v>
      </c>
      <c r="Z19" s="1728"/>
    </row>
    <row r="20" spans="1:26" s="91" customFormat="1" x14ac:dyDescent="0.2">
      <c r="A20" s="1741"/>
      <c r="B20" s="1822"/>
      <c r="C20" s="487"/>
      <c r="D20" s="487"/>
      <c r="E20" s="589"/>
      <c r="F20" s="1769"/>
      <c r="G20" s="1769"/>
      <c r="H20" s="261"/>
      <c r="I20" s="260"/>
      <c r="J20" s="1822"/>
      <c r="K20" s="487"/>
      <c r="L20" s="487"/>
      <c r="M20" s="589"/>
      <c r="N20" s="1769"/>
      <c r="O20" s="1769"/>
      <c r="P20" s="1769"/>
      <c r="Q20" s="260"/>
      <c r="R20" s="1822"/>
      <c r="S20" s="487"/>
      <c r="T20" s="487"/>
      <c r="U20" s="589"/>
      <c r="V20" s="1769"/>
      <c r="W20" s="1769"/>
      <c r="X20" s="1769"/>
      <c r="Y20" s="1741"/>
      <c r="Z20" s="1728"/>
    </row>
    <row r="21" spans="1:26" s="91" customFormat="1" x14ac:dyDescent="0.2">
      <c r="A21" s="1741" t="s">
        <v>1664</v>
      </c>
      <c r="B21" s="2029">
        <f>F9*1000000</f>
        <v>93732999.999999985</v>
      </c>
      <c r="C21" s="487" t="s">
        <v>1833</v>
      </c>
      <c r="D21" s="487"/>
      <c r="E21" s="589"/>
      <c r="F21" s="1769"/>
      <c r="G21" s="1769"/>
      <c r="H21" s="261"/>
      <c r="I21" s="260"/>
      <c r="J21" s="2029">
        <f>N9*1000000</f>
        <v>83951000</v>
      </c>
      <c r="K21" s="487" t="s">
        <v>1833</v>
      </c>
      <c r="L21" s="487"/>
      <c r="M21" s="589"/>
      <c r="N21" s="1769"/>
      <c r="O21" s="1769"/>
      <c r="P21" s="1769"/>
      <c r="Q21" s="260"/>
      <c r="R21" s="2029">
        <f>V9*1000000</f>
        <v>87904000</v>
      </c>
      <c r="S21" s="487" t="s">
        <v>1833</v>
      </c>
      <c r="T21" s="487"/>
      <c r="U21" s="589"/>
      <c r="V21" s="1769"/>
      <c r="W21" s="1769"/>
      <c r="X21" s="1769"/>
      <c r="Y21" s="1741"/>
      <c r="Z21" s="1728"/>
    </row>
    <row r="22" spans="1:26" s="91" customFormat="1" x14ac:dyDescent="0.2">
      <c r="A22" s="1741" t="s">
        <v>1665</v>
      </c>
      <c r="B22" s="1823">
        <f>F9*F18</f>
        <v>0</v>
      </c>
      <c r="C22" s="487" t="s">
        <v>1833</v>
      </c>
      <c r="D22" s="487"/>
      <c r="E22" s="589"/>
      <c r="F22" s="1769"/>
      <c r="G22" s="1769"/>
      <c r="H22" s="261"/>
      <c r="I22" s="260"/>
      <c r="J22" s="1823">
        <f>N9*N18</f>
        <v>0</v>
      </c>
      <c r="K22" s="487" t="s">
        <v>1833</v>
      </c>
      <c r="L22" s="487"/>
      <c r="M22" s="589"/>
      <c r="N22" s="1769"/>
      <c r="O22" s="1769"/>
      <c r="P22" s="1769"/>
      <c r="Q22" s="260"/>
      <c r="R22" s="1823">
        <v>0</v>
      </c>
      <c r="S22" s="487" t="s">
        <v>1833</v>
      </c>
      <c r="T22" s="487"/>
      <c r="U22" s="589"/>
      <c r="V22" s="1769"/>
      <c r="W22" s="1769"/>
      <c r="X22" s="1769"/>
      <c r="Y22" s="1741"/>
      <c r="Z22" s="1728"/>
    </row>
    <row r="23" spans="1:26" s="91" customFormat="1" x14ac:dyDescent="0.2">
      <c r="A23" s="1741" t="s">
        <v>1666</v>
      </c>
      <c r="B23" s="2029">
        <f>B21*F19</f>
        <v>93732999.999999985</v>
      </c>
      <c r="C23" s="487" t="s">
        <v>1833</v>
      </c>
      <c r="D23" s="487"/>
      <c r="E23" s="589"/>
      <c r="F23" s="1769"/>
      <c r="G23" s="1769"/>
      <c r="H23" s="261"/>
      <c r="I23" s="260"/>
      <c r="J23" s="2029">
        <f>J21*N19</f>
        <v>83951000</v>
      </c>
      <c r="K23" s="487" t="s">
        <v>1833</v>
      </c>
      <c r="L23" s="487"/>
      <c r="M23" s="589"/>
      <c r="N23" s="1769"/>
      <c r="O23" s="1769"/>
      <c r="P23" s="1769"/>
      <c r="Q23" s="260"/>
      <c r="R23" s="2029">
        <f>R21</f>
        <v>87904000</v>
      </c>
      <c r="S23" s="487" t="s">
        <v>1833</v>
      </c>
      <c r="T23" s="487"/>
      <c r="U23" s="589"/>
      <c r="V23" s="1769"/>
      <c r="W23" s="1769"/>
      <c r="X23" s="1769"/>
      <c r="Y23" s="1741"/>
      <c r="Z23" s="1728"/>
    </row>
    <row r="24" spans="1:26" s="91" customFormat="1" x14ac:dyDescent="0.2">
      <c r="A24" s="1741"/>
      <c r="B24" s="1822"/>
      <c r="C24" s="487"/>
      <c r="D24" s="487"/>
      <c r="E24" s="589"/>
      <c r="F24" s="1769"/>
      <c r="G24" s="1769"/>
      <c r="H24" s="261"/>
      <c r="I24" s="260"/>
      <c r="J24" s="1822"/>
      <c r="K24" s="487"/>
      <c r="L24" s="487"/>
      <c r="M24" s="589"/>
      <c r="N24" s="1769"/>
      <c r="O24" s="1769"/>
      <c r="P24" s="1769"/>
      <c r="Q24" s="260"/>
      <c r="R24" s="1822"/>
      <c r="S24" s="487"/>
      <c r="T24" s="487"/>
      <c r="U24" s="589"/>
      <c r="V24" s="1769"/>
      <c r="W24" s="1769"/>
      <c r="X24" s="1769"/>
      <c r="Y24" s="1741"/>
      <c r="Z24" s="261"/>
    </row>
    <row r="25" spans="1:26" s="91" customFormat="1" x14ac:dyDescent="0.2">
      <c r="A25" s="1741" t="s">
        <v>1667</v>
      </c>
      <c r="B25" s="1822"/>
      <c r="C25" s="487"/>
      <c r="D25" s="487"/>
      <c r="E25" s="589"/>
      <c r="F25" s="1773">
        <v>540</v>
      </c>
      <c r="G25" s="1769" t="s">
        <v>1668</v>
      </c>
      <c r="H25" s="261"/>
      <c r="I25" s="1741" t="s">
        <v>2317</v>
      </c>
      <c r="J25" s="1822"/>
      <c r="K25" s="487"/>
      <c r="L25" s="487"/>
      <c r="M25" s="589"/>
      <c r="N25" s="1773">
        <v>540</v>
      </c>
      <c r="O25" s="1769" t="s">
        <v>1668</v>
      </c>
      <c r="P25" s="1769" t="s">
        <v>1659</v>
      </c>
      <c r="Q25" s="1741" t="s">
        <v>2317</v>
      </c>
      <c r="R25" s="1822"/>
      <c r="S25" s="487"/>
      <c r="T25" s="487"/>
      <c r="U25" s="589"/>
      <c r="V25" s="1773">
        <v>540</v>
      </c>
      <c r="W25" s="1769" t="s">
        <v>1668</v>
      </c>
      <c r="X25" s="1769"/>
      <c r="Y25" s="672" t="s">
        <v>2317</v>
      </c>
    </row>
    <row r="26" spans="1:26" s="91" customFormat="1" x14ac:dyDescent="0.2">
      <c r="A26" s="1741" t="s">
        <v>1669</v>
      </c>
      <c r="B26" s="1823">
        <f>B22*F25/1000000</f>
        <v>0</v>
      </c>
      <c r="C26" s="487" t="s">
        <v>719</v>
      </c>
      <c r="D26" s="487"/>
      <c r="E26" s="589"/>
      <c r="F26" s="1769"/>
      <c r="G26" s="1769"/>
      <c r="H26" s="261"/>
      <c r="I26" s="260"/>
      <c r="J26" s="1823">
        <f>J22*N25/1000000</f>
        <v>0</v>
      </c>
      <c r="K26" s="487" t="s">
        <v>719</v>
      </c>
      <c r="L26" s="487"/>
      <c r="M26" s="589"/>
      <c r="N26" s="1769"/>
      <c r="O26" s="1769"/>
      <c r="P26" s="1769"/>
      <c r="Q26" s="260"/>
      <c r="R26" s="1823">
        <f>R22*V25/1000000</f>
        <v>0</v>
      </c>
      <c r="S26" s="487" t="s">
        <v>719</v>
      </c>
      <c r="T26" s="487"/>
      <c r="U26" s="589"/>
      <c r="V26" s="1769"/>
      <c r="W26" s="1769"/>
      <c r="X26" s="1769"/>
      <c r="Y26" s="1741"/>
      <c r="Z26" s="1728"/>
    </row>
    <row r="27" spans="1:26" s="91" customFormat="1" ht="13.5" x14ac:dyDescent="0.25">
      <c r="A27" s="1741" t="s">
        <v>1670</v>
      </c>
      <c r="B27" s="1823">
        <f>B26*0.001*Electricity!B49*tonTOMg</f>
        <v>0</v>
      </c>
      <c r="C27" s="487" t="s">
        <v>2326</v>
      </c>
      <c r="D27" s="478"/>
      <c r="E27" s="589"/>
      <c r="F27" s="1769"/>
      <c r="G27" s="1769"/>
      <c r="H27" s="261"/>
      <c r="I27" s="260"/>
      <c r="J27" s="1823">
        <f>J26*0.001*Electricity!F49*tonTOMg</f>
        <v>0</v>
      </c>
      <c r="K27" s="487" t="s">
        <v>2326</v>
      </c>
      <c r="L27" s="478"/>
      <c r="M27" s="589"/>
      <c r="N27" s="1769"/>
      <c r="O27" s="1769"/>
      <c r="P27" s="1769"/>
      <c r="Q27" s="260"/>
      <c r="R27" s="1823">
        <f>R26*0.001*Electricity!N49*tonTOMg</f>
        <v>0</v>
      </c>
      <c r="S27" s="487" t="s">
        <v>2326</v>
      </c>
      <c r="T27" s="478"/>
      <c r="U27" s="589"/>
      <c r="V27" s="1769"/>
      <c r="W27" s="1769"/>
      <c r="X27" s="1769"/>
      <c r="Y27" s="1741"/>
      <c r="Z27" s="1728"/>
    </row>
    <row r="28" spans="1:26" s="91" customFormat="1" x14ac:dyDescent="0.2">
      <c r="A28" s="260"/>
      <c r="B28" s="1822"/>
      <c r="C28" s="487"/>
      <c r="D28" s="487"/>
      <c r="E28" s="589"/>
      <c r="F28" s="1769"/>
      <c r="G28" s="1769"/>
      <c r="H28" s="261"/>
      <c r="I28" s="260"/>
      <c r="J28" s="1822"/>
      <c r="K28" s="487"/>
      <c r="L28" s="487"/>
      <c r="M28" s="589"/>
      <c r="N28" s="1769"/>
      <c r="O28" s="1769"/>
      <c r="P28" s="1769"/>
      <c r="Q28" s="260"/>
      <c r="R28" s="1822"/>
      <c r="S28" s="487"/>
      <c r="T28" s="487"/>
      <c r="U28" s="589"/>
      <c r="V28" s="1769"/>
      <c r="W28" s="1769"/>
      <c r="X28" s="1769"/>
      <c r="Y28" s="1741"/>
      <c r="Z28" s="1728"/>
    </row>
    <row r="29" spans="1:26" s="91" customFormat="1" x14ac:dyDescent="0.2">
      <c r="A29" s="260" t="s">
        <v>1671</v>
      </c>
      <c r="B29" s="1822"/>
      <c r="C29" s="487"/>
      <c r="D29" s="487"/>
      <c r="E29" s="589"/>
      <c r="F29" s="1769"/>
      <c r="G29" s="1769"/>
      <c r="H29" s="261"/>
      <c r="I29" s="260"/>
      <c r="J29" s="1822"/>
      <c r="K29" s="487"/>
      <c r="L29" s="487"/>
      <c r="M29" s="589"/>
      <c r="N29" s="1769"/>
      <c r="O29" s="1769"/>
      <c r="P29" s="1769"/>
      <c r="Q29" s="260"/>
      <c r="R29" s="1822"/>
      <c r="S29" s="487"/>
      <c r="T29" s="487"/>
      <c r="U29" s="589"/>
      <c r="V29" s="1769"/>
      <c r="W29" s="1769"/>
      <c r="X29" s="1769"/>
      <c r="Y29" s="1741"/>
      <c r="Z29" s="1728"/>
    </row>
    <row r="30" spans="1:26" s="91" customFormat="1" x14ac:dyDescent="0.2">
      <c r="A30" s="1741" t="s">
        <v>1661</v>
      </c>
      <c r="B30" s="1822"/>
      <c r="C30" s="487"/>
      <c r="D30" s="487"/>
      <c r="E30" s="589"/>
      <c r="F30" s="1819">
        <v>0</v>
      </c>
      <c r="G30" s="1769"/>
      <c r="H30" s="261"/>
      <c r="I30" s="260"/>
      <c r="J30" s="1822"/>
      <c r="K30" s="487"/>
      <c r="L30" s="487"/>
      <c r="M30" s="589"/>
      <c r="N30" s="1819">
        <v>0</v>
      </c>
      <c r="O30" s="1769"/>
      <c r="P30" s="1769"/>
      <c r="Q30" s="260"/>
      <c r="R30" s="1822"/>
      <c r="S30" s="487"/>
      <c r="T30" s="487"/>
      <c r="U30" s="589"/>
      <c r="V30" s="1819">
        <v>0</v>
      </c>
      <c r="W30" s="1769"/>
      <c r="X30" s="1769"/>
      <c r="Y30" s="1741"/>
      <c r="Z30" s="1728"/>
    </row>
    <row r="31" spans="1:26" s="91" customFormat="1" x14ac:dyDescent="0.2">
      <c r="A31" s="1741" t="s">
        <v>1662</v>
      </c>
      <c r="B31" s="1822"/>
      <c r="C31" s="487"/>
      <c r="D31" s="487"/>
      <c r="E31" s="589"/>
      <c r="F31" s="1819">
        <v>1</v>
      </c>
      <c r="G31" s="1769"/>
      <c r="H31" s="261"/>
      <c r="I31" s="260"/>
      <c r="J31" s="1822"/>
      <c r="K31" s="487"/>
      <c r="L31" s="487"/>
      <c r="M31" s="589"/>
      <c r="N31" s="1819">
        <v>1</v>
      </c>
      <c r="O31" s="1769"/>
      <c r="P31" s="1769"/>
      <c r="Q31" s="260"/>
      <c r="R31" s="1822"/>
      <c r="S31" s="487"/>
      <c r="T31" s="487"/>
      <c r="U31" s="589"/>
      <c r="V31" s="1819">
        <v>1</v>
      </c>
      <c r="W31" s="1769"/>
      <c r="X31" s="1769"/>
      <c r="Y31" s="1741" t="s">
        <v>1840</v>
      </c>
      <c r="Z31" s="1728"/>
    </row>
    <row r="32" spans="1:26" s="91" customFormat="1" x14ac:dyDescent="0.2">
      <c r="A32" s="1741"/>
      <c r="B32" s="1822"/>
      <c r="C32" s="487"/>
      <c r="D32" s="487"/>
      <c r="E32" s="589"/>
      <c r="F32" s="1769"/>
      <c r="G32" s="1769"/>
      <c r="H32" s="261"/>
      <c r="I32" s="260"/>
      <c r="J32" s="1822"/>
      <c r="K32" s="487"/>
      <c r="L32" s="487"/>
      <c r="M32" s="589"/>
      <c r="N32" s="1769"/>
      <c r="O32" s="1769"/>
      <c r="P32" s="1769"/>
      <c r="Q32" s="260"/>
      <c r="R32" s="1822"/>
      <c r="S32" s="487"/>
      <c r="T32" s="487"/>
      <c r="U32" s="589"/>
      <c r="V32" s="1769"/>
      <c r="W32" s="1769"/>
      <c r="X32" s="1769"/>
      <c r="Y32" s="1741"/>
      <c r="Z32" s="1728"/>
    </row>
    <row r="33" spans="1:26" s="91" customFormat="1" x14ac:dyDescent="0.2">
      <c r="A33" s="1741" t="s">
        <v>1664</v>
      </c>
      <c r="B33" s="2029">
        <f>F10*1000000</f>
        <v>46166999.999999993</v>
      </c>
      <c r="C33" s="487" t="s">
        <v>1833</v>
      </c>
      <c r="D33" s="487"/>
      <c r="E33" s="589"/>
      <c r="F33" s="1769"/>
      <c r="G33" s="1769"/>
      <c r="H33" s="261"/>
      <c r="I33" s="260"/>
      <c r="J33" s="2029">
        <f>N10*1000000</f>
        <v>41349000</v>
      </c>
      <c r="K33" s="487" t="s">
        <v>1833</v>
      </c>
      <c r="L33" s="487"/>
      <c r="M33" s="589"/>
      <c r="N33" s="1769"/>
      <c r="O33" s="1769"/>
      <c r="P33" s="1769"/>
      <c r="Q33" s="260"/>
      <c r="R33" s="2029">
        <f>V10*1000000</f>
        <v>43296000</v>
      </c>
      <c r="S33" s="487" t="s">
        <v>1833</v>
      </c>
      <c r="T33" s="487"/>
      <c r="U33" s="589"/>
      <c r="V33" s="1769"/>
      <c r="W33" s="1769"/>
      <c r="X33" s="1769"/>
      <c r="Y33" s="1741"/>
      <c r="Z33" s="1728"/>
    </row>
    <row r="34" spans="1:26" s="91" customFormat="1" x14ac:dyDescent="0.2">
      <c r="A34" s="1741" t="s">
        <v>1665</v>
      </c>
      <c r="B34" s="1823">
        <v>0</v>
      </c>
      <c r="C34" s="487" t="s">
        <v>1833</v>
      </c>
      <c r="D34" s="487"/>
      <c r="E34" s="589"/>
      <c r="F34" s="1769"/>
      <c r="G34" s="1769"/>
      <c r="H34" s="261"/>
      <c r="I34" s="260"/>
      <c r="J34" s="1823">
        <v>0</v>
      </c>
      <c r="K34" s="487" t="s">
        <v>1833</v>
      </c>
      <c r="L34" s="487"/>
      <c r="M34" s="589"/>
      <c r="N34" s="1769"/>
      <c r="O34" s="1769"/>
      <c r="P34" s="1769"/>
      <c r="Q34" s="260"/>
      <c r="R34" s="1823">
        <v>0</v>
      </c>
      <c r="S34" s="487" t="s">
        <v>1833</v>
      </c>
      <c r="T34" s="487"/>
      <c r="U34" s="589"/>
      <c r="V34" s="1769"/>
      <c r="W34" s="1769"/>
      <c r="X34" s="1769"/>
      <c r="Y34" s="1741"/>
      <c r="Z34" s="1728"/>
    </row>
    <row r="35" spans="1:26" s="91" customFormat="1" x14ac:dyDescent="0.2">
      <c r="A35" s="1741" t="s">
        <v>1666</v>
      </c>
      <c r="B35" s="2029">
        <f>B33</f>
        <v>46166999.999999993</v>
      </c>
      <c r="C35" s="487" t="s">
        <v>1833</v>
      </c>
      <c r="D35" s="487"/>
      <c r="E35" s="589"/>
      <c r="F35" s="1769"/>
      <c r="G35" s="1769"/>
      <c r="H35" s="261"/>
      <c r="I35" s="260"/>
      <c r="J35" s="2029">
        <f>J33</f>
        <v>41349000</v>
      </c>
      <c r="K35" s="487" t="s">
        <v>1833</v>
      </c>
      <c r="L35" s="487"/>
      <c r="M35" s="589"/>
      <c r="N35" s="1769"/>
      <c r="O35" s="1769"/>
      <c r="P35" s="1769"/>
      <c r="Q35" s="260"/>
      <c r="R35" s="2029">
        <f>R33</f>
        <v>43296000</v>
      </c>
      <c r="S35" s="487" t="s">
        <v>1833</v>
      </c>
      <c r="T35" s="487"/>
      <c r="U35" s="589"/>
      <c r="V35" s="1769"/>
      <c r="W35" s="1769"/>
      <c r="X35" s="1769"/>
      <c r="Y35" s="1741"/>
      <c r="Z35" s="261"/>
    </row>
    <row r="36" spans="1:26" s="91" customFormat="1" x14ac:dyDescent="0.2">
      <c r="A36" s="1741"/>
      <c r="B36" s="1822"/>
      <c r="C36" s="487"/>
      <c r="D36" s="487"/>
      <c r="E36" s="589"/>
      <c r="F36" s="1769"/>
      <c r="G36" s="1769"/>
      <c r="H36" s="261"/>
      <c r="I36" s="260"/>
      <c r="J36" s="1822"/>
      <c r="K36" s="487"/>
      <c r="L36" s="487"/>
      <c r="M36" s="589"/>
      <c r="N36" s="1769"/>
      <c r="O36" s="1769"/>
      <c r="P36" s="1769"/>
      <c r="Q36" s="260"/>
      <c r="R36" s="1822"/>
      <c r="S36" s="487"/>
      <c r="T36" s="487"/>
      <c r="U36" s="589"/>
      <c r="V36" s="1769"/>
      <c r="W36" s="1769"/>
      <c r="X36" s="1769"/>
      <c r="Y36" s="1741"/>
      <c r="Z36" s="261"/>
    </row>
    <row r="37" spans="1:26" s="91" customFormat="1" x14ac:dyDescent="0.2">
      <c r="A37" s="1741" t="s">
        <v>1667</v>
      </c>
      <c r="B37" s="1822"/>
      <c r="C37" s="487"/>
      <c r="D37" s="487"/>
      <c r="E37" s="589"/>
      <c r="F37" s="1773">
        <v>540</v>
      </c>
      <c r="G37" s="1769" t="s">
        <v>1668</v>
      </c>
      <c r="H37" s="261"/>
      <c r="I37" s="1741" t="s">
        <v>2317</v>
      </c>
      <c r="J37" s="1822"/>
      <c r="K37" s="487"/>
      <c r="L37" s="487"/>
      <c r="M37" s="589"/>
      <c r="N37" s="1773">
        <v>540</v>
      </c>
      <c r="O37" s="1769" t="s">
        <v>1668</v>
      </c>
      <c r="P37" s="1769"/>
      <c r="Q37" s="1741" t="s">
        <v>2317</v>
      </c>
      <c r="R37" s="1822"/>
      <c r="S37" s="487"/>
      <c r="T37" s="487"/>
      <c r="U37" s="589"/>
      <c r="V37" s="1773">
        <v>540</v>
      </c>
      <c r="W37" s="1769" t="s">
        <v>1668</v>
      </c>
      <c r="X37" s="1769"/>
      <c r="Y37" s="1741" t="s">
        <v>2317</v>
      </c>
    </row>
    <row r="38" spans="1:26" s="91" customFormat="1" x14ac:dyDescent="0.2">
      <c r="A38" s="1741" t="s">
        <v>1669</v>
      </c>
      <c r="B38" s="1823">
        <f>B34*F37/1000000</f>
        <v>0</v>
      </c>
      <c r="C38" s="487" t="s">
        <v>719</v>
      </c>
      <c r="D38" s="487"/>
      <c r="E38" s="589"/>
      <c r="F38" s="1769"/>
      <c r="G38" s="1769"/>
      <c r="H38" s="261"/>
      <c r="I38" s="260"/>
      <c r="J38" s="1823">
        <f>J34*N37/1000000</f>
        <v>0</v>
      </c>
      <c r="K38" s="487" t="s">
        <v>719</v>
      </c>
      <c r="L38" s="487"/>
      <c r="M38" s="589"/>
      <c r="N38" s="1769"/>
      <c r="O38" s="1769"/>
      <c r="P38" s="1769"/>
      <c r="Q38" s="260"/>
      <c r="R38" s="1823">
        <f>R34*V37/1000000</f>
        <v>0</v>
      </c>
      <c r="S38" s="487" t="s">
        <v>719</v>
      </c>
      <c r="T38" s="487"/>
      <c r="U38" s="589"/>
      <c r="V38" s="1769"/>
      <c r="W38" s="1769"/>
      <c r="X38" s="1769"/>
      <c r="Y38" s="1741"/>
      <c r="Z38" s="1728"/>
    </row>
    <row r="39" spans="1:26" s="91" customFormat="1" ht="13.5" x14ac:dyDescent="0.25">
      <c r="A39" s="1741" t="s">
        <v>1670</v>
      </c>
      <c r="B39" s="1823">
        <f>B38*0.001*Electricity!B49*tonTOMg</f>
        <v>0</v>
      </c>
      <c r="C39" s="487" t="s">
        <v>2326</v>
      </c>
      <c r="D39" s="487"/>
      <c r="E39" s="589"/>
      <c r="F39" s="1769"/>
      <c r="G39" s="1769"/>
      <c r="H39" s="261"/>
      <c r="I39" s="260"/>
      <c r="J39" s="1823">
        <f>J38*0.001*Electricity!F49*tonTOMg</f>
        <v>0</v>
      </c>
      <c r="K39" s="487" t="s">
        <v>2326</v>
      </c>
      <c r="L39" s="487"/>
      <c r="M39" s="589"/>
      <c r="N39" s="1769"/>
      <c r="O39" s="1769"/>
      <c r="P39" s="1769"/>
      <c r="Q39" s="260"/>
      <c r="R39" s="1823">
        <f>R38*0.001*Electricity!N49*tonTOMg</f>
        <v>0</v>
      </c>
      <c r="S39" s="487" t="s">
        <v>2326</v>
      </c>
      <c r="T39" s="487"/>
      <c r="U39" s="589"/>
      <c r="V39" s="1769"/>
      <c r="W39" s="1769"/>
      <c r="X39" s="1769"/>
      <c r="Y39" s="1741"/>
      <c r="Z39" s="1728"/>
    </row>
    <row r="40" spans="1:26" s="91" customFormat="1" x14ac:dyDescent="0.2">
      <c r="A40" s="1741"/>
      <c r="B40" s="1822"/>
      <c r="C40" s="487"/>
      <c r="D40" s="487"/>
      <c r="E40" s="589"/>
      <c r="F40" s="1769"/>
      <c r="G40" s="1769"/>
      <c r="H40" s="261"/>
      <c r="I40" s="260"/>
      <c r="J40" s="1822"/>
      <c r="K40" s="487"/>
      <c r="L40" s="487"/>
      <c r="M40" s="589"/>
      <c r="N40" s="1769"/>
      <c r="O40" s="1769"/>
      <c r="P40" s="1769"/>
      <c r="Q40" s="260"/>
      <c r="R40" s="1822"/>
      <c r="S40" s="487"/>
      <c r="T40" s="487"/>
      <c r="U40" s="589"/>
      <c r="V40" s="1769"/>
      <c r="W40" s="1769"/>
      <c r="X40" s="1769"/>
      <c r="Y40" s="1741"/>
      <c r="Z40" s="1728"/>
    </row>
    <row r="41" spans="1:26" ht="13.5" x14ac:dyDescent="0.25">
      <c r="A41" s="621" t="s">
        <v>1672</v>
      </c>
      <c r="B41" s="1824">
        <f>SUM(B27,B39)*365.25</f>
        <v>0</v>
      </c>
      <c r="C41" s="214" t="s">
        <v>207</v>
      </c>
      <c r="D41" s="214"/>
      <c r="E41" s="589"/>
      <c r="F41" s="1125"/>
      <c r="G41" s="392"/>
      <c r="H41" s="323"/>
      <c r="I41" s="326"/>
      <c r="J41" s="1824">
        <f>SUM(J27,J39)*365.25</f>
        <v>0</v>
      </c>
      <c r="K41" s="214" t="s">
        <v>207</v>
      </c>
      <c r="L41" s="214"/>
      <c r="M41" s="589"/>
      <c r="N41" s="1125"/>
      <c r="O41" s="392"/>
      <c r="P41" s="226"/>
      <c r="Q41" s="383"/>
      <c r="R41" s="1824">
        <f>SUM(R27,R39)*365.25</f>
        <v>0</v>
      </c>
      <c r="S41" s="214" t="s">
        <v>207</v>
      </c>
      <c r="T41" s="214"/>
      <c r="U41" s="589"/>
      <c r="V41" s="1125"/>
      <c r="W41" s="392"/>
      <c r="X41" s="226"/>
      <c r="Y41" s="383"/>
      <c r="Z41" s="1370"/>
    </row>
    <row r="42" spans="1:26" x14ac:dyDescent="0.2">
      <c r="A42" s="1479" t="s">
        <v>1544</v>
      </c>
      <c r="B42" s="1729"/>
      <c r="C42" s="1729"/>
      <c r="D42" s="1729"/>
      <c r="E42" s="1730"/>
      <c r="F42" s="1771"/>
      <c r="G42" s="1771"/>
      <c r="H42" s="2064"/>
      <c r="I42" s="2063"/>
      <c r="J42" s="1729"/>
      <c r="K42" s="1729"/>
      <c r="L42" s="1729"/>
      <c r="M42" s="1730"/>
      <c r="N42" s="1771"/>
      <c r="O42" s="1771"/>
      <c r="P42" s="1771"/>
      <c r="Q42" s="2020"/>
      <c r="R42" s="1729"/>
      <c r="S42" s="1729"/>
      <c r="T42" s="1729"/>
      <c r="U42" s="1730"/>
      <c r="V42" s="1771"/>
      <c r="W42" s="1771"/>
      <c r="X42" s="1771"/>
      <c r="Y42" s="1772"/>
      <c r="Z42" s="1731"/>
    </row>
    <row r="43" spans="1:26" x14ac:dyDescent="0.2">
      <c r="A43" s="260"/>
      <c r="B43" s="487"/>
      <c r="C43" s="487"/>
      <c r="D43" s="487"/>
      <c r="E43" s="589"/>
      <c r="F43" s="1769"/>
      <c r="G43" s="1769"/>
      <c r="H43" s="261"/>
      <c r="I43" s="260"/>
      <c r="J43" s="487"/>
      <c r="K43" s="487"/>
      <c r="L43" s="487"/>
      <c r="M43" s="589"/>
      <c r="N43" s="1769"/>
      <c r="O43" s="1769"/>
      <c r="P43" s="1769"/>
      <c r="Q43" s="260"/>
      <c r="R43" s="487"/>
      <c r="S43" s="487"/>
      <c r="T43" s="487"/>
      <c r="U43" s="589"/>
      <c r="V43" s="1769"/>
      <c r="W43" s="1769"/>
      <c r="X43" s="1769"/>
      <c r="Y43" s="1741"/>
      <c r="Z43" s="1728"/>
    </row>
    <row r="44" spans="1:26" x14ac:dyDescent="0.2">
      <c r="A44" s="260" t="s">
        <v>1660</v>
      </c>
      <c r="B44" s="487"/>
      <c r="C44" s="487"/>
      <c r="D44" s="487"/>
      <c r="E44" s="589"/>
      <c r="F44" s="1769"/>
      <c r="G44" s="1769"/>
      <c r="H44" s="261"/>
      <c r="I44" s="260"/>
      <c r="J44" s="487"/>
      <c r="K44" s="487"/>
      <c r="L44" s="487"/>
      <c r="M44" s="589"/>
      <c r="N44" s="1769"/>
      <c r="O44" s="1769"/>
      <c r="P44" s="1769"/>
      <c r="Q44" s="260"/>
      <c r="R44" s="487"/>
      <c r="S44" s="487"/>
      <c r="T44" s="487"/>
      <c r="U44" s="589"/>
      <c r="V44" s="1769"/>
      <c r="W44" s="1769"/>
      <c r="X44" s="1769"/>
      <c r="Y44" s="1741"/>
      <c r="Z44" s="1820"/>
    </row>
    <row r="45" spans="1:26" x14ac:dyDescent="0.2">
      <c r="A45" s="1741" t="s">
        <v>1673</v>
      </c>
      <c r="B45" s="487"/>
      <c r="C45" s="487"/>
      <c r="D45" s="487"/>
      <c r="E45" s="589"/>
      <c r="F45" s="1773">
        <v>110</v>
      </c>
      <c r="G45" s="1769" t="s">
        <v>1668</v>
      </c>
      <c r="H45" s="1741"/>
      <c r="I45" s="1741" t="s">
        <v>2318</v>
      </c>
      <c r="J45" s="487"/>
      <c r="K45" s="487"/>
      <c r="L45" s="487"/>
      <c r="M45" s="589"/>
      <c r="N45" s="1773">
        <v>110</v>
      </c>
      <c r="O45" s="1769" t="s">
        <v>1668</v>
      </c>
      <c r="P45" s="1769"/>
      <c r="Q45" s="1741" t="s">
        <v>2318</v>
      </c>
      <c r="R45" s="487"/>
      <c r="S45" s="487"/>
      <c r="T45" s="487"/>
      <c r="U45" s="589"/>
      <c r="V45" s="1773">
        <v>110</v>
      </c>
      <c r="W45" s="1769" t="s">
        <v>1668</v>
      </c>
      <c r="X45" s="1769"/>
      <c r="Y45" s="1741" t="s">
        <v>2318</v>
      </c>
    </row>
    <row r="46" spans="1:26" x14ac:dyDescent="0.2">
      <c r="A46" s="1741" t="s">
        <v>1679</v>
      </c>
      <c r="B46" s="2096">
        <f>B21*F45/1000000</f>
        <v>10310.629999999997</v>
      </c>
      <c r="C46" s="487" t="s">
        <v>719</v>
      </c>
      <c r="D46" s="487"/>
      <c r="E46" s="589"/>
      <c r="F46" s="1769"/>
      <c r="G46" s="1769"/>
      <c r="H46" s="261"/>
      <c r="I46" s="261"/>
      <c r="J46" s="2096">
        <f>J21*N45/1000000</f>
        <v>9234.61</v>
      </c>
      <c r="K46" s="487" t="s">
        <v>719</v>
      </c>
      <c r="L46" s="487"/>
      <c r="M46" s="589"/>
      <c r="N46" s="1769"/>
      <c r="O46" s="1769"/>
      <c r="P46" s="1769"/>
      <c r="Q46" s="261"/>
      <c r="R46" s="2096">
        <f>R21*V45/1000000</f>
        <v>9669.44</v>
      </c>
      <c r="S46" s="487" t="s">
        <v>719</v>
      </c>
      <c r="T46" s="487"/>
      <c r="U46" s="589"/>
      <c r="V46" s="1769"/>
      <c r="W46" s="1769"/>
      <c r="X46" s="1769"/>
      <c r="Y46" s="261"/>
      <c r="Z46" s="1820" t="s">
        <v>1674</v>
      </c>
    </row>
    <row r="47" spans="1:26" ht="13.5" x14ac:dyDescent="0.25">
      <c r="A47" s="1741" t="s">
        <v>1670</v>
      </c>
      <c r="B47" s="1823">
        <f>B46*0.001*Electricity!B49*tonTOMg</f>
        <v>3.9510051302475921</v>
      </c>
      <c r="C47" s="487" t="s">
        <v>2326</v>
      </c>
      <c r="D47" s="487"/>
      <c r="E47" s="589"/>
      <c r="F47" s="1769"/>
      <c r="G47" s="1769"/>
      <c r="H47" s="261"/>
      <c r="I47" s="261"/>
      <c r="J47" s="2097">
        <f>J46*0.001*Electricity!F49*tonTOMg</f>
        <v>3.6072313598537082</v>
      </c>
      <c r="K47" s="487" t="s">
        <v>2326</v>
      </c>
      <c r="L47" s="487"/>
      <c r="M47" s="589"/>
      <c r="N47" s="1769"/>
      <c r="O47" s="1769"/>
      <c r="P47" s="1769"/>
      <c r="Q47" s="261"/>
      <c r="R47" s="1823">
        <f>R46*0.001*Electricity!N49*tonTOMg</f>
        <v>4.2705253825073983</v>
      </c>
      <c r="S47" s="487" t="s">
        <v>2326</v>
      </c>
      <c r="T47" s="487"/>
      <c r="U47" s="589"/>
      <c r="V47" s="1769"/>
      <c r="W47" s="1769"/>
      <c r="X47" s="1769"/>
      <c r="Y47" s="261"/>
      <c r="Z47" s="1820"/>
    </row>
    <row r="48" spans="1:26" x14ac:dyDescent="0.2">
      <c r="A48" s="1741"/>
      <c r="B48" s="487"/>
      <c r="C48" s="487"/>
      <c r="D48" s="487"/>
      <c r="E48" s="589"/>
      <c r="F48" s="1769"/>
      <c r="G48" s="1769"/>
      <c r="H48" s="261"/>
      <c r="I48" s="261"/>
      <c r="J48" s="487"/>
      <c r="K48" s="487"/>
      <c r="L48" s="487"/>
      <c r="M48" s="589"/>
      <c r="N48" s="1769"/>
      <c r="O48" s="1769"/>
      <c r="P48" s="1769"/>
      <c r="Q48" s="261"/>
      <c r="R48" s="487"/>
      <c r="S48" s="487"/>
      <c r="T48" s="487"/>
      <c r="U48" s="589"/>
      <c r="V48" s="1769"/>
      <c r="W48" s="1769"/>
      <c r="X48" s="1769"/>
      <c r="Y48" s="261"/>
      <c r="Z48" s="1820" t="s">
        <v>1675</v>
      </c>
    </row>
    <row r="49" spans="1:26" x14ac:dyDescent="0.2">
      <c r="A49" s="260" t="s">
        <v>1671</v>
      </c>
      <c r="B49" s="487"/>
      <c r="C49" s="487"/>
      <c r="D49" s="487"/>
      <c r="E49" s="589"/>
      <c r="F49" s="1769"/>
      <c r="G49" s="1769"/>
      <c r="H49" s="261"/>
      <c r="I49" s="261"/>
      <c r="J49" s="487"/>
      <c r="K49" s="487"/>
      <c r="L49" s="487"/>
      <c r="M49" s="589"/>
      <c r="N49" s="1769"/>
      <c r="O49" s="1769"/>
      <c r="P49" s="1769"/>
      <c r="Q49" s="261"/>
      <c r="R49" s="487"/>
      <c r="S49" s="487"/>
      <c r="T49" s="487"/>
      <c r="U49" s="589"/>
      <c r="V49" s="1769"/>
      <c r="W49" s="1769"/>
      <c r="X49" s="1769"/>
      <c r="Y49" s="261"/>
      <c r="Z49" s="1820"/>
    </row>
    <row r="50" spans="1:26" x14ac:dyDescent="0.2">
      <c r="A50" s="1741" t="s">
        <v>1673</v>
      </c>
      <c r="B50" s="487"/>
      <c r="C50" s="487"/>
      <c r="D50" s="487"/>
      <c r="E50" s="589"/>
      <c r="F50" s="1773">
        <v>110</v>
      </c>
      <c r="G50" s="1769" t="s">
        <v>1668</v>
      </c>
      <c r="H50" s="1741"/>
      <c r="I50" s="1741" t="s">
        <v>2318</v>
      </c>
      <c r="J50" s="487"/>
      <c r="K50" s="487"/>
      <c r="L50" s="487"/>
      <c r="M50" s="589"/>
      <c r="N50" s="1773">
        <v>110</v>
      </c>
      <c r="O50" s="1769" t="s">
        <v>1668</v>
      </c>
      <c r="P50" s="1769"/>
      <c r="Q50" s="1741" t="s">
        <v>2318</v>
      </c>
      <c r="R50" s="487"/>
      <c r="S50" s="487"/>
      <c r="T50" s="487"/>
      <c r="U50" s="589"/>
      <c r="V50" s="1773">
        <v>110</v>
      </c>
      <c r="W50" s="1769" t="s">
        <v>1668</v>
      </c>
      <c r="X50" s="1769"/>
      <c r="Y50" s="1741" t="s">
        <v>2318</v>
      </c>
    </row>
    <row r="51" spans="1:26" s="91" customFormat="1" x14ac:dyDescent="0.2">
      <c r="A51" s="1741" t="s">
        <v>1679</v>
      </c>
      <c r="B51" s="2096">
        <f>B33*F50/1000000</f>
        <v>5078.369999999999</v>
      </c>
      <c r="C51" s="2093" t="s">
        <v>719</v>
      </c>
      <c r="D51" s="487"/>
      <c r="E51" s="589"/>
      <c r="F51" s="1769"/>
      <c r="G51" s="1769"/>
      <c r="H51" s="261"/>
      <c r="I51" s="260"/>
      <c r="J51" s="2096">
        <f>J33*N50/1000000</f>
        <v>4548.3900000000003</v>
      </c>
      <c r="K51" s="487" t="s">
        <v>719</v>
      </c>
      <c r="L51" s="487"/>
      <c r="M51" s="589"/>
      <c r="N51" s="1769"/>
      <c r="O51" s="1769"/>
      <c r="P51" s="1769"/>
      <c r="Q51" s="260"/>
      <c r="R51" s="2096">
        <f>R35*V50/1000000</f>
        <v>4762.5600000000004</v>
      </c>
      <c r="S51" s="487" t="s">
        <v>719</v>
      </c>
      <c r="T51" s="487"/>
      <c r="U51" s="589"/>
      <c r="V51" s="1769"/>
      <c r="W51" s="1769"/>
      <c r="X51" s="1769"/>
      <c r="Y51" s="1741"/>
      <c r="Z51" s="1820" t="s">
        <v>1676</v>
      </c>
    </row>
    <row r="52" spans="1:26" s="91" customFormat="1" ht="13.5" x14ac:dyDescent="0.25">
      <c r="A52" s="1741" t="s">
        <v>1670</v>
      </c>
      <c r="B52" s="1823">
        <f>B51*0.001*Electricity!B49*tonTOMg</f>
        <v>1.9460174522115006</v>
      </c>
      <c r="C52" s="487" t="s">
        <v>2326</v>
      </c>
      <c r="D52" s="487"/>
      <c r="E52" s="589"/>
      <c r="F52" s="1769"/>
      <c r="G52" s="1769"/>
      <c r="H52" s="261"/>
      <c r="I52" s="260"/>
      <c r="J52" s="1823">
        <f>J51*0.001*Electricity!F49*tonTOMg</f>
        <v>1.7766960429130207</v>
      </c>
      <c r="K52" s="487" t="s">
        <v>2326</v>
      </c>
      <c r="L52" s="487"/>
      <c r="M52" s="589"/>
      <c r="N52" s="1769"/>
      <c r="O52" s="1769"/>
      <c r="P52" s="1769"/>
      <c r="Q52" s="260"/>
      <c r="R52" s="1823">
        <f>R51*0.001*Electricity!N49*tonTOMg</f>
        <v>2.1033930988469276</v>
      </c>
      <c r="S52" s="487" t="s">
        <v>2326</v>
      </c>
      <c r="T52" s="487"/>
      <c r="U52" s="589"/>
      <c r="V52" s="1769"/>
      <c r="W52" s="1769"/>
      <c r="X52" s="1769"/>
      <c r="Y52" s="1741"/>
      <c r="Z52" s="1820" t="s">
        <v>1675</v>
      </c>
    </row>
    <row r="53" spans="1:26" s="91" customFormat="1" x14ac:dyDescent="0.2">
      <c r="A53" s="1741"/>
      <c r="B53" s="487"/>
      <c r="C53" s="487"/>
      <c r="D53" s="487"/>
      <c r="E53" s="589"/>
      <c r="F53" s="1769"/>
      <c r="G53" s="1769"/>
      <c r="H53" s="261"/>
      <c r="I53" s="260"/>
      <c r="J53" s="487"/>
      <c r="K53" s="487"/>
      <c r="L53" s="487"/>
      <c r="M53" s="589"/>
      <c r="N53" s="1769"/>
      <c r="O53" s="1769"/>
      <c r="P53" s="1769"/>
      <c r="Q53" s="260"/>
      <c r="R53" s="487"/>
      <c r="S53" s="487"/>
      <c r="T53" s="487"/>
      <c r="U53" s="589"/>
      <c r="V53" s="1769"/>
      <c r="W53" s="1769"/>
      <c r="X53" s="1769"/>
      <c r="Y53" s="1741"/>
      <c r="Z53" s="1820"/>
    </row>
    <row r="54" spans="1:26" ht="13.5" x14ac:dyDescent="0.25">
      <c r="A54" s="1735" t="s">
        <v>1677</v>
      </c>
      <c r="B54" s="1824">
        <f>SUM(B52,B47)*365.25</f>
        <v>2153.8874982431835</v>
      </c>
      <c r="C54" s="214" t="s">
        <v>207</v>
      </c>
      <c r="D54" s="214"/>
      <c r="E54" s="589"/>
      <c r="F54" s="1125"/>
      <c r="G54" s="392"/>
      <c r="H54" s="323"/>
      <c r="I54" s="326"/>
      <c r="J54" s="1824">
        <f>SUM(J52,J47)*365.25</f>
        <v>1966.4794838605478</v>
      </c>
      <c r="K54" s="214" t="s">
        <v>207</v>
      </c>
      <c r="L54" s="214"/>
      <c r="M54" s="589"/>
      <c r="N54" s="1125"/>
      <c r="O54" s="392"/>
      <c r="P54" s="226"/>
      <c r="Q54" s="383"/>
      <c r="R54" s="1824">
        <f>SUM(R52,R47)*365.25</f>
        <v>2328.0737253146676</v>
      </c>
      <c r="S54" s="214" t="s">
        <v>207</v>
      </c>
      <c r="T54" s="214"/>
      <c r="U54" s="589"/>
      <c r="V54" s="1125"/>
      <c r="W54" s="392"/>
      <c r="X54" s="226"/>
      <c r="Y54" s="383"/>
      <c r="Z54" s="1370"/>
    </row>
    <row r="55" spans="1:26" x14ac:dyDescent="0.2">
      <c r="A55" s="1479" t="s">
        <v>1545</v>
      </c>
      <c r="B55" s="1729"/>
      <c r="C55" s="1729"/>
      <c r="D55" s="1729"/>
      <c r="E55" s="1730"/>
      <c r="F55" s="1771"/>
      <c r="G55" s="1771"/>
      <c r="H55" s="2064"/>
      <c r="I55" s="2063"/>
      <c r="J55" s="1729"/>
      <c r="K55" s="1729"/>
      <c r="L55" s="1729"/>
      <c r="M55" s="1730"/>
      <c r="N55" s="1771"/>
      <c r="O55" s="1771"/>
      <c r="P55" s="1771"/>
      <c r="Q55" s="2020"/>
      <c r="R55" s="1729"/>
      <c r="S55" s="1729"/>
      <c r="T55" s="1729"/>
      <c r="U55" s="1730"/>
      <c r="V55" s="1771"/>
      <c r="W55" s="1771"/>
      <c r="X55" s="1771"/>
      <c r="Y55" s="1772"/>
      <c r="Z55" s="1821"/>
    </row>
    <row r="56" spans="1:26" s="91" customFormat="1" x14ac:dyDescent="0.2">
      <c r="A56" s="260"/>
      <c r="B56" s="487"/>
      <c r="C56" s="487"/>
      <c r="D56" s="487"/>
      <c r="E56" s="589"/>
      <c r="F56" s="1769"/>
      <c r="G56" s="1769"/>
      <c r="H56" s="261"/>
      <c r="I56" s="260"/>
      <c r="J56" s="487"/>
      <c r="K56" s="487"/>
      <c r="L56" s="487"/>
      <c r="M56" s="589"/>
      <c r="N56" s="1769"/>
      <c r="O56" s="1769"/>
      <c r="P56" s="1769"/>
      <c r="Q56" s="260"/>
      <c r="R56" s="487"/>
      <c r="S56" s="487"/>
      <c r="T56" s="487"/>
      <c r="U56" s="589"/>
      <c r="V56" s="1769"/>
      <c r="W56" s="1769"/>
      <c r="X56" s="1769"/>
      <c r="Y56" s="1741"/>
      <c r="Z56" s="1820"/>
    </row>
    <row r="57" spans="1:26" s="91" customFormat="1" x14ac:dyDescent="0.2">
      <c r="A57" s="260" t="s">
        <v>1660</v>
      </c>
      <c r="B57" s="487"/>
      <c r="C57" s="487"/>
      <c r="D57" s="487"/>
      <c r="E57" s="589"/>
      <c r="F57" s="1769"/>
      <c r="G57" s="1769"/>
      <c r="H57" s="261"/>
      <c r="I57" s="260"/>
      <c r="J57" s="487"/>
      <c r="K57" s="487"/>
      <c r="L57" s="487"/>
      <c r="M57" s="589"/>
      <c r="N57" s="1769"/>
      <c r="O57" s="1769"/>
      <c r="P57" s="1769"/>
      <c r="Q57" s="260"/>
      <c r="R57" s="487"/>
      <c r="S57" s="487"/>
      <c r="T57" s="487"/>
      <c r="U57" s="589"/>
      <c r="V57" s="1769"/>
      <c r="W57" s="1769"/>
      <c r="X57" s="1769"/>
      <c r="Y57" s="1741"/>
      <c r="Z57" s="1820"/>
    </row>
    <row r="58" spans="1:26" s="91" customFormat="1" x14ac:dyDescent="0.2">
      <c r="A58" s="1741" t="s">
        <v>1678</v>
      </c>
      <c r="B58" s="487"/>
      <c r="C58" s="487"/>
      <c r="D58" s="487"/>
      <c r="E58" s="589"/>
      <c r="F58" s="1773">
        <v>210</v>
      </c>
      <c r="G58" s="1769" t="s">
        <v>1668</v>
      </c>
      <c r="H58" s="261"/>
      <c r="I58" s="1741" t="s">
        <v>2319</v>
      </c>
      <c r="J58" s="487"/>
      <c r="K58" s="487"/>
      <c r="L58" s="487"/>
      <c r="M58" s="589"/>
      <c r="N58" s="1773">
        <v>210</v>
      </c>
      <c r="O58" s="1769" t="s">
        <v>1668</v>
      </c>
      <c r="P58" s="1769"/>
      <c r="Q58" s="1741" t="s">
        <v>2319</v>
      </c>
      <c r="R58" s="487"/>
      <c r="S58" s="487"/>
      <c r="T58" s="487"/>
      <c r="U58" s="589"/>
      <c r="V58" s="1773">
        <v>210</v>
      </c>
      <c r="W58" s="1769" t="s">
        <v>1668</v>
      </c>
      <c r="X58" s="1769"/>
      <c r="Y58" s="1741" t="s">
        <v>2319</v>
      </c>
      <c r="Z58" s="1820"/>
    </row>
    <row r="59" spans="1:26" s="91" customFormat="1" x14ac:dyDescent="0.2">
      <c r="A59" s="1741" t="s">
        <v>1679</v>
      </c>
      <c r="B59" s="2096">
        <f>B23*F58/1000000</f>
        <v>19683.929999999997</v>
      </c>
      <c r="C59" s="1769" t="s">
        <v>1668</v>
      </c>
      <c r="D59" s="1769"/>
      <c r="E59" s="589"/>
      <c r="F59" s="1769"/>
      <c r="G59" s="478"/>
      <c r="H59" s="261"/>
      <c r="I59" s="261"/>
      <c r="J59" s="2096">
        <f>J23*N58/1000000</f>
        <v>17629.71</v>
      </c>
      <c r="K59" s="1769" t="s">
        <v>1668</v>
      </c>
      <c r="L59" s="1769"/>
      <c r="M59" s="589"/>
      <c r="N59" s="1769"/>
      <c r="O59" s="478"/>
      <c r="P59" s="1769"/>
      <c r="Q59" s="261"/>
      <c r="R59" s="2096">
        <f>R23*V58/1000000</f>
        <v>18459.84</v>
      </c>
      <c r="S59" s="1769" t="s">
        <v>1668</v>
      </c>
      <c r="T59" s="1769"/>
      <c r="U59" s="589"/>
      <c r="V59" s="1769"/>
      <c r="W59" s="478"/>
      <c r="X59" s="1769"/>
      <c r="Y59" s="261"/>
      <c r="Z59" s="1820"/>
    </row>
    <row r="60" spans="1:26" s="91" customFormat="1" ht="13.5" x14ac:dyDescent="0.25">
      <c r="A60" s="1741" t="s">
        <v>1670</v>
      </c>
      <c r="B60" s="1823">
        <f>B59*0.001*Electricity!B49*tonTOMg</f>
        <v>7.5428279759272217</v>
      </c>
      <c r="C60" s="487" t="s">
        <v>2326</v>
      </c>
      <c r="D60" s="487"/>
      <c r="E60" s="589"/>
      <c r="F60" s="1769"/>
      <c r="G60" s="1769"/>
      <c r="H60" s="261"/>
      <c r="I60" s="261"/>
      <c r="J60" s="1823">
        <f>J59*0.001*Electricity!F49*tonTOMg</f>
        <v>6.8865325960843515</v>
      </c>
      <c r="K60" s="487" t="s">
        <v>2326</v>
      </c>
      <c r="L60" s="487"/>
      <c r="M60" s="589"/>
      <c r="N60" s="1769"/>
      <c r="O60" s="1769"/>
      <c r="P60" s="1769"/>
      <c r="Q60" s="261"/>
      <c r="R60" s="1823">
        <f>R59*0.001*Electricity!N49*tonTOMg</f>
        <v>8.1528211847868519</v>
      </c>
      <c r="S60" s="487" t="s">
        <v>2326</v>
      </c>
      <c r="T60" s="487"/>
      <c r="U60" s="589"/>
      <c r="V60" s="1769"/>
      <c r="W60" s="1769"/>
      <c r="X60" s="1769"/>
      <c r="Y60" s="261"/>
      <c r="Z60" s="1820"/>
    </row>
    <row r="61" spans="1:26" s="91" customFormat="1" x14ac:dyDescent="0.2">
      <c r="A61" s="260"/>
      <c r="B61" s="873"/>
      <c r="C61" s="487"/>
      <c r="D61" s="487"/>
      <c r="E61" s="589"/>
      <c r="F61" s="1769"/>
      <c r="G61" s="1769"/>
      <c r="H61" s="261"/>
      <c r="I61" s="261"/>
      <c r="J61" s="873"/>
      <c r="K61" s="487"/>
      <c r="L61" s="487"/>
      <c r="M61" s="589"/>
      <c r="N61" s="1769"/>
      <c r="O61" s="1769"/>
      <c r="P61" s="1769"/>
      <c r="Q61" s="261"/>
      <c r="R61" s="873"/>
      <c r="S61" s="487"/>
      <c r="T61" s="487"/>
      <c r="U61" s="589"/>
      <c r="V61" s="1769"/>
      <c r="W61" s="1769"/>
      <c r="X61" s="1769"/>
      <c r="Y61" s="261"/>
      <c r="Z61" s="1820"/>
    </row>
    <row r="62" spans="1:26" s="91" customFormat="1" x14ac:dyDescent="0.2">
      <c r="A62" s="260" t="s">
        <v>1671</v>
      </c>
      <c r="B62" s="487"/>
      <c r="C62" s="487"/>
      <c r="D62" s="487"/>
      <c r="E62" s="589"/>
      <c r="F62" s="1769"/>
      <c r="G62" s="1769"/>
      <c r="H62" s="261"/>
      <c r="I62" s="261"/>
      <c r="J62" s="487"/>
      <c r="K62" s="487"/>
      <c r="L62" s="487"/>
      <c r="M62" s="589"/>
      <c r="N62" s="1769"/>
      <c r="O62" s="1769"/>
      <c r="P62" s="1769"/>
      <c r="Q62" s="261"/>
      <c r="R62" s="487"/>
      <c r="S62" s="487"/>
      <c r="T62" s="487"/>
      <c r="U62" s="589"/>
      <c r="V62" s="1769"/>
      <c r="W62" s="1769"/>
      <c r="X62" s="1769"/>
      <c r="Y62" s="261"/>
      <c r="Z62" s="1820"/>
    </row>
    <row r="63" spans="1:26" s="91" customFormat="1" x14ac:dyDescent="0.2">
      <c r="A63" s="1741" t="s">
        <v>1678</v>
      </c>
      <c r="B63" s="487"/>
      <c r="C63" s="487"/>
      <c r="D63" s="487"/>
      <c r="E63" s="589"/>
      <c r="F63" s="1773">
        <v>210</v>
      </c>
      <c r="G63" s="1769" t="s">
        <v>1668</v>
      </c>
      <c r="H63" s="261"/>
      <c r="I63" s="1741" t="s">
        <v>2319</v>
      </c>
      <c r="J63" s="487"/>
      <c r="K63" s="487"/>
      <c r="L63" s="487"/>
      <c r="M63" s="589"/>
      <c r="N63" s="1773">
        <v>210</v>
      </c>
      <c r="O63" s="1769" t="s">
        <v>1668</v>
      </c>
      <c r="P63" s="1769"/>
      <c r="Q63" s="1741" t="s">
        <v>2319</v>
      </c>
      <c r="R63" s="487"/>
      <c r="S63" s="487"/>
      <c r="T63" s="487"/>
      <c r="U63" s="589"/>
      <c r="V63" s="1773">
        <v>210</v>
      </c>
      <c r="W63" s="1769" t="s">
        <v>1668</v>
      </c>
      <c r="X63" s="1769"/>
      <c r="Y63" s="1741" t="s">
        <v>2319</v>
      </c>
      <c r="Z63" s="1820"/>
    </row>
    <row r="64" spans="1:26" s="91" customFormat="1" x14ac:dyDescent="0.2">
      <c r="A64" s="1741" t="s">
        <v>1679</v>
      </c>
      <c r="B64" s="2096">
        <f>B35*F63/1000000</f>
        <v>9695.0699999999979</v>
      </c>
      <c r="C64" s="487" t="s">
        <v>2324</v>
      </c>
      <c r="D64" s="487"/>
      <c r="E64" s="589"/>
      <c r="F64" s="1769"/>
      <c r="G64" s="1769"/>
      <c r="H64" s="261"/>
      <c r="I64" s="260"/>
      <c r="J64" s="2096">
        <f>J35*N63/1000000</f>
        <v>8683.2900000000009</v>
      </c>
      <c r="K64" s="487" t="s">
        <v>2324</v>
      </c>
      <c r="L64" s="487"/>
      <c r="M64" s="589"/>
      <c r="N64" s="1769"/>
      <c r="O64" s="1769"/>
      <c r="P64" s="1769"/>
      <c r="Q64" s="260"/>
      <c r="R64" s="2096">
        <f>R35*V63/1000000</f>
        <v>9092.16</v>
      </c>
      <c r="S64" s="487" t="s">
        <v>2324</v>
      </c>
      <c r="T64" s="487"/>
      <c r="U64" s="589"/>
      <c r="V64" s="1769"/>
      <c r="W64" s="1769"/>
      <c r="X64" s="1769"/>
      <c r="Y64" s="1741"/>
      <c r="Z64" s="1820"/>
    </row>
    <row r="65" spans="1:27" s="91" customFormat="1" ht="13.5" x14ac:dyDescent="0.25">
      <c r="A65" s="1741" t="s">
        <v>1670</v>
      </c>
      <c r="B65" s="1823">
        <f>B64*0.001*Electricity!B49*tonTOMg</f>
        <v>3.7151242269492286</v>
      </c>
      <c r="C65" s="487" t="s">
        <v>2326</v>
      </c>
      <c r="D65" s="487"/>
      <c r="E65" s="589"/>
      <c r="F65" s="1769"/>
      <c r="G65" s="1769"/>
      <c r="H65" s="261"/>
      <c r="I65" s="260"/>
      <c r="J65" s="1823">
        <f>J64*0.001*Electricity!F49*tonTOMg</f>
        <v>3.3918742637430395</v>
      </c>
      <c r="K65" s="487" t="s">
        <v>2326</v>
      </c>
      <c r="L65" s="487"/>
      <c r="M65" s="589"/>
      <c r="N65" s="1769"/>
      <c r="O65" s="1769"/>
      <c r="P65" s="1769"/>
      <c r="Q65" s="260"/>
      <c r="R65" s="1823">
        <f>R64*0.001*Electricity!N49*tonTOMg</f>
        <v>4.015568643253224</v>
      </c>
      <c r="S65" s="487" t="s">
        <v>2326</v>
      </c>
      <c r="T65" s="487"/>
      <c r="U65" s="589"/>
      <c r="V65" s="1769"/>
      <c r="W65" s="1769"/>
      <c r="X65" s="1769"/>
      <c r="Y65" s="1741"/>
      <c r="Z65" s="1820" t="s">
        <v>1680</v>
      </c>
    </row>
    <row r="66" spans="1:27" s="91" customFormat="1" x14ac:dyDescent="0.2">
      <c r="A66" s="260"/>
      <c r="B66" s="487"/>
      <c r="C66" s="487"/>
      <c r="D66" s="487"/>
      <c r="E66" s="589"/>
      <c r="F66" s="1769"/>
      <c r="G66" s="1769"/>
      <c r="H66" s="261"/>
      <c r="I66" s="260"/>
      <c r="J66" s="487"/>
      <c r="K66" s="487"/>
      <c r="L66" s="487"/>
      <c r="M66" s="589"/>
      <c r="N66" s="1769"/>
      <c r="O66" s="1769"/>
      <c r="P66" s="1769"/>
      <c r="Q66" s="260"/>
      <c r="R66" s="487"/>
      <c r="S66" s="487"/>
      <c r="T66" s="487"/>
      <c r="U66" s="589"/>
      <c r="V66" s="1769"/>
      <c r="W66" s="1769"/>
      <c r="X66" s="1769"/>
      <c r="Y66" s="1741"/>
      <c r="Z66" s="1820"/>
    </row>
    <row r="67" spans="1:27" ht="13.5" x14ac:dyDescent="0.25">
      <c r="A67" s="199" t="s">
        <v>1681</v>
      </c>
      <c r="B67" s="2433">
        <f>SUM(B60,B65)*365.25</f>
        <v>4111.9670421006231</v>
      </c>
      <c r="C67" s="214" t="s">
        <v>207</v>
      </c>
      <c r="D67" s="214"/>
      <c r="E67" s="589"/>
      <c r="F67" s="1125"/>
      <c r="G67" s="392"/>
      <c r="H67" s="323"/>
      <c r="I67" s="326"/>
      <c r="J67" s="2433">
        <f>SUM(J60,J65)*365.25</f>
        <v>3754.1881055519548</v>
      </c>
      <c r="K67" s="214" t="s">
        <v>207</v>
      </c>
      <c r="L67" s="214"/>
      <c r="M67" s="589"/>
      <c r="N67" s="1125"/>
      <c r="O67" s="392"/>
      <c r="P67" s="226"/>
      <c r="Q67" s="383"/>
      <c r="R67" s="2433">
        <f>SUM(R60,R65)*365.25</f>
        <v>4444.5043846916378</v>
      </c>
      <c r="S67" s="214" t="s">
        <v>207</v>
      </c>
      <c r="T67" s="214"/>
      <c r="U67" s="589"/>
      <c r="V67" s="1125"/>
      <c r="W67" s="392"/>
      <c r="X67" s="226"/>
      <c r="Y67" s="383"/>
      <c r="Z67" s="1370"/>
    </row>
    <row r="68" spans="1:27" x14ac:dyDescent="0.2">
      <c r="A68" s="1479" t="s">
        <v>1546</v>
      </c>
      <c r="B68" s="1729"/>
      <c r="C68" s="1729"/>
      <c r="D68" s="1729"/>
      <c r="E68" s="1730"/>
      <c r="F68" s="1771"/>
      <c r="G68" s="1771"/>
      <c r="H68" s="2064"/>
      <c r="I68" s="2063"/>
      <c r="J68" s="1729"/>
      <c r="K68" s="1729"/>
      <c r="L68" s="1729"/>
      <c r="M68" s="1730"/>
      <c r="N68" s="1771"/>
      <c r="O68" s="1771"/>
      <c r="P68" s="1771"/>
      <c r="Q68" s="2020"/>
      <c r="R68" s="1729"/>
      <c r="S68" s="1729"/>
      <c r="T68" s="1729"/>
      <c r="U68" s="1730"/>
      <c r="V68" s="1771"/>
      <c r="W68" s="1771"/>
      <c r="X68" s="1771"/>
      <c r="Y68" s="1772"/>
      <c r="Z68" s="1731"/>
    </row>
    <row r="69" spans="1:27" x14ac:dyDescent="0.2">
      <c r="A69" s="216"/>
      <c r="B69" s="487"/>
      <c r="C69" s="487"/>
      <c r="D69" s="487"/>
      <c r="E69" s="589"/>
      <c r="F69" s="1774"/>
      <c r="G69" s="392"/>
      <c r="H69" s="900"/>
      <c r="I69" s="356"/>
      <c r="J69" s="487"/>
      <c r="K69" s="487"/>
      <c r="L69" s="487"/>
      <c r="M69" s="589"/>
      <c r="N69" s="1774"/>
      <c r="O69" s="392"/>
      <c r="P69" s="226"/>
      <c r="Q69" s="383"/>
      <c r="R69" s="487"/>
      <c r="S69" s="487"/>
      <c r="T69" s="487"/>
      <c r="U69" s="589"/>
      <c r="V69" s="1774"/>
      <c r="W69" s="392"/>
      <c r="X69" s="226"/>
      <c r="Y69" s="383"/>
      <c r="Z69" s="1370"/>
    </row>
    <row r="70" spans="1:27" x14ac:dyDescent="0.2">
      <c r="A70" s="216"/>
      <c r="B70" s="487"/>
      <c r="C70" s="487"/>
      <c r="D70" s="487"/>
      <c r="E70" s="589"/>
      <c r="F70" s="1774"/>
      <c r="G70" s="392"/>
      <c r="H70" s="900"/>
      <c r="I70" s="356"/>
      <c r="J70" s="487"/>
      <c r="K70" s="487"/>
      <c r="L70" s="487"/>
      <c r="M70" s="589"/>
      <c r="N70" s="1774"/>
      <c r="O70" s="392"/>
      <c r="P70" s="226"/>
      <c r="Q70" s="383"/>
      <c r="R70" s="487"/>
      <c r="S70" s="487"/>
      <c r="T70" s="487"/>
      <c r="U70" s="589"/>
      <c r="V70" s="1774"/>
      <c r="W70" s="392"/>
      <c r="X70" s="226"/>
      <c r="Y70" s="383"/>
      <c r="Z70" s="1370"/>
    </row>
    <row r="71" spans="1:27" x14ac:dyDescent="0.2">
      <c r="A71" s="216" t="s">
        <v>1682</v>
      </c>
      <c r="B71" s="2029">
        <f>F11</f>
        <v>139900000</v>
      </c>
      <c r="C71" s="487" t="s">
        <v>1833</v>
      </c>
      <c r="D71" s="487"/>
      <c r="E71" s="589"/>
      <c r="F71" s="1774"/>
      <c r="G71" s="392"/>
      <c r="H71" s="900"/>
      <c r="I71" s="356"/>
      <c r="J71" s="2029">
        <f>N11</f>
        <v>125300000</v>
      </c>
      <c r="K71" s="487" t="s">
        <v>1833</v>
      </c>
      <c r="L71" s="487"/>
      <c r="M71" s="589"/>
      <c r="N71" s="1774"/>
      <c r="O71" s="392"/>
      <c r="P71" s="226"/>
      <c r="Q71" s="383"/>
      <c r="R71" s="2029">
        <f>V11</f>
        <v>131200000</v>
      </c>
      <c r="S71" s="487" t="s">
        <v>1833</v>
      </c>
      <c r="T71" s="487"/>
      <c r="U71" s="589"/>
      <c r="V71" s="1774"/>
      <c r="W71" s="392"/>
      <c r="X71" s="226"/>
      <c r="Y71" s="383"/>
      <c r="Z71" s="1370"/>
    </row>
    <row r="72" spans="1:27" x14ac:dyDescent="0.2">
      <c r="A72" s="216" t="s">
        <v>1683</v>
      </c>
      <c r="B72" s="487"/>
      <c r="C72" s="487"/>
      <c r="D72" s="487"/>
      <c r="E72" s="589"/>
      <c r="F72" s="2434">
        <v>540</v>
      </c>
      <c r="G72" s="392" t="s">
        <v>1668</v>
      </c>
      <c r="H72" s="900"/>
      <c r="I72" s="1741" t="s">
        <v>2319</v>
      </c>
      <c r="J72" s="487"/>
      <c r="K72" s="487"/>
      <c r="L72" s="487"/>
      <c r="M72" s="589"/>
      <c r="N72" s="2435">
        <v>540</v>
      </c>
      <c r="O72" s="392" t="s">
        <v>1668</v>
      </c>
      <c r="P72" s="226"/>
      <c r="Q72" s="1741" t="s">
        <v>2319</v>
      </c>
      <c r="R72" s="487"/>
      <c r="S72" s="487"/>
      <c r="T72" s="487"/>
      <c r="U72" s="589"/>
      <c r="V72" s="2434">
        <v>540</v>
      </c>
      <c r="W72" s="392" t="s">
        <v>1668</v>
      </c>
      <c r="X72" s="226"/>
      <c r="Y72" s="1741" t="s">
        <v>2319</v>
      </c>
      <c r="Z72" s="1370"/>
    </row>
    <row r="73" spans="1:27" x14ac:dyDescent="0.2">
      <c r="A73" s="216" t="s">
        <v>1684</v>
      </c>
      <c r="B73" s="2096">
        <f>B71*F72/1000000</f>
        <v>75546</v>
      </c>
      <c r="C73" s="487" t="s">
        <v>2325</v>
      </c>
      <c r="D73" s="487"/>
      <c r="E73" s="589"/>
      <c r="F73" s="1774"/>
      <c r="G73" s="392"/>
      <c r="H73" s="900"/>
      <c r="I73" s="356"/>
      <c r="J73" s="2506">
        <f>J71*N72/1000000</f>
        <v>67662</v>
      </c>
      <c r="K73" s="487" t="s">
        <v>719</v>
      </c>
      <c r="L73" s="487" t="s">
        <v>2325</v>
      </c>
      <c r="M73" s="589"/>
      <c r="N73" s="1774"/>
      <c r="O73" s="392"/>
      <c r="P73" s="226"/>
      <c r="Q73" s="383"/>
      <c r="R73" s="2096">
        <f>R71*V72/1000000</f>
        <v>70848</v>
      </c>
      <c r="S73" s="487" t="s">
        <v>719</v>
      </c>
      <c r="T73" s="487" t="s">
        <v>2325</v>
      </c>
      <c r="U73" s="589"/>
      <c r="V73" s="1774"/>
      <c r="W73" s="392"/>
      <c r="X73" s="226"/>
      <c r="Y73" s="383"/>
      <c r="Z73" s="1370"/>
    </row>
    <row r="74" spans="1:27" ht="13.5" x14ac:dyDescent="0.25">
      <c r="A74" s="216" t="s">
        <v>1670</v>
      </c>
      <c r="B74" s="2098">
        <f>B73*0.001*Electricity!B49*tonTOMg*365.25</f>
        <v>10573.629536830178</v>
      </c>
      <c r="C74" s="487" t="s">
        <v>2327</v>
      </c>
      <c r="D74" s="214"/>
      <c r="E74" s="589" t="s">
        <v>2387</v>
      </c>
      <c r="F74" s="1774"/>
      <c r="G74" s="392"/>
      <c r="H74" s="900"/>
      <c r="I74" s="356"/>
      <c r="J74" s="2098">
        <f>J73*0.001*Electricity!F49*tonTOMg*365.25</f>
        <v>9653.6265571335989</v>
      </c>
      <c r="K74" s="487" t="s">
        <v>2327</v>
      </c>
      <c r="L74" s="214"/>
      <c r="M74" s="589" t="s">
        <v>2387</v>
      </c>
      <c r="N74" s="1539"/>
      <c r="O74" s="392"/>
      <c r="P74" s="226"/>
      <c r="Q74" s="383"/>
      <c r="R74" s="2098">
        <f>R73*0.001*Electricity!N49*tonTOMg*365.25</f>
        <v>11428.725560635638</v>
      </c>
      <c r="S74" s="487" t="s">
        <v>2327</v>
      </c>
      <c r="T74" s="214"/>
      <c r="U74" s="589" t="s">
        <v>2387</v>
      </c>
      <c r="V74" s="1774"/>
      <c r="W74" s="392"/>
      <c r="X74" s="226"/>
      <c r="Y74" s="383"/>
      <c r="Z74" s="1370"/>
    </row>
    <row r="75" spans="1:27" x14ac:dyDescent="0.2">
      <c r="A75" s="677"/>
      <c r="B75" s="487"/>
      <c r="C75" s="487"/>
      <c r="D75" s="487"/>
      <c r="E75" s="589"/>
      <c r="F75" s="822"/>
      <c r="G75" s="392"/>
      <c r="H75" s="900"/>
      <c r="I75" s="356"/>
      <c r="J75" s="487"/>
      <c r="K75" s="487"/>
      <c r="L75" s="487"/>
      <c r="M75" s="589"/>
      <c r="N75" s="822"/>
      <c r="O75" s="392"/>
      <c r="P75" s="392"/>
      <c r="Q75" s="326"/>
      <c r="R75" s="487"/>
      <c r="S75" s="487"/>
      <c r="T75" s="487"/>
      <c r="U75" s="589"/>
      <c r="V75" s="822"/>
      <c r="W75" s="392"/>
      <c r="X75" s="392"/>
      <c r="Y75" s="326"/>
      <c r="Z75" s="1375"/>
    </row>
    <row r="76" spans="1:27" x14ac:dyDescent="0.2">
      <c r="A76" s="1503" t="s">
        <v>21</v>
      </c>
      <c r="B76" s="2115">
        <f>SUM(B41,B54,B67,B74)</f>
        <v>16839.484077173984</v>
      </c>
      <c r="C76" s="2440" t="s">
        <v>163</v>
      </c>
      <c r="D76" s="1834"/>
      <c r="E76" s="1736"/>
      <c r="F76" s="1547"/>
      <c r="G76" s="1548"/>
      <c r="H76" s="2070"/>
      <c r="I76" s="1513"/>
      <c r="J76" s="2115">
        <f>SUM(J41,J54,J67,J74)</f>
        <v>15374.294146546101</v>
      </c>
      <c r="K76" s="2440" t="s">
        <v>163</v>
      </c>
      <c r="L76" s="1834"/>
      <c r="M76" s="1736"/>
      <c r="N76" s="1547"/>
      <c r="O76" s="1548"/>
      <c r="P76" s="1549"/>
      <c r="Q76" s="1550"/>
      <c r="R76" s="2115">
        <f>SUM(R41,R54,R67,R74)</f>
        <v>18201.303670641944</v>
      </c>
      <c r="S76" s="2440" t="s">
        <v>163</v>
      </c>
      <c r="T76" s="1834"/>
      <c r="U76" s="1736"/>
      <c r="V76" s="1547"/>
      <c r="W76" s="1548"/>
      <c r="X76" s="1549"/>
      <c r="Y76" s="1550"/>
      <c r="Z76" s="1737"/>
      <c r="AA76" s="2441"/>
    </row>
    <row r="77" spans="1:27" x14ac:dyDescent="0.2">
      <c r="A77" s="194"/>
      <c r="B77" s="131"/>
      <c r="C77" s="131"/>
      <c r="D77" s="131"/>
      <c r="E77" s="866"/>
      <c r="F77" s="2080"/>
      <c r="G77" s="866"/>
      <c r="H77" s="866"/>
      <c r="I77" s="335"/>
      <c r="J77" s="389"/>
      <c r="K77" s="312"/>
      <c r="L77" s="130"/>
      <c r="M77" s="383"/>
      <c r="N77" s="386"/>
      <c r="O77" s="386"/>
      <c r="P77" s="386"/>
      <c r="Q77" s="383"/>
      <c r="R77" s="487"/>
      <c r="S77" s="487"/>
      <c r="T77" s="487"/>
      <c r="U77" s="589"/>
      <c r="V77" s="389"/>
      <c r="W77" s="312"/>
      <c r="X77" s="130"/>
      <c r="Y77" s="383"/>
      <c r="Z77" s="1370"/>
      <c r="AA77" s="65"/>
    </row>
    <row r="78" spans="1:27" x14ac:dyDescent="0.2">
      <c r="A78" s="216" t="s">
        <v>2320</v>
      </c>
      <c r="B78" s="135"/>
      <c r="C78" s="312"/>
      <c r="D78" s="135"/>
      <c r="E78" s="323"/>
      <c r="F78" s="2079"/>
      <c r="G78" s="323"/>
      <c r="H78" s="323"/>
      <c r="I78" s="326"/>
      <c r="J78" s="821"/>
      <c r="K78" s="131"/>
      <c r="L78" s="131"/>
      <c r="M78" s="335"/>
      <c r="N78" s="866"/>
      <c r="O78" s="866"/>
      <c r="P78" s="866"/>
      <c r="Q78" s="335"/>
      <c r="U78" s="589"/>
      <c r="V78" s="821"/>
      <c r="W78" s="131"/>
      <c r="X78" s="131"/>
      <c r="Y78" s="335"/>
      <c r="Z78" s="1738"/>
    </row>
    <row r="79" spans="1:27" s="91" customFormat="1" x14ac:dyDescent="0.2">
      <c r="A79" s="216"/>
      <c r="B79" s="187"/>
      <c r="C79" s="187"/>
      <c r="D79" s="187"/>
      <c r="E79" s="386"/>
      <c r="F79" s="2081"/>
      <c r="G79" s="386"/>
      <c r="H79" s="386"/>
      <c r="I79" s="383"/>
      <c r="J79" s="821"/>
      <c r="K79" s="312"/>
      <c r="L79" s="131"/>
      <c r="M79" s="335"/>
      <c r="N79" s="866"/>
      <c r="O79" s="866"/>
      <c r="P79" s="866"/>
      <c r="Q79" s="335"/>
      <c r="R79" s="487"/>
      <c r="S79" s="487"/>
      <c r="T79" s="487"/>
      <c r="U79" s="589"/>
      <c r="V79" s="821"/>
      <c r="W79" s="312"/>
      <c r="X79" s="131"/>
      <c r="Y79" s="335"/>
      <c r="Z79" s="1738"/>
    </row>
    <row r="80" spans="1:27" s="91" customFormat="1" x14ac:dyDescent="0.2">
      <c r="A80" s="177"/>
      <c r="B80" s="187"/>
      <c r="C80" s="187"/>
      <c r="D80" s="187"/>
      <c r="E80" s="386"/>
      <c r="F80" s="2081"/>
      <c r="G80" s="386"/>
      <c r="H80" s="386"/>
      <c r="I80" s="383"/>
      <c r="J80" s="821"/>
      <c r="K80" s="131"/>
      <c r="L80" s="131"/>
      <c r="M80" s="335"/>
      <c r="N80" s="866"/>
      <c r="O80" s="866"/>
      <c r="P80" s="866"/>
      <c r="Q80" s="335"/>
      <c r="R80" s="487"/>
      <c r="S80" s="487"/>
      <c r="T80" s="487"/>
      <c r="U80" s="589"/>
      <c r="V80" s="821"/>
      <c r="W80" s="131"/>
      <c r="X80" s="131"/>
      <c r="Y80" s="335"/>
      <c r="Z80" s="1738"/>
    </row>
    <row r="81" spans="1:26" x14ac:dyDescent="0.2">
      <c r="A81" s="194"/>
      <c r="B81" s="187"/>
      <c r="C81" s="187"/>
      <c r="D81" s="187"/>
      <c r="E81" s="386"/>
      <c r="F81" s="2081"/>
      <c r="G81" s="386"/>
      <c r="H81" s="386"/>
      <c r="I81" s="383"/>
      <c r="J81" s="312"/>
      <c r="K81" s="312"/>
      <c r="L81" s="135"/>
      <c r="M81" s="326"/>
      <c r="N81" s="323"/>
      <c r="O81" s="323"/>
      <c r="P81" s="323"/>
      <c r="Q81" s="326"/>
      <c r="R81" s="487"/>
      <c r="S81" s="487"/>
      <c r="T81" s="487"/>
      <c r="U81" s="589"/>
      <c r="V81" s="312"/>
      <c r="W81" s="312"/>
      <c r="X81" s="135"/>
      <c r="Y81" s="326"/>
      <c r="Z81" s="1375"/>
    </row>
    <row r="82" spans="1:26" x14ac:dyDescent="0.2">
      <c r="A82" s="260"/>
      <c r="B82" s="187"/>
      <c r="C82" s="187"/>
      <c r="D82" s="187"/>
      <c r="E82" s="386"/>
      <c r="F82" s="2081"/>
      <c r="G82" s="386"/>
      <c r="H82" s="386"/>
      <c r="I82" s="383"/>
      <c r="J82" s="312"/>
      <c r="K82" s="312"/>
      <c r="L82" s="135"/>
      <c r="M82" s="326"/>
      <c r="N82" s="323"/>
      <c r="O82" s="323"/>
      <c r="P82" s="323"/>
      <c r="Q82" s="326"/>
      <c r="R82" s="487"/>
      <c r="S82" s="487"/>
      <c r="T82" s="487"/>
      <c r="U82" s="589"/>
      <c r="V82" s="312"/>
      <c r="W82" s="312"/>
      <c r="X82" s="135"/>
      <c r="Y82" s="326"/>
      <c r="Z82" s="1375"/>
    </row>
    <row r="83" spans="1:26" x14ac:dyDescent="0.2">
      <c r="A83" s="216"/>
      <c r="B83" s="187"/>
      <c r="C83" s="187"/>
      <c r="D83" s="187"/>
      <c r="E83" s="386"/>
      <c r="F83" s="2081"/>
      <c r="G83" s="386"/>
      <c r="H83" s="386"/>
      <c r="I83" s="383"/>
      <c r="J83" s="312"/>
      <c r="K83" s="312"/>
      <c r="L83" s="135"/>
      <c r="M83" s="326"/>
      <c r="N83" s="323"/>
      <c r="O83" s="323"/>
      <c r="P83" s="323"/>
      <c r="Q83" s="326"/>
      <c r="R83" s="487"/>
      <c r="S83" s="487"/>
      <c r="T83" s="487"/>
      <c r="U83" s="589"/>
      <c r="V83" s="312"/>
      <c r="W83" s="312"/>
      <c r="X83" s="135"/>
      <c r="Y83" s="326"/>
      <c r="Z83" s="1375"/>
    </row>
    <row r="84" spans="1:26" x14ac:dyDescent="0.2">
      <c r="A84" s="677"/>
      <c r="B84" s="198"/>
      <c r="C84" s="198"/>
      <c r="D84" s="198"/>
      <c r="E84" s="2071"/>
      <c r="F84" s="2082"/>
      <c r="G84" s="2071"/>
      <c r="H84" s="2071"/>
      <c r="I84" s="871"/>
      <c r="J84" s="312"/>
      <c r="K84" s="312"/>
      <c r="L84" s="135"/>
      <c r="M84" s="326"/>
      <c r="N84" s="323"/>
      <c r="O84" s="323"/>
      <c r="P84" s="323"/>
      <c r="Q84" s="326"/>
      <c r="R84" s="487"/>
      <c r="S84" s="487"/>
      <c r="T84" s="487"/>
      <c r="U84" s="589"/>
      <c r="V84" s="312"/>
      <c r="W84" s="312"/>
      <c r="X84" s="135"/>
      <c r="Y84" s="326"/>
      <c r="Z84" s="1375"/>
    </row>
    <row r="85" spans="1:26" x14ac:dyDescent="0.2">
      <c r="A85" s="166"/>
      <c r="B85" s="245"/>
      <c r="C85" s="245"/>
      <c r="D85" s="245"/>
      <c r="E85" s="372"/>
      <c r="F85" s="2083"/>
      <c r="G85" s="372"/>
      <c r="H85" s="372"/>
      <c r="I85" s="354"/>
      <c r="J85" s="389"/>
      <c r="K85" s="312"/>
      <c r="L85" s="130"/>
      <c r="M85" s="383"/>
      <c r="N85" s="386"/>
      <c r="O85" s="386"/>
      <c r="P85" s="386"/>
      <c r="Q85" s="383"/>
      <c r="R85" s="224"/>
      <c r="S85" s="224"/>
      <c r="T85" s="224"/>
      <c r="U85" s="1127"/>
      <c r="V85" s="389"/>
      <c r="W85" s="312"/>
      <c r="X85" s="130"/>
      <c r="Y85" s="383"/>
      <c r="Z85" s="1370"/>
    </row>
    <row r="86" spans="1:26" x14ac:dyDescent="0.2">
      <c r="A86" s="166"/>
      <c r="B86" s="245"/>
      <c r="C86" s="245"/>
      <c r="D86" s="245"/>
      <c r="E86" s="372"/>
      <c r="F86" s="2083"/>
      <c r="G86" s="372"/>
      <c r="H86" s="372"/>
      <c r="I86" s="354"/>
      <c r="J86" s="389"/>
      <c r="K86" s="312"/>
      <c r="L86" s="130"/>
      <c r="M86" s="383"/>
      <c r="N86" s="386"/>
      <c r="O86" s="386"/>
      <c r="P86" s="386"/>
      <c r="Q86" s="383"/>
      <c r="R86" s="224"/>
      <c r="S86" s="224"/>
      <c r="T86" s="224"/>
      <c r="U86" s="1127"/>
      <c r="V86" s="389"/>
      <c r="W86" s="312"/>
      <c r="X86" s="130"/>
      <c r="Y86" s="383"/>
      <c r="Z86" s="1370"/>
    </row>
    <row r="87" spans="1:26" x14ac:dyDescent="0.2">
      <c r="A87" s="216"/>
      <c r="B87" s="245"/>
      <c r="C87" s="245"/>
      <c r="D87" s="245"/>
      <c r="E87" s="372"/>
      <c r="F87" s="2083"/>
      <c r="G87" s="372"/>
      <c r="H87" s="372"/>
      <c r="I87" s="354"/>
      <c r="J87" s="1124"/>
      <c r="K87" s="245"/>
      <c r="L87" s="245"/>
      <c r="M87" s="354"/>
      <c r="N87" s="372"/>
      <c r="O87" s="372"/>
      <c r="P87" s="372"/>
      <c r="Q87" s="354"/>
      <c r="R87" s="224"/>
      <c r="S87" s="224"/>
      <c r="T87" s="224"/>
      <c r="U87" s="1127"/>
      <c r="V87" s="1124"/>
      <c r="W87" s="245"/>
      <c r="X87" s="245"/>
      <c r="Y87" s="354"/>
      <c r="Z87" s="1739"/>
    </row>
    <row r="88" spans="1:26" x14ac:dyDescent="0.2">
      <c r="A88" s="216"/>
      <c r="B88" s="198"/>
      <c r="C88" s="198"/>
      <c r="D88" s="198"/>
      <c r="E88" s="2071"/>
      <c r="F88" s="2082"/>
      <c r="G88" s="2071"/>
      <c r="H88" s="2071"/>
      <c r="I88" s="871"/>
      <c r="J88" s="1124"/>
      <c r="K88" s="312"/>
      <c r="L88" s="245"/>
      <c r="M88" s="354"/>
      <c r="N88" s="372"/>
      <c r="O88" s="372"/>
      <c r="P88" s="372"/>
      <c r="Q88" s="354"/>
      <c r="R88" s="224"/>
      <c r="S88" s="224"/>
      <c r="T88" s="224"/>
      <c r="U88" s="1127"/>
      <c r="V88" s="1124"/>
      <c r="W88" s="312"/>
      <c r="X88" s="245"/>
      <c r="Y88" s="354"/>
      <c r="Z88" s="1739"/>
    </row>
    <row r="89" spans="1:26" x14ac:dyDescent="0.2">
      <c r="A89" s="177"/>
      <c r="B89" s="225"/>
      <c r="C89" s="225"/>
      <c r="D89" s="225"/>
      <c r="E89" s="2072"/>
      <c r="F89" s="2084"/>
      <c r="G89" s="2072"/>
      <c r="H89" s="2072"/>
      <c r="I89" s="336"/>
      <c r="J89" s="89"/>
      <c r="K89" s="91"/>
      <c r="L89" s="200"/>
      <c r="M89" s="383"/>
      <c r="N89" s="386"/>
      <c r="O89" s="386"/>
      <c r="P89" s="386"/>
      <c r="Q89" s="383"/>
      <c r="R89" s="224"/>
      <c r="S89" s="224"/>
      <c r="T89" s="224"/>
      <c r="U89" s="1127"/>
      <c r="V89" s="89"/>
      <c r="W89" s="91"/>
      <c r="X89" s="200"/>
      <c r="Y89" s="383"/>
      <c r="Z89" s="1370"/>
    </row>
    <row r="90" spans="1:26" x14ac:dyDescent="0.2">
      <c r="A90" s="166"/>
      <c r="B90" s="67"/>
      <c r="C90" s="91"/>
      <c r="D90" s="67"/>
      <c r="E90" s="367"/>
      <c r="F90" s="2085"/>
      <c r="G90" s="367"/>
      <c r="H90" s="367"/>
      <c r="I90" s="329"/>
      <c r="J90" s="104"/>
      <c r="K90" s="67"/>
      <c r="L90" s="254"/>
      <c r="M90" s="383"/>
      <c r="N90" s="386"/>
      <c r="O90" s="386"/>
      <c r="P90" s="386"/>
      <c r="Q90" s="383"/>
      <c r="R90" s="224"/>
      <c r="S90" s="224"/>
      <c r="T90" s="224"/>
      <c r="U90" s="1127"/>
      <c r="V90" s="104"/>
      <c r="W90" s="67"/>
      <c r="X90" s="254"/>
      <c r="Y90" s="383"/>
      <c r="Z90" s="1370"/>
    </row>
    <row r="91" spans="1:26" x14ac:dyDescent="0.2">
      <c r="A91" s="260"/>
      <c r="B91" s="225"/>
      <c r="C91" s="225"/>
      <c r="D91" s="225"/>
      <c r="E91" s="2072"/>
      <c r="F91" s="2084"/>
      <c r="G91" s="2072"/>
      <c r="H91" s="2072"/>
      <c r="I91" s="336"/>
      <c r="J91" s="104"/>
      <c r="K91" s="67"/>
      <c r="L91" s="254"/>
      <c r="M91" s="383"/>
      <c r="N91" s="386"/>
      <c r="O91" s="386"/>
      <c r="P91" s="386"/>
      <c r="Q91" s="383"/>
      <c r="R91" s="224"/>
      <c r="S91" s="224"/>
      <c r="T91" s="224"/>
      <c r="U91" s="1127"/>
      <c r="V91" s="104"/>
      <c r="W91" s="67"/>
      <c r="X91" s="254"/>
      <c r="Y91" s="383"/>
      <c r="Z91" s="1370"/>
    </row>
    <row r="92" spans="1:26" x14ac:dyDescent="0.2">
      <c r="A92" s="216"/>
      <c r="B92" s="261"/>
      <c r="C92" s="261"/>
      <c r="D92" s="261"/>
      <c r="E92" s="2065"/>
      <c r="F92" s="2067"/>
      <c r="G92" s="2065"/>
      <c r="H92" s="2065"/>
      <c r="I92" s="339"/>
      <c r="J92" s="104"/>
      <c r="K92" s="67"/>
      <c r="L92" s="254"/>
      <c r="M92" s="383"/>
      <c r="N92" s="386"/>
      <c r="O92" s="386"/>
      <c r="P92" s="386"/>
      <c r="Q92" s="383"/>
      <c r="R92" s="224"/>
      <c r="S92" s="224"/>
      <c r="T92" s="224"/>
      <c r="U92" s="1127"/>
      <c r="V92" s="104"/>
      <c r="W92" s="67"/>
      <c r="X92" s="254"/>
      <c r="Y92" s="383"/>
      <c r="Z92" s="1370"/>
    </row>
    <row r="93" spans="1:26" x14ac:dyDescent="0.2">
      <c r="A93" s="677"/>
      <c r="B93" s="215"/>
      <c r="C93" s="215"/>
      <c r="D93" s="215"/>
      <c r="E93" s="2066"/>
      <c r="F93" s="2068"/>
      <c r="G93" s="2066"/>
      <c r="H93" s="2066"/>
      <c r="I93" s="333"/>
      <c r="J93" s="104"/>
      <c r="K93" s="67"/>
      <c r="L93" s="254"/>
      <c r="M93" s="383"/>
      <c r="N93" s="386"/>
      <c r="O93" s="386"/>
      <c r="P93" s="386"/>
      <c r="Q93" s="383"/>
      <c r="R93" s="224"/>
      <c r="S93" s="224"/>
      <c r="T93" s="224"/>
      <c r="U93" s="1127"/>
      <c r="V93" s="104"/>
      <c r="W93" s="67"/>
      <c r="X93" s="254"/>
      <c r="Y93" s="383"/>
      <c r="Z93" s="1370"/>
    </row>
    <row r="94" spans="1:26" x14ac:dyDescent="0.2">
      <c r="A94" s="166"/>
      <c r="B94" s="272"/>
      <c r="C94" s="272"/>
      <c r="D94" s="272"/>
      <c r="E94" s="351"/>
      <c r="F94" s="2086"/>
      <c r="G94" s="351"/>
      <c r="H94" s="351"/>
      <c r="I94" s="348"/>
      <c r="J94" s="89"/>
      <c r="K94" s="91"/>
      <c r="L94" s="292"/>
      <c r="M94" s="383"/>
      <c r="N94" s="386"/>
      <c r="O94" s="386"/>
      <c r="P94" s="386"/>
      <c r="Q94" s="383"/>
      <c r="R94" s="224"/>
      <c r="S94" s="224"/>
      <c r="T94" s="224"/>
      <c r="U94" s="1127"/>
      <c r="V94" s="89"/>
      <c r="W94" s="91"/>
      <c r="X94" s="292"/>
      <c r="Y94" s="383"/>
      <c r="Z94" s="1370"/>
    </row>
    <row r="95" spans="1:26" x14ac:dyDescent="0.2">
      <c r="A95" s="195"/>
      <c r="B95" s="223"/>
      <c r="C95" s="223"/>
      <c r="D95" s="223"/>
      <c r="E95" s="2073"/>
      <c r="F95" s="2087"/>
      <c r="G95" s="2073"/>
      <c r="H95" s="2073"/>
      <c r="I95" s="349"/>
      <c r="J95" s="91"/>
      <c r="K95" s="193"/>
      <c r="L95" s="200"/>
      <c r="M95" s="383"/>
      <c r="N95" s="386"/>
      <c r="O95" s="386"/>
      <c r="P95" s="386"/>
      <c r="Q95" s="383"/>
      <c r="R95" s="224"/>
      <c r="S95" s="224"/>
      <c r="T95" s="224"/>
      <c r="U95" s="1127"/>
      <c r="V95" s="91"/>
      <c r="W95" s="193"/>
      <c r="X95" s="200"/>
      <c r="Y95" s="383"/>
      <c r="Z95" s="1370"/>
    </row>
    <row r="96" spans="1:26" x14ac:dyDescent="0.2">
      <c r="A96" s="88"/>
      <c r="B96" s="273"/>
      <c r="C96" s="273"/>
      <c r="D96" s="273"/>
      <c r="E96" s="2074"/>
      <c r="F96" s="2088"/>
      <c r="G96" s="2074"/>
      <c r="H96" s="2074"/>
      <c r="I96" s="355"/>
      <c r="J96" s="104"/>
      <c r="K96" s="193"/>
      <c r="L96" s="254"/>
      <c r="M96" s="383"/>
      <c r="N96" s="386"/>
      <c r="O96" s="386"/>
      <c r="P96" s="386"/>
      <c r="Q96" s="383"/>
      <c r="R96" s="224"/>
      <c r="S96" s="224"/>
      <c r="T96" s="224"/>
      <c r="U96" s="1127"/>
      <c r="V96" s="104"/>
      <c r="W96" s="193"/>
      <c r="X96" s="254"/>
      <c r="Y96" s="383"/>
      <c r="Z96" s="1370"/>
    </row>
    <row r="97" spans="1:26" x14ac:dyDescent="0.2">
      <c r="A97" s="166"/>
      <c r="B97" s="275"/>
      <c r="C97" s="275"/>
      <c r="D97" s="275"/>
      <c r="E97" s="2075"/>
      <c r="F97" s="2089"/>
      <c r="G97" s="2075"/>
      <c r="H97" s="2075"/>
      <c r="I97" s="357"/>
      <c r="J97" s="104"/>
      <c r="K97" s="91"/>
      <c r="L97" s="200"/>
      <c r="M97" s="383"/>
      <c r="N97" s="386"/>
      <c r="O97" s="386"/>
      <c r="P97" s="386"/>
      <c r="Q97" s="383"/>
      <c r="R97" s="487"/>
      <c r="S97" s="487"/>
      <c r="T97" s="487"/>
      <c r="U97" s="589"/>
      <c r="V97" s="104"/>
      <c r="W97" s="91"/>
      <c r="X97" s="200"/>
      <c r="Y97" s="383"/>
      <c r="Z97" s="1370"/>
    </row>
    <row r="98" spans="1:26" x14ac:dyDescent="0.2">
      <c r="A98" s="166"/>
      <c r="B98" s="275"/>
      <c r="C98" s="275"/>
      <c r="D98" s="275"/>
      <c r="E98" s="2075"/>
      <c r="F98" s="2089"/>
      <c r="G98" s="2075"/>
      <c r="H98" s="2075"/>
      <c r="I98" s="357"/>
      <c r="J98" s="104"/>
      <c r="K98" s="91"/>
      <c r="L98" s="200"/>
      <c r="M98" s="383"/>
      <c r="N98" s="386"/>
      <c r="O98" s="386"/>
      <c r="P98" s="386"/>
      <c r="Q98" s="383"/>
      <c r="R98" s="487"/>
      <c r="S98" s="487"/>
      <c r="T98" s="487"/>
      <c r="U98" s="589"/>
      <c r="V98" s="104"/>
      <c r="W98" s="91"/>
      <c r="X98" s="200"/>
      <c r="Y98" s="383"/>
      <c r="Z98" s="1370"/>
    </row>
    <row r="99" spans="1:26" x14ac:dyDescent="0.2">
      <c r="A99" s="166"/>
      <c r="B99" s="276"/>
      <c r="C99" s="276"/>
      <c r="D99" s="276"/>
      <c r="E99" s="2074"/>
      <c r="F99" s="2088"/>
      <c r="G99" s="2074"/>
      <c r="H99" s="2074"/>
      <c r="I99" s="355"/>
      <c r="J99" s="100"/>
      <c r="K99" s="67"/>
      <c r="L99" s="200"/>
      <c r="M99" s="383"/>
      <c r="N99" s="386"/>
      <c r="O99" s="386"/>
      <c r="P99" s="386"/>
      <c r="Q99" s="383"/>
      <c r="R99" s="487"/>
      <c r="S99" s="487"/>
      <c r="T99" s="487"/>
      <c r="U99" s="589"/>
      <c r="V99" s="100"/>
      <c r="W99" s="67"/>
      <c r="X99" s="200"/>
      <c r="Y99" s="383"/>
      <c r="Z99" s="1370"/>
    </row>
    <row r="100" spans="1:26" x14ac:dyDescent="0.2">
      <c r="A100" s="166"/>
      <c r="B100" s="215"/>
      <c r="C100" s="215"/>
      <c r="D100" s="215"/>
      <c r="E100" s="2066"/>
      <c r="F100" s="2068"/>
      <c r="G100" s="2066"/>
      <c r="H100" s="2066"/>
      <c r="I100" s="333"/>
      <c r="J100" s="100"/>
      <c r="K100" s="67"/>
      <c r="L100" s="200"/>
      <c r="M100" s="383"/>
      <c r="N100" s="386"/>
      <c r="O100" s="386"/>
      <c r="P100" s="386"/>
      <c r="Q100" s="383"/>
      <c r="R100" s="487"/>
      <c r="S100" s="487"/>
      <c r="T100" s="487"/>
      <c r="U100" s="589"/>
      <c r="V100" s="100"/>
      <c r="W100" s="67"/>
      <c r="X100" s="200"/>
      <c r="Y100" s="383"/>
      <c r="Z100" s="1370"/>
    </row>
    <row r="101" spans="1:26" x14ac:dyDescent="0.2">
      <c r="A101" s="216"/>
      <c r="B101" s="215"/>
      <c r="C101" s="215"/>
      <c r="D101" s="215"/>
      <c r="E101" s="2066"/>
      <c r="F101" s="2068"/>
      <c r="G101" s="2066"/>
      <c r="H101" s="2066"/>
      <c r="I101" s="333"/>
      <c r="J101" s="217"/>
      <c r="K101" s="215"/>
      <c r="L101" s="215"/>
      <c r="M101" s="354"/>
      <c r="N101" s="372"/>
      <c r="O101" s="372"/>
      <c r="P101" s="372"/>
      <c r="Q101" s="354"/>
      <c r="R101" s="487"/>
      <c r="S101" s="487"/>
      <c r="T101" s="487"/>
      <c r="U101" s="589"/>
      <c r="V101" s="217"/>
      <c r="W101" s="215"/>
      <c r="X101" s="215"/>
      <c r="Y101" s="354"/>
      <c r="Z101" s="1739"/>
    </row>
    <row r="102" spans="1:26" x14ac:dyDescent="0.2">
      <c r="A102" s="216"/>
      <c r="B102" s="215"/>
      <c r="C102" s="215"/>
      <c r="D102" s="215"/>
      <c r="E102" s="2066"/>
      <c r="F102" s="2068"/>
      <c r="G102" s="2066"/>
      <c r="H102" s="2066"/>
      <c r="I102" s="333"/>
      <c r="J102" s="217"/>
      <c r="K102" s="91"/>
      <c r="L102" s="215"/>
      <c r="M102" s="354"/>
      <c r="N102" s="372"/>
      <c r="O102" s="372"/>
      <c r="P102" s="372"/>
      <c r="Q102" s="354"/>
      <c r="R102" s="487"/>
      <c r="S102" s="487"/>
      <c r="T102" s="487"/>
      <c r="U102" s="589"/>
      <c r="V102" s="217"/>
      <c r="W102" s="91"/>
      <c r="X102" s="215"/>
      <c r="Y102" s="354"/>
      <c r="Z102" s="1739"/>
    </row>
    <row r="103" spans="1:26" x14ac:dyDescent="0.2">
      <c r="A103" s="177"/>
      <c r="B103" s="272"/>
      <c r="C103" s="272"/>
      <c r="D103" s="272"/>
      <c r="E103" s="351"/>
      <c r="F103" s="2086"/>
      <c r="G103" s="351"/>
      <c r="H103" s="351"/>
      <c r="I103" s="348"/>
      <c r="J103" s="89"/>
      <c r="K103" s="91"/>
      <c r="L103" s="200"/>
      <c r="M103" s="383"/>
      <c r="N103" s="386"/>
      <c r="O103" s="386"/>
      <c r="P103" s="386"/>
      <c r="Q103" s="383"/>
      <c r="R103" s="487"/>
      <c r="S103" s="487"/>
      <c r="T103" s="487"/>
      <c r="U103" s="589"/>
      <c r="V103" s="89"/>
      <c r="W103" s="91"/>
      <c r="X103" s="200"/>
      <c r="Y103" s="383"/>
      <c r="Z103" s="1370"/>
    </row>
    <row r="104" spans="1:26" x14ac:dyDescent="0.2">
      <c r="A104" s="177"/>
      <c r="B104" s="272"/>
      <c r="C104" s="272"/>
      <c r="D104" s="272"/>
      <c r="E104" s="351"/>
      <c r="F104" s="2086"/>
      <c r="G104" s="351"/>
      <c r="H104" s="351"/>
      <c r="I104" s="348"/>
      <c r="J104" s="89"/>
      <c r="K104" s="91"/>
      <c r="L104" s="200"/>
      <c r="M104" s="383"/>
      <c r="N104" s="386"/>
      <c r="O104" s="386"/>
      <c r="P104" s="386"/>
      <c r="Q104" s="383"/>
      <c r="R104" s="487"/>
      <c r="S104" s="487"/>
      <c r="T104" s="487"/>
      <c r="U104" s="589"/>
      <c r="V104" s="89"/>
      <c r="W104" s="91"/>
      <c r="X104" s="200"/>
      <c r="Y104" s="383"/>
      <c r="Z104" s="1370"/>
    </row>
    <row r="105" spans="1:26" ht="12" customHeight="1" x14ac:dyDescent="0.2">
      <c r="A105" s="260"/>
      <c r="B105" s="275"/>
      <c r="C105" s="275"/>
      <c r="D105" s="275"/>
      <c r="E105" s="2075"/>
      <c r="F105" s="2089"/>
      <c r="G105" s="2075"/>
      <c r="H105" s="2075"/>
      <c r="I105" s="357"/>
      <c r="J105" s="142"/>
      <c r="K105" s="193"/>
      <c r="L105" s="254"/>
      <c r="M105" s="383"/>
      <c r="N105" s="386"/>
      <c r="O105" s="386"/>
      <c r="P105" s="386"/>
      <c r="Q105" s="383"/>
      <c r="R105" s="691"/>
      <c r="S105" s="691"/>
      <c r="T105" s="691"/>
      <c r="U105" s="614"/>
      <c r="V105" s="142"/>
      <c r="W105" s="193"/>
      <c r="X105" s="254"/>
      <c r="Y105" s="383"/>
      <c r="Z105" s="1370"/>
    </row>
    <row r="106" spans="1:26" s="91" customFormat="1" x14ac:dyDescent="0.2">
      <c r="A106" s="216"/>
      <c r="B106" s="275"/>
      <c r="C106" s="275"/>
      <c r="D106" s="275"/>
      <c r="E106" s="2075"/>
      <c r="F106" s="2089"/>
      <c r="G106" s="2075"/>
      <c r="H106" s="2075"/>
      <c r="I106" s="357"/>
      <c r="L106" s="67"/>
      <c r="M106" s="326"/>
      <c r="N106" s="323"/>
      <c r="O106" s="323"/>
      <c r="P106" s="323"/>
      <c r="Q106" s="326"/>
      <c r="R106" s="691"/>
      <c r="S106" s="691"/>
      <c r="T106" s="691"/>
      <c r="U106" s="614"/>
      <c r="X106" s="67"/>
      <c r="Y106" s="326"/>
      <c r="Z106" s="1375"/>
    </row>
    <row r="107" spans="1:26" s="91" customFormat="1" x14ac:dyDescent="0.2">
      <c r="A107" s="216"/>
      <c r="B107" s="215"/>
      <c r="C107" s="215"/>
      <c r="D107" s="215"/>
      <c r="E107" s="2066"/>
      <c r="F107" s="2068"/>
      <c r="G107" s="2066"/>
      <c r="H107" s="2066"/>
      <c r="I107" s="333"/>
      <c r="J107" s="142"/>
      <c r="K107" s="193"/>
      <c r="L107" s="254"/>
      <c r="M107" s="383"/>
      <c r="N107" s="386"/>
      <c r="O107" s="386"/>
      <c r="P107" s="386"/>
      <c r="Q107" s="383"/>
      <c r="R107" s="691"/>
      <c r="S107" s="691"/>
      <c r="T107" s="691"/>
      <c r="U107" s="614"/>
      <c r="V107" s="142"/>
      <c r="W107" s="193"/>
      <c r="X107" s="254"/>
      <c r="Y107" s="383"/>
      <c r="Z107" s="1370"/>
    </row>
    <row r="108" spans="1:26" x14ac:dyDescent="0.2">
      <c r="A108" s="216"/>
      <c r="B108" s="277"/>
      <c r="C108" s="277"/>
      <c r="D108" s="277"/>
      <c r="E108" s="2076"/>
      <c r="F108" s="2090"/>
      <c r="G108" s="2076"/>
      <c r="H108" s="2076"/>
      <c r="I108" s="350"/>
      <c r="J108" s="217"/>
      <c r="K108" s="215"/>
      <c r="L108" s="215"/>
      <c r="M108" s="354"/>
      <c r="N108" s="372"/>
      <c r="O108" s="372"/>
      <c r="P108" s="372"/>
      <c r="Q108" s="354"/>
      <c r="R108" s="691"/>
      <c r="S108" s="691"/>
      <c r="T108" s="691"/>
      <c r="U108" s="614"/>
      <c r="V108" s="217"/>
      <c r="W108" s="215"/>
      <c r="X108" s="215"/>
      <c r="Y108" s="354"/>
      <c r="Z108" s="1739"/>
    </row>
    <row r="109" spans="1:26" x14ac:dyDescent="0.2">
      <c r="A109" s="216"/>
      <c r="B109" s="272"/>
      <c r="C109" s="272"/>
      <c r="D109" s="272"/>
      <c r="E109" s="351"/>
      <c r="F109" s="2086"/>
      <c r="G109" s="351"/>
      <c r="H109" s="351"/>
      <c r="I109" s="348"/>
      <c r="J109" s="210"/>
      <c r="K109" s="193"/>
      <c r="L109" s="200"/>
      <c r="M109" s="383"/>
      <c r="N109" s="386"/>
      <c r="O109" s="386"/>
      <c r="P109" s="386"/>
      <c r="Q109" s="383"/>
      <c r="R109" s="487"/>
      <c r="S109" s="487"/>
      <c r="T109" s="487"/>
      <c r="U109" s="589"/>
      <c r="V109" s="210"/>
      <c r="W109" s="193"/>
      <c r="X109" s="200"/>
      <c r="Y109" s="383"/>
      <c r="Z109" s="1370"/>
    </row>
    <row r="110" spans="1:26" x14ac:dyDescent="0.2">
      <c r="A110" s="177"/>
      <c r="B110" s="276"/>
      <c r="C110" s="276"/>
      <c r="D110" s="276"/>
      <c r="E110" s="2074"/>
      <c r="F110" s="2088"/>
      <c r="G110" s="2074"/>
      <c r="H110" s="2074"/>
      <c r="I110" s="355"/>
      <c r="J110" s="262"/>
      <c r="K110" s="193"/>
      <c r="L110" s="200"/>
      <c r="M110" s="383"/>
      <c r="N110" s="386"/>
      <c r="O110" s="386"/>
      <c r="P110" s="386"/>
      <c r="Q110" s="383"/>
      <c r="R110" s="487"/>
      <c r="S110" s="487"/>
      <c r="T110" s="487"/>
      <c r="U110" s="589"/>
      <c r="V110" s="262"/>
      <c r="W110" s="193"/>
      <c r="X110" s="200"/>
      <c r="Y110" s="383"/>
      <c r="Z110" s="1370"/>
    </row>
    <row r="111" spans="1:26" x14ac:dyDescent="0.2">
      <c r="A111" s="177"/>
      <c r="B111" s="279"/>
      <c r="C111" s="279"/>
      <c r="D111" s="279"/>
      <c r="E111" s="2075"/>
      <c r="F111" s="2089"/>
      <c r="G111" s="2075"/>
      <c r="H111" s="2075"/>
      <c r="I111" s="357"/>
      <c r="J111" s="262"/>
      <c r="K111" s="193"/>
      <c r="L111" s="200"/>
      <c r="M111" s="383"/>
      <c r="N111" s="386"/>
      <c r="O111" s="386"/>
      <c r="P111" s="386"/>
      <c r="Q111" s="383"/>
      <c r="R111" s="487"/>
      <c r="S111" s="487"/>
      <c r="T111" s="487"/>
      <c r="U111" s="589"/>
      <c r="V111" s="262"/>
      <c r="W111" s="193"/>
      <c r="X111" s="200"/>
      <c r="Y111" s="383"/>
      <c r="Z111" s="1370"/>
    </row>
    <row r="112" spans="1:26" x14ac:dyDescent="0.2">
      <c r="A112" s="177"/>
      <c r="B112" s="279"/>
      <c r="C112" s="279"/>
      <c r="D112" s="279"/>
      <c r="E112" s="2075"/>
      <c r="F112" s="2089"/>
      <c r="G112" s="2075"/>
      <c r="H112" s="2075"/>
      <c r="I112" s="357"/>
      <c r="J112" s="262"/>
      <c r="K112" s="193"/>
      <c r="L112" s="200"/>
      <c r="M112" s="383"/>
      <c r="N112" s="386"/>
      <c r="O112" s="386"/>
      <c r="P112" s="386"/>
      <c r="Q112" s="383"/>
      <c r="R112" s="487"/>
      <c r="S112" s="487"/>
      <c r="T112" s="487"/>
      <c r="U112" s="589"/>
      <c r="V112" s="262"/>
      <c r="W112" s="193"/>
      <c r="X112" s="200"/>
      <c r="Y112" s="383"/>
      <c r="Z112" s="1370"/>
    </row>
    <row r="113" spans="1:26" x14ac:dyDescent="0.2">
      <c r="A113" s="177"/>
      <c r="B113" s="279"/>
      <c r="C113" s="279"/>
      <c r="D113" s="279"/>
      <c r="E113" s="2075"/>
      <c r="F113" s="2089"/>
      <c r="G113" s="2075"/>
      <c r="H113" s="2075"/>
      <c r="I113" s="357"/>
      <c r="J113" s="210"/>
      <c r="K113" s="67"/>
      <c r="L113" s="200"/>
      <c r="M113" s="383"/>
      <c r="N113" s="386"/>
      <c r="O113" s="386"/>
      <c r="P113" s="386"/>
      <c r="Q113" s="383"/>
      <c r="R113" s="487"/>
      <c r="S113" s="487"/>
      <c r="T113" s="487"/>
      <c r="U113" s="589"/>
      <c r="V113" s="210"/>
      <c r="W113" s="67"/>
      <c r="X113" s="200"/>
      <c r="Y113" s="383"/>
      <c r="Z113" s="1370"/>
    </row>
    <row r="114" spans="1:26" x14ac:dyDescent="0.2">
      <c r="A114" s="177"/>
      <c r="B114" s="279"/>
      <c r="C114" s="279"/>
      <c r="D114" s="279"/>
      <c r="E114" s="2075"/>
      <c r="F114" s="2089"/>
      <c r="G114" s="2075"/>
      <c r="H114" s="2075"/>
      <c r="I114" s="357"/>
      <c r="J114" s="142"/>
      <c r="K114" s="67"/>
      <c r="L114" s="67"/>
      <c r="M114" s="326"/>
      <c r="N114" s="323"/>
      <c r="O114" s="323"/>
      <c r="P114" s="323"/>
      <c r="Q114" s="326"/>
      <c r="R114" s="224"/>
      <c r="S114" s="224"/>
      <c r="T114" s="224"/>
      <c r="U114" s="1127"/>
      <c r="V114" s="142"/>
      <c r="W114" s="67"/>
      <c r="X114" s="67"/>
      <c r="Y114" s="326"/>
      <c r="Z114" s="1375"/>
    </row>
    <row r="115" spans="1:26" x14ac:dyDescent="0.2">
      <c r="A115" s="260"/>
      <c r="B115" s="276"/>
      <c r="C115" s="276"/>
      <c r="D115" s="276"/>
      <c r="E115" s="2074"/>
      <c r="F115" s="2088"/>
      <c r="G115" s="2074"/>
      <c r="H115" s="2074"/>
      <c r="I115" s="355"/>
      <c r="J115" s="142"/>
      <c r="K115" s="67"/>
      <c r="L115" s="67"/>
      <c r="M115" s="326"/>
      <c r="N115" s="323"/>
      <c r="O115" s="323"/>
      <c r="P115" s="323"/>
      <c r="Q115" s="326"/>
      <c r="R115" s="224"/>
      <c r="S115" s="224"/>
      <c r="T115" s="224"/>
      <c r="U115" s="1127"/>
      <c r="V115" s="142"/>
      <c r="W115" s="67"/>
      <c r="X115" s="67"/>
      <c r="Y115" s="326"/>
      <c r="Z115" s="1375"/>
    </row>
    <row r="116" spans="1:26" x14ac:dyDescent="0.2">
      <c r="A116" s="216"/>
      <c r="J116" s="142"/>
      <c r="K116" s="67"/>
      <c r="L116" s="67"/>
      <c r="M116" s="326"/>
      <c r="N116" s="323"/>
      <c r="O116" s="323"/>
      <c r="P116" s="323"/>
      <c r="Q116" s="326"/>
      <c r="R116" s="224"/>
      <c r="S116" s="224"/>
      <c r="T116" s="224"/>
      <c r="U116" s="1127"/>
      <c r="V116" s="142"/>
      <c r="W116" s="67"/>
      <c r="X116" s="67"/>
      <c r="Y116" s="326"/>
      <c r="Z116" s="1375"/>
    </row>
    <row r="117" spans="1:26" x14ac:dyDescent="0.2">
      <c r="A117" s="195"/>
      <c r="J117" s="104"/>
      <c r="K117" s="206"/>
      <c r="L117" s="200"/>
      <c r="M117" s="383"/>
      <c r="N117" s="386"/>
      <c r="O117" s="386"/>
      <c r="P117" s="386"/>
      <c r="Q117" s="383"/>
      <c r="R117" s="224"/>
      <c r="S117" s="224"/>
      <c r="T117" s="224"/>
      <c r="U117" s="1127"/>
      <c r="V117" s="104"/>
      <c r="W117" s="206"/>
      <c r="X117" s="200"/>
      <c r="Y117" s="383"/>
      <c r="Z117" s="1370"/>
    </row>
    <row r="118" spans="1:26" x14ac:dyDescent="0.2">
      <c r="A118" s="194"/>
      <c r="J118" s="101"/>
      <c r="K118" s="91"/>
      <c r="L118" s="292"/>
      <c r="M118" s="383"/>
      <c r="N118" s="386"/>
      <c r="O118" s="386"/>
      <c r="P118" s="386"/>
      <c r="Q118" s="383"/>
      <c r="R118" s="224"/>
      <c r="S118" s="224"/>
      <c r="T118" s="224"/>
      <c r="U118" s="1127"/>
      <c r="V118" s="101"/>
      <c r="W118" s="91"/>
      <c r="X118" s="292"/>
      <c r="Y118" s="383"/>
      <c r="Z118" s="1370"/>
    </row>
    <row r="119" spans="1:26" x14ac:dyDescent="0.2">
      <c r="A119" s="194"/>
      <c r="J119" s="104"/>
      <c r="K119" s="196"/>
      <c r="L119" s="254"/>
      <c r="M119" s="383"/>
      <c r="N119" s="386"/>
      <c r="O119" s="386"/>
      <c r="P119" s="386"/>
      <c r="Q119" s="383"/>
      <c r="R119" s="224"/>
      <c r="S119" s="224"/>
      <c r="T119" s="224"/>
      <c r="U119" s="1127"/>
      <c r="V119" s="104"/>
      <c r="W119" s="196"/>
      <c r="X119" s="254"/>
      <c r="Y119" s="383"/>
      <c r="Z119" s="1370"/>
    </row>
    <row r="120" spans="1:26" x14ac:dyDescent="0.2">
      <c r="A120" s="117"/>
      <c r="B120" s="215"/>
      <c r="C120" s="215"/>
      <c r="D120" s="215"/>
      <c r="E120" s="2066"/>
      <c r="F120" s="2068"/>
      <c r="G120" s="2066"/>
      <c r="H120" s="2066"/>
      <c r="I120" s="333"/>
      <c r="J120" s="142"/>
      <c r="K120" s="142"/>
      <c r="L120" s="200"/>
      <c r="M120" s="383"/>
      <c r="N120" s="386"/>
      <c r="O120" s="386"/>
      <c r="P120" s="386"/>
      <c r="Q120" s="383"/>
      <c r="R120" s="224"/>
      <c r="S120" s="224"/>
      <c r="T120" s="224"/>
      <c r="U120" s="1127"/>
      <c r="V120" s="142"/>
      <c r="W120" s="142"/>
      <c r="X120" s="200"/>
      <c r="Y120" s="383"/>
      <c r="Z120" s="1370"/>
    </row>
    <row r="121" spans="1:26" x14ac:dyDescent="0.2">
      <c r="A121" s="216"/>
      <c r="J121" s="217"/>
      <c r="K121" s="215"/>
      <c r="L121" s="215"/>
      <c r="M121" s="354"/>
      <c r="N121" s="372"/>
      <c r="O121" s="372"/>
      <c r="P121" s="372"/>
      <c r="Q121" s="354"/>
      <c r="R121" s="224"/>
      <c r="S121" s="224"/>
      <c r="T121" s="224"/>
      <c r="U121" s="1127"/>
      <c r="V121" s="217"/>
      <c r="W121" s="215"/>
      <c r="X121" s="215"/>
      <c r="Y121" s="354"/>
      <c r="Z121" s="1739"/>
    </row>
    <row r="122" spans="1:26" s="91" customFormat="1" x14ac:dyDescent="0.2">
      <c r="A122" s="177"/>
      <c r="B122" s="5"/>
      <c r="C122"/>
      <c r="D122" s="5"/>
      <c r="E122" s="2077"/>
      <c r="F122" s="2091"/>
      <c r="G122" s="2077"/>
      <c r="H122" s="2077"/>
      <c r="I122" s="327"/>
      <c r="J122" s="218"/>
      <c r="K122" s="193"/>
      <c r="L122" s="215"/>
      <c r="M122" s="354"/>
      <c r="N122" s="372"/>
      <c r="O122" s="372"/>
      <c r="P122" s="372"/>
      <c r="Q122" s="354"/>
      <c r="R122" s="224"/>
      <c r="S122" s="224"/>
      <c r="T122" s="224"/>
      <c r="U122" s="1127"/>
      <c r="V122" s="218"/>
      <c r="W122" s="193"/>
      <c r="X122" s="215"/>
      <c r="Y122" s="354"/>
      <c r="Z122" s="1739"/>
    </row>
    <row r="123" spans="1:26" x14ac:dyDescent="0.2">
      <c r="A123" s="195"/>
      <c r="J123" s="294"/>
      <c r="K123" s="193"/>
      <c r="L123" s="200"/>
      <c r="M123" s="383"/>
      <c r="N123" s="386"/>
      <c r="O123" s="386"/>
      <c r="P123" s="386"/>
      <c r="Q123" s="383"/>
      <c r="R123" s="224"/>
      <c r="S123" s="224"/>
      <c r="T123" s="224"/>
      <c r="U123" s="1127"/>
      <c r="V123" s="294"/>
      <c r="W123" s="193"/>
      <c r="X123" s="200"/>
      <c r="Y123" s="383"/>
      <c r="Z123" s="1370"/>
    </row>
    <row r="124" spans="1:26" x14ac:dyDescent="0.2">
      <c r="A124" s="252"/>
      <c r="J124" s="211"/>
      <c r="K124" s="193"/>
      <c r="L124" s="200"/>
      <c r="M124" s="383"/>
      <c r="N124" s="386"/>
      <c r="O124" s="386"/>
      <c r="P124" s="386"/>
      <c r="Q124" s="383"/>
      <c r="R124" s="224"/>
      <c r="S124" s="224"/>
      <c r="T124" s="224"/>
      <c r="U124" s="1127"/>
      <c r="V124" s="211"/>
      <c r="W124" s="193"/>
      <c r="X124" s="200"/>
      <c r="Y124" s="383"/>
      <c r="Z124" s="1370"/>
    </row>
    <row r="125" spans="1:26" x14ac:dyDescent="0.2">
      <c r="A125" s="252"/>
      <c r="J125" s="211"/>
      <c r="K125" s="193"/>
      <c r="L125" s="200"/>
      <c r="M125" s="383"/>
      <c r="N125" s="386"/>
      <c r="O125" s="386"/>
      <c r="P125" s="386"/>
      <c r="Q125" s="383"/>
      <c r="R125" s="224"/>
      <c r="S125" s="224"/>
      <c r="T125" s="224"/>
      <c r="U125" s="1127"/>
      <c r="V125" s="211"/>
      <c r="W125" s="193"/>
      <c r="X125" s="200"/>
      <c r="Y125" s="383"/>
      <c r="Z125" s="1370"/>
    </row>
    <row r="126" spans="1:26" x14ac:dyDescent="0.2">
      <c r="A126" s="252"/>
      <c r="J126" s="211"/>
      <c r="K126" s="193"/>
      <c r="L126" s="200"/>
      <c r="M126" s="383"/>
      <c r="N126" s="386"/>
      <c r="O126" s="386"/>
      <c r="P126" s="386"/>
      <c r="Q126" s="383"/>
      <c r="R126" s="224"/>
      <c r="S126" s="224"/>
      <c r="T126" s="224"/>
      <c r="U126" s="1127"/>
      <c r="V126" s="211"/>
      <c r="W126" s="193"/>
      <c r="X126" s="200"/>
      <c r="Y126" s="383"/>
      <c r="Z126" s="1370"/>
    </row>
    <row r="127" spans="1:26" x14ac:dyDescent="0.2">
      <c r="A127" s="252"/>
      <c r="J127" s="210"/>
      <c r="K127" s="67"/>
      <c r="L127" s="200"/>
      <c r="M127" s="383"/>
      <c r="N127" s="386"/>
      <c r="O127" s="386"/>
      <c r="P127" s="386"/>
      <c r="Q127" s="383"/>
      <c r="R127" s="224"/>
      <c r="S127" s="224"/>
      <c r="T127" s="224"/>
      <c r="U127" s="1127"/>
      <c r="V127" s="210"/>
      <c r="W127" s="67"/>
      <c r="X127" s="200"/>
      <c r="Y127" s="383"/>
      <c r="Z127" s="1370"/>
    </row>
    <row r="128" spans="1:26" x14ac:dyDescent="0.2">
      <c r="A128" s="612"/>
      <c r="J128" s="210"/>
      <c r="K128" s="193"/>
      <c r="L128" s="200"/>
      <c r="M128" s="383"/>
      <c r="N128" s="386"/>
      <c r="O128" s="386"/>
      <c r="P128" s="386"/>
      <c r="Q128" s="383"/>
      <c r="R128" s="224"/>
      <c r="S128" s="224"/>
      <c r="T128" s="224"/>
      <c r="U128" s="1127"/>
      <c r="V128" s="210"/>
      <c r="W128" s="193"/>
      <c r="X128" s="200"/>
      <c r="Y128" s="383"/>
      <c r="Z128" s="1370"/>
    </row>
    <row r="129" spans="1:26" x14ac:dyDescent="0.2">
      <c r="A129" s="612"/>
      <c r="J129" s="210"/>
      <c r="K129" s="206"/>
      <c r="L129" s="200"/>
      <c r="M129" s="383"/>
      <c r="N129" s="386"/>
      <c r="O129" s="386"/>
      <c r="P129" s="386"/>
      <c r="Q129" s="383"/>
      <c r="R129" s="224"/>
      <c r="S129" s="224"/>
      <c r="T129" s="224"/>
      <c r="U129" s="1127"/>
      <c r="V129" s="210"/>
      <c r="W129" s="206"/>
      <c r="X129" s="200"/>
      <c r="Y129" s="383"/>
      <c r="Z129" s="1370"/>
    </row>
    <row r="130" spans="1:26" x14ac:dyDescent="0.2">
      <c r="A130" s="252"/>
      <c r="J130" s="250"/>
      <c r="K130" s="257"/>
      <c r="L130" s="570"/>
      <c r="M130" s="335"/>
      <c r="N130" s="866"/>
      <c r="O130" s="866"/>
      <c r="P130" s="866"/>
      <c r="Q130" s="335"/>
      <c r="R130" s="224"/>
      <c r="S130" s="224"/>
      <c r="T130" s="224"/>
      <c r="U130" s="1127"/>
      <c r="V130" s="250"/>
      <c r="W130" s="257"/>
      <c r="X130" s="570"/>
      <c r="Y130" s="335"/>
      <c r="Z130" s="1738"/>
    </row>
    <row r="131" spans="1:26" x14ac:dyDescent="0.2">
      <c r="A131" s="256"/>
      <c r="J131" s="220"/>
      <c r="K131" s="206"/>
      <c r="L131" s="200"/>
      <c r="M131" s="383"/>
      <c r="N131" s="386"/>
      <c r="O131" s="386"/>
      <c r="P131" s="386"/>
      <c r="Q131" s="383"/>
      <c r="R131" s="224"/>
      <c r="S131" s="224"/>
      <c r="T131" s="224"/>
      <c r="U131" s="1127"/>
      <c r="V131" s="220"/>
      <c r="W131" s="206"/>
      <c r="X131" s="200"/>
      <c r="Y131" s="383"/>
      <c r="Z131" s="1370"/>
    </row>
    <row r="132" spans="1:26" x14ac:dyDescent="0.2">
      <c r="A132" s="194"/>
      <c r="J132" s="104"/>
      <c r="K132" s="193"/>
      <c r="L132" s="91"/>
      <c r="M132" s="326"/>
      <c r="N132" s="323"/>
      <c r="O132" s="323"/>
      <c r="P132" s="323"/>
      <c r="Q132" s="326"/>
      <c r="R132" s="224"/>
      <c r="S132" s="224"/>
      <c r="T132" s="224"/>
      <c r="U132" s="1127"/>
      <c r="V132" s="104"/>
      <c r="W132" s="193"/>
      <c r="X132" s="91"/>
      <c r="Y132" s="326"/>
      <c r="Z132" s="1375"/>
    </row>
    <row r="133" spans="1:26" x14ac:dyDescent="0.2">
      <c r="A133" s="194"/>
      <c r="J133" s="104"/>
      <c r="K133" s="193"/>
      <c r="L133" s="104"/>
      <c r="M133" s="395"/>
      <c r="N133" s="1485"/>
      <c r="O133" s="1485"/>
      <c r="P133" s="1485"/>
      <c r="Q133" s="395"/>
      <c r="R133" s="224"/>
      <c r="S133" s="224"/>
      <c r="T133" s="224"/>
      <c r="U133" s="1127"/>
      <c r="V133" s="104"/>
      <c r="W133" s="193"/>
      <c r="X133" s="104"/>
      <c r="Y133" s="395"/>
      <c r="Z133" s="1740"/>
    </row>
    <row r="134" spans="1:26" x14ac:dyDescent="0.2">
      <c r="A134" s="655"/>
      <c r="J134" s="104"/>
      <c r="K134" s="193"/>
      <c r="L134" s="104"/>
      <c r="M134" s="395"/>
      <c r="N134" s="1485"/>
      <c r="O134" s="1485"/>
      <c r="P134" s="1485"/>
      <c r="Q134" s="395"/>
      <c r="R134" s="224"/>
      <c r="S134" s="224"/>
      <c r="T134" s="224"/>
      <c r="U134" s="1127"/>
      <c r="V134" s="104"/>
      <c r="W134" s="193"/>
      <c r="X134" s="104"/>
      <c r="Y134" s="395"/>
      <c r="Z134" s="1740"/>
    </row>
    <row r="135" spans="1:26" x14ac:dyDescent="0.2">
      <c r="A135" s="194"/>
      <c r="J135" s="104"/>
      <c r="K135" s="67"/>
      <c r="L135" s="91"/>
      <c r="M135" s="326"/>
      <c r="N135" s="323"/>
      <c r="O135" s="323"/>
      <c r="P135" s="323"/>
      <c r="Q135" s="326"/>
      <c r="R135" s="224"/>
      <c r="S135" s="224"/>
      <c r="T135" s="224"/>
      <c r="U135" s="1127"/>
      <c r="V135" s="104"/>
      <c r="W135" s="67"/>
      <c r="X135" s="91"/>
      <c r="Y135" s="326"/>
      <c r="Z135" s="1375"/>
    </row>
    <row r="136" spans="1:26" x14ac:dyDescent="0.2">
      <c r="A136" s="122"/>
      <c r="J136" s="104"/>
      <c r="K136" s="67"/>
      <c r="L136" s="91"/>
      <c r="M136" s="326"/>
      <c r="N136" s="323"/>
      <c r="O136" s="323"/>
      <c r="P136" s="323"/>
      <c r="Q136" s="326"/>
      <c r="V136" s="104"/>
      <c r="W136" s="67"/>
      <c r="X136" s="91"/>
      <c r="Y136" s="326"/>
      <c r="Z136" s="1375"/>
    </row>
    <row r="137" spans="1:26" x14ac:dyDescent="0.2">
      <c r="A137" s="122"/>
      <c r="K137" s="5"/>
      <c r="W137" s="5"/>
    </row>
    <row r="138" spans="1:26" x14ac:dyDescent="0.2">
      <c r="A138" s="117"/>
    </row>
  </sheetData>
  <customSheetViews>
    <customSheetView guid="{9BEC6399-AE85-4D88-8FBA-3674E2F30307}">
      <selection activeCell="J33" sqref="J33"/>
      <pageMargins left="0.7" right="0.7" top="0.75" bottom="0.75" header="0.3" footer="0.3"/>
    </customSheetView>
    <customSheetView guid="{0347A67A-6027-4907-965C-6EA2A8295536}">
      <selection activeCell="B79" sqref="B79"/>
      <pageMargins left="0.7" right="0.7" top="0.75" bottom="0.75" header="0.3" footer="0.3"/>
    </customSheetView>
    <customSheetView guid="{15CC7F3D-99AB-49C1-AC00-E04D3FE3FBC1}" topLeftCell="A10">
      <selection activeCell="J21" sqref="J21"/>
      <pageMargins left="0.7" right="0.7" top="0.75" bottom="0.75" header="0.3" footer="0.3"/>
      <pageSetup orientation="portrait" horizontalDpi="1200" verticalDpi="1200" r:id="rId1"/>
    </customSheetView>
  </customSheetViews>
  <mergeCells count="9">
    <mergeCell ref="B2:E2"/>
    <mergeCell ref="F2:H2"/>
    <mergeCell ref="B1:I1"/>
    <mergeCell ref="R1:Y1"/>
    <mergeCell ref="V2:X2"/>
    <mergeCell ref="J1:Q1"/>
    <mergeCell ref="R2:U2"/>
    <mergeCell ref="J2:M2"/>
    <mergeCell ref="N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X114"/>
  <sheetViews>
    <sheetView topLeftCell="B5" workbookViewId="0">
      <selection activeCell="N30" sqref="N30"/>
    </sheetView>
  </sheetViews>
  <sheetFormatPr defaultColWidth="8.85546875" defaultRowHeight="12" x14ac:dyDescent="0.2"/>
  <cols>
    <col min="1" max="1" width="37.42578125" style="1" customWidth="1"/>
    <col min="2" max="2" width="9.42578125" style="5" customWidth="1"/>
    <col min="3" max="3" width="9.42578125" customWidth="1"/>
    <col min="4" max="4" width="11.7109375" style="5" customWidth="1"/>
    <col min="5" max="5" width="9.42578125" style="327" customWidth="1"/>
    <col min="6" max="7" width="9.42578125" customWidth="1"/>
    <col min="8" max="8" width="14.85546875" bestFit="1" customWidth="1"/>
    <col min="9" max="9" width="9.42578125" style="325" customWidth="1"/>
    <col min="10" max="10" width="13.7109375" customWidth="1"/>
    <col min="11" max="11" width="9.42578125" customWidth="1"/>
    <col min="12" max="12" width="14.85546875" bestFit="1" customWidth="1"/>
    <col min="13" max="13" width="9.42578125" style="325" customWidth="1"/>
    <col min="14" max="15" width="9.42578125" customWidth="1"/>
    <col min="16" max="16" width="14.85546875" bestFit="1" customWidth="1"/>
    <col min="17" max="17" width="9.42578125" style="325" customWidth="1"/>
  </cols>
  <sheetData>
    <row r="1" spans="1:24" x14ac:dyDescent="0.2">
      <c r="A1" s="114"/>
      <c r="B1" s="2561" t="s">
        <v>857</v>
      </c>
      <c r="C1" s="2562"/>
      <c r="D1" s="2562"/>
      <c r="E1" s="2563"/>
      <c r="F1" s="2561" t="s">
        <v>205</v>
      </c>
      <c r="G1" s="2562"/>
      <c r="H1" s="2562"/>
      <c r="I1" s="2563"/>
      <c r="J1" s="2561" t="s">
        <v>1535</v>
      </c>
      <c r="K1" s="2562"/>
      <c r="L1" s="2562"/>
      <c r="M1" s="2563"/>
      <c r="N1" s="65" t="s">
        <v>1542</v>
      </c>
      <c r="Q1"/>
      <c r="S1" s="91"/>
      <c r="T1" s="91"/>
      <c r="U1" s="91"/>
    </row>
    <row r="2" spans="1:24" x14ac:dyDescent="0.2">
      <c r="A2" s="114" t="s">
        <v>604</v>
      </c>
      <c r="B2" s="209" t="s">
        <v>602</v>
      </c>
      <c r="C2" s="1996" t="s">
        <v>601</v>
      </c>
      <c r="D2" s="1996" t="s">
        <v>603</v>
      </c>
      <c r="E2" s="1997" t="s">
        <v>420</v>
      </c>
      <c r="F2" s="209" t="s">
        <v>602</v>
      </c>
      <c r="G2" s="1996" t="s">
        <v>601</v>
      </c>
      <c r="H2" s="1996" t="s">
        <v>603</v>
      </c>
      <c r="I2" s="1997" t="s">
        <v>420</v>
      </c>
      <c r="J2" s="209" t="s">
        <v>602</v>
      </c>
      <c r="K2" s="1996" t="s">
        <v>601</v>
      </c>
      <c r="L2" s="1996" t="s">
        <v>603</v>
      </c>
      <c r="M2" s="1997" t="s">
        <v>420</v>
      </c>
      <c r="N2" s="214" t="s">
        <v>1539</v>
      </c>
      <c r="O2" s="695" t="s">
        <v>1540</v>
      </c>
      <c r="P2" s="1493" t="s">
        <v>1541</v>
      </c>
      <c r="Q2" s="481">
        <v>5</v>
      </c>
      <c r="S2" s="91"/>
      <c r="T2" s="1493"/>
      <c r="U2" s="687"/>
    </row>
    <row r="3" spans="1:24" x14ac:dyDescent="0.2">
      <c r="A3" s="1467" t="s">
        <v>1537</v>
      </c>
      <c r="B3" s="1468"/>
      <c r="C3" s="1468"/>
      <c r="D3" s="1468"/>
      <c r="E3" s="1470"/>
      <c r="F3" s="1468"/>
      <c r="G3" s="1468"/>
      <c r="H3" s="1468"/>
      <c r="I3" s="1477"/>
      <c r="J3" s="1468"/>
      <c r="K3" s="1468"/>
      <c r="L3" s="1468"/>
      <c r="M3" s="1484"/>
      <c r="N3" s="1494"/>
      <c r="O3" s="1484"/>
      <c r="P3" s="1484"/>
      <c r="Q3" s="1484"/>
      <c r="S3" s="91"/>
      <c r="T3" s="2015"/>
      <c r="U3" s="2015"/>
    </row>
    <row r="4" spans="1:24" x14ac:dyDescent="0.2">
      <c r="A4" s="260"/>
      <c r="B4" s="261"/>
      <c r="C4" s="261"/>
      <c r="D4" s="261"/>
      <c r="E4" s="339"/>
      <c r="F4" s="261"/>
      <c r="G4" s="261"/>
      <c r="H4" s="261"/>
      <c r="I4" s="1126"/>
      <c r="J4" s="261"/>
      <c r="K4" s="261"/>
      <c r="L4" s="261"/>
      <c r="M4" s="1126"/>
      <c r="Q4"/>
      <c r="S4" s="91"/>
      <c r="T4" s="91"/>
      <c r="U4" s="91"/>
    </row>
    <row r="5" spans="1:24" s="91" customFormat="1" ht="13.5" x14ac:dyDescent="0.25">
      <c r="A5" s="2570" t="s">
        <v>1756</v>
      </c>
      <c r="B5" s="2571"/>
      <c r="C5" s="2571"/>
      <c r="D5" s="2571"/>
      <c r="E5" s="2571"/>
      <c r="F5" s="2571"/>
      <c r="G5" s="2571"/>
      <c r="H5" s="2571"/>
      <c r="I5" s="1998"/>
      <c r="J5" s="1999"/>
      <c r="K5" s="1999"/>
      <c r="L5" s="1999"/>
      <c r="M5" s="1998"/>
      <c r="S5"/>
      <c r="W5"/>
      <c r="X5"/>
    </row>
    <row r="6" spans="1:24" s="91" customFormat="1" x14ac:dyDescent="0.2">
      <c r="A6" s="260"/>
      <c r="B6" s="261"/>
      <c r="C6" s="261"/>
      <c r="D6" s="261"/>
      <c r="E6" s="260"/>
      <c r="F6" s="261"/>
      <c r="G6" s="261"/>
      <c r="H6" s="261"/>
      <c r="I6" s="260"/>
      <c r="J6" s="261"/>
      <c r="K6" s="261"/>
      <c r="L6" s="261"/>
      <c r="M6" s="260"/>
      <c r="S6"/>
      <c r="W6"/>
      <c r="X6"/>
    </row>
    <row r="7" spans="1:24" s="91" customFormat="1" x14ac:dyDescent="0.2">
      <c r="A7" s="1483" t="s">
        <v>119</v>
      </c>
      <c r="B7" s="261"/>
      <c r="C7" s="261"/>
      <c r="D7" s="261"/>
      <c r="E7" s="260"/>
      <c r="F7" s="261"/>
      <c r="G7" s="261"/>
      <c r="H7" s="261"/>
      <c r="I7" s="260"/>
      <c r="J7" s="261"/>
      <c r="K7" s="261"/>
      <c r="L7" s="261"/>
      <c r="M7" s="260"/>
      <c r="S7"/>
      <c r="W7"/>
      <c r="X7"/>
    </row>
    <row r="8" spans="1:24" x14ac:dyDescent="0.2">
      <c r="A8" s="2005" t="s">
        <v>79</v>
      </c>
      <c r="B8" s="839"/>
      <c r="C8" s="839"/>
      <c r="D8" s="839"/>
      <c r="E8" s="394"/>
      <c r="F8" s="839"/>
      <c r="G8" s="839"/>
      <c r="H8" s="839"/>
      <c r="I8" s="394"/>
      <c r="J8" s="839"/>
      <c r="K8" s="839"/>
      <c r="L8" s="839"/>
      <c r="M8" s="394"/>
      <c r="N8" s="91"/>
      <c r="O8" s="91"/>
      <c r="P8" s="91"/>
      <c r="Q8" s="91"/>
      <c r="R8" s="91"/>
    </row>
    <row r="9" spans="1:24" x14ac:dyDescent="0.2">
      <c r="A9" s="614" t="s">
        <v>1722</v>
      </c>
      <c r="B9" s="1125">
        <f>J9*popKC03/popKC15+(J15/2*popKC03/popKC15)</f>
        <v>2005781.9324427762</v>
      </c>
      <c r="C9" s="392" t="s">
        <v>2037</v>
      </c>
      <c r="D9" s="135"/>
      <c r="E9" s="760" t="s">
        <v>2008</v>
      </c>
      <c r="F9" s="1125">
        <f>J9*popKC08/popKC15+(J15/2*popKC08/popKC15)</f>
        <v>2135540.1346684205</v>
      </c>
      <c r="G9" s="392" t="s">
        <v>2037</v>
      </c>
      <c r="H9" s="135"/>
      <c r="I9" s="760" t="s">
        <v>2008</v>
      </c>
      <c r="J9" s="1125">
        <v>2052079</v>
      </c>
      <c r="K9" s="392" t="s">
        <v>2037</v>
      </c>
      <c r="L9" s="135" t="s">
        <v>2074</v>
      </c>
      <c r="M9" s="326"/>
      <c r="N9" s="1125"/>
      <c r="O9" s="392"/>
      <c r="P9" s="91"/>
      <c r="Q9"/>
    </row>
    <row r="10" spans="1:24" x14ac:dyDescent="0.2">
      <c r="A10" s="2005" t="s">
        <v>1221</v>
      </c>
      <c r="B10" s="1125"/>
      <c r="C10" s="392"/>
      <c r="D10" s="226"/>
      <c r="E10" s="325"/>
      <c r="F10" s="1125"/>
      <c r="G10" s="392"/>
      <c r="H10" s="226"/>
      <c r="I10" s="760"/>
      <c r="J10" s="1125"/>
      <c r="K10" s="392"/>
      <c r="L10" s="226"/>
      <c r="M10" s="326"/>
      <c r="N10" s="1125"/>
      <c r="O10" s="392"/>
      <c r="P10" s="91"/>
      <c r="Q10"/>
    </row>
    <row r="11" spans="1:24" x14ac:dyDescent="0.2">
      <c r="A11" s="614" t="s">
        <v>1722</v>
      </c>
      <c r="B11" s="1125">
        <f>J11*popKC03/popKC15+(J15/2*popKC03/popKC15)</f>
        <v>2537526.8432329167</v>
      </c>
      <c r="C11" s="392" t="s">
        <v>2037</v>
      </c>
      <c r="D11" s="226"/>
      <c r="E11" s="760" t="s">
        <v>2007</v>
      </c>
      <c r="F11" s="1125">
        <f>J11*popKC08/popKC15+(J15/2*popKC08/popKC15)</f>
        <v>2701684.7289688885</v>
      </c>
      <c r="G11" s="392" t="s">
        <v>2037</v>
      </c>
      <c r="H11" s="226"/>
      <c r="I11" s="760" t="s">
        <v>2007</v>
      </c>
      <c r="J11" s="1125">
        <v>2668869</v>
      </c>
      <c r="K11" s="392" t="s">
        <v>2037</v>
      </c>
      <c r="L11" s="135" t="s">
        <v>2074</v>
      </c>
      <c r="M11" s="326"/>
      <c r="N11" s="1125"/>
      <c r="O11" s="392"/>
      <c r="P11" s="91"/>
      <c r="Q11"/>
    </row>
    <row r="12" spans="1:24" x14ac:dyDescent="0.2">
      <c r="A12" s="2005" t="s">
        <v>1536</v>
      </c>
      <c r="C12" s="392"/>
      <c r="G12" s="392"/>
      <c r="H12" s="226"/>
      <c r="I12" s="383"/>
      <c r="J12" s="1125"/>
      <c r="K12" s="392"/>
      <c r="L12" s="226"/>
      <c r="M12" s="326"/>
      <c r="N12" s="91"/>
      <c r="O12" s="91"/>
      <c r="P12" s="91"/>
      <c r="Q12"/>
    </row>
    <row r="13" spans="1:24" x14ac:dyDescent="0.2">
      <c r="A13" s="614" t="s">
        <v>1722</v>
      </c>
      <c r="B13" s="135">
        <v>0</v>
      </c>
      <c r="C13" s="392" t="s">
        <v>2037</v>
      </c>
      <c r="D13" s="135"/>
      <c r="E13" s="326"/>
      <c r="F13" s="1125">
        <v>0</v>
      </c>
      <c r="G13" s="392" t="s">
        <v>2037</v>
      </c>
      <c r="H13" s="226"/>
      <c r="I13" s="383"/>
      <c r="J13" s="1125">
        <v>605959</v>
      </c>
      <c r="K13" s="392" t="s">
        <v>2037</v>
      </c>
      <c r="L13" s="135" t="s">
        <v>2074</v>
      </c>
      <c r="M13" s="326"/>
      <c r="N13" s="1125"/>
      <c r="O13" s="392"/>
      <c r="P13" s="91"/>
      <c r="Q13"/>
    </row>
    <row r="14" spans="1:24" x14ac:dyDescent="0.2">
      <c r="A14" s="614" t="s">
        <v>2009</v>
      </c>
      <c r="B14" s="135"/>
      <c r="C14" s="392"/>
      <c r="D14" s="135"/>
      <c r="E14" s="326"/>
      <c r="F14" s="1125"/>
      <c r="G14" s="392"/>
      <c r="H14" s="226"/>
      <c r="I14" s="383"/>
      <c r="J14" s="2155">
        <v>0.90600000000000003</v>
      </c>
      <c r="K14" s="392"/>
      <c r="L14" s="135" t="s">
        <v>2073</v>
      </c>
      <c r="M14" s="326"/>
      <c r="N14" s="1125"/>
      <c r="O14" s="392"/>
      <c r="P14" s="91"/>
      <c r="Q14"/>
    </row>
    <row r="15" spans="1:24" x14ac:dyDescent="0.2">
      <c r="A15" s="614" t="s">
        <v>2010</v>
      </c>
      <c r="B15" s="135"/>
      <c r="C15" s="392"/>
      <c r="D15" s="135"/>
      <c r="E15" s="326"/>
      <c r="F15" s="1125"/>
      <c r="G15" s="392"/>
      <c r="H15" s="226"/>
      <c r="I15" s="383"/>
      <c r="J15" s="1125">
        <f>J13*J14</f>
        <v>548998.85400000005</v>
      </c>
      <c r="K15" s="392" t="s">
        <v>2037</v>
      </c>
      <c r="L15" s="135"/>
      <c r="M15" s="326"/>
      <c r="N15" s="1125"/>
      <c r="O15" s="392"/>
      <c r="P15" s="91"/>
      <c r="Q15"/>
    </row>
    <row r="16" spans="1:24" x14ac:dyDescent="0.2">
      <c r="A16" s="118"/>
      <c r="B16" s="135"/>
      <c r="C16" s="312"/>
      <c r="D16" s="135"/>
      <c r="E16" s="326"/>
      <c r="F16" s="1125"/>
      <c r="G16" s="392"/>
      <c r="H16" s="226"/>
      <c r="I16" s="383"/>
      <c r="J16" s="1125"/>
      <c r="K16" s="392"/>
      <c r="L16" s="226"/>
      <c r="M16" s="326"/>
      <c r="N16" s="1125"/>
      <c r="O16" s="392"/>
      <c r="P16" s="91"/>
      <c r="Q16"/>
    </row>
    <row r="17" spans="1:24" x14ac:dyDescent="0.2">
      <c r="A17" s="1476" t="s">
        <v>120</v>
      </c>
      <c r="B17" s="135"/>
      <c r="C17" s="312"/>
      <c r="D17" s="135"/>
      <c r="E17" s="326"/>
      <c r="F17" s="1125"/>
      <c r="G17" s="392"/>
      <c r="H17" s="226"/>
      <c r="I17" s="383"/>
      <c r="J17" s="1125"/>
      <c r="K17" s="392"/>
      <c r="L17" s="226"/>
      <c r="M17" s="326"/>
      <c r="N17" s="1125"/>
      <c r="O17" s="392"/>
      <c r="P17" s="91"/>
      <c r="Q17"/>
    </row>
    <row r="18" spans="1:24" x14ac:dyDescent="0.2">
      <c r="A18" s="118" t="s">
        <v>2321</v>
      </c>
      <c r="B18" s="135"/>
      <c r="C18" s="312"/>
      <c r="D18" s="135"/>
      <c r="E18" s="326"/>
      <c r="F18" s="1125"/>
      <c r="G18" s="392"/>
      <c r="H18" s="226"/>
      <c r="I18" s="383"/>
      <c r="J18" s="1125"/>
      <c r="K18" s="392"/>
      <c r="L18" s="210"/>
      <c r="M18" s="326"/>
      <c r="N18" s="1125"/>
      <c r="O18" s="392"/>
      <c r="P18" s="91"/>
      <c r="Q18"/>
    </row>
    <row r="19" spans="1:24" x14ac:dyDescent="0.2">
      <c r="A19" s="118" t="s">
        <v>1945</v>
      </c>
      <c r="B19" s="392">
        <f>10^-6</f>
        <v>9.9999999999999995E-7</v>
      </c>
      <c r="C19" s="226" t="s">
        <v>2363</v>
      </c>
      <c r="D19" s="135"/>
      <c r="E19" s="326"/>
      <c r="F19" s="392">
        <f>10^-6</f>
        <v>9.9999999999999995E-7</v>
      </c>
      <c r="G19" s="226" t="s">
        <v>2363</v>
      </c>
      <c r="H19" s="226"/>
      <c r="I19" s="383"/>
      <c r="J19" s="392">
        <f>10^-6</f>
        <v>9.9999999999999995E-7</v>
      </c>
      <c r="K19" s="226" t="s">
        <v>2363</v>
      </c>
      <c r="M19" s="326"/>
      <c r="N19" s="392"/>
      <c r="O19" s="226"/>
      <c r="P19" s="91"/>
      <c r="Q19"/>
    </row>
    <row r="20" spans="1:24" x14ac:dyDescent="0.2">
      <c r="A20" s="118" t="s">
        <v>1946</v>
      </c>
      <c r="B20" s="392">
        <f>3.2*10^-3</f>
        <v>3.2000000000000002E-3</v>
      </c>
      <c r="C20" s="226" t="s">
        <v>2322</v>
      </c>
      <c r="D20" s="135"/>
      <c r="E20" s="326"/>
      <c r="F20" s="392">
        <f>3.2*10^-3</f>
        <v>3.2000000000000002E-3</v>
      </c>
      <c r="G20" s="226" t="s">
        <v>1947</v>
      </c>
      <c r="H20" s="226"/>
      <c r="I20" s="383"/>
      <c r="J20" s="392">
        <f>3.2*10^-3</f>
        <v>3.2000000000000002E-3</v>
      </c>
      <c r="K20" s="226" t="s">
        <v>1947</v>
      </c>
      <c r="M20" s="326"/>
      <c r="N20" s="392"/>
      <c r="O20" s="226"/>
      <c r="P20" s="91"/>
      <c r="Q20"/>
    </row>
    <row r="21" spans="1:24" s="196" customFormat="1" x14ac:dyDescent="0.2">
      <c r="A21" s="118" t="s">
        <v>1949</v>
      </c>
      <c r="B21" s="392">
        <f>10^-3</f>
        <v>1E-3</v>
      </c>
      <c r="C21" s="226" t="s">
        <v>2364</v>
      </c>
      <c r="D21" s="135"/>
      <c r="E21" s="326"/>
      <c r="F21" s="392">
        <f>10^-3</f>
        <v>1E-3</v>
      </c>
      <c r="G21" s="226" t="s">
        <v>2364</v>
      </c>
      <c r="H21" s="226"/>
      <c r="I21" s="383"/>
      <c r="J21" s="392">
        <f>10^-3</f>
        <v>1E-3</v>
      </c>
      <c r="K21" s="226" t="s">
        <v>2364</v>
      </c>
      <c r="L21"/>
      <c r="M21" s="326"/>
      <c r="N21" s="392"/>
      <c r="O21" s="226"/>
      <c r="P21" s="91"/>
      <c r="Q21"/>
      <c r="R21"/>
      <c r="S21"/>
      <c r="T21"/>
      <c r="U21"/>
      <c r="V21"/>
      <c r="W21"/>
      <c r="X21"/>
    </row>
    <row r="22" spans="1:24" s="91" customFormat="1" ht="13.5" x14ac:dyDescent="0.2">
      <c r="A22" s="118" t="s">
        <v>1951</v>
      </c>
      <c r="B22" s="392">
        <v>21</v>
      </c>
      <c r="C22" s="226" t="s">
        <v>2365</v>
      </c>
      <c r="D22" s="135"/>
      <c r="E22" s="326"/>
      <c r="F22" s="392">
        <v>21</v>
      </c>
      <c r="G22" s="226" t="s">
        <v>2365</v>
      </c>
      <c r="H22" s="226"/>
      <c r="I22" s="383"/>
      <c r="J22" s="392">
        <v>21</v>
      </c>
      <c r="K22" s="226" t="s">
        <v>2365</v>
      </c>
      <c r="L22"/>
      <c r="M22" s="326"/>
      <c r="N22" s="392"/>
      <c r="O22" s="226"/>
      <c r="Q22"/>
      <c r="R22"/>
      <c r="S22"/>
      <c r="T22"/>
      <c r="U22"/>
      <c r="V22"/>
      <c r="W22"/>
      <c r="X22"/>
    </row>
    <row r="23" spans="1:24" x14ac:dyDescent="0.2">
      <c r="A23" s="118"/>
      <c r="B23" s="135"/>
      <c r="C23" s="312"/>
      <c r="D23" s="135"/>
      <c r="E23" s="326"/>
      <c r="F23" s="1125"/>
      <c r="G23" s="392"/>
      <c r="H23" s="226"/>
      <c r="I23" s="383"/>
      <c r="J23" s="1125"/>
      <c r="K23" s="392"/>
      <c r="L23" s="226"/>
      <c r="M23" s="326"/>
      <c r="N23" s="1125"/>
      <c r="O23" s="392"/>
      <c r="P23" s="91"/>
      <c r="Q23"/>
    </row>
    <row r="24" spans="1:24" s="65" customFormat="1" ht="13.5" x14ac:dyDescent="0.2">
      <c r="A24" s="260" t="s">
        <v>79</v>
      </c>
      <c r="B24" s="2006">
        <f>B9*thermTOBtu*B19*B20*B21*B22</f>
        <v>13.478854586015457</v>
      </c>
      <c r="C24" s="392" t="s">
        <v>168</v>
      </c>
      <c r="D24" s="135"/>
      <c r="E24" s="326"/>
      <c r="F24" s="2006">
        <f>F9*thermTOBtu*F19*F20*F21*F22</f>
        <v>14.350829704971787</v>
      </c>
      <c r="G24" s="392" t="s">
        <v>168</v>
      </c>
      <c r="H24" s="226"/>
      <c r="I24" s="383"/>
      <c r="J24" s="2006">
        <f>J9*thermTOBtu*J19*J20*J21*J22</f>
        <v>13.78997088</v>
      </c>
      <c r="K24" s="392" t="s">
        <v>168</v>
      </c>
      <c r="L24"/>
      <c r="M24" s="326"/>
      <c r="N24" s="2154"/>
      <c r="O24" s="392"/>
      <c r="P24" s="91"/>
      <c r="Q24"/>
      <c r="R24"/>
      <c r="S24"/>
      <c r="T24"/>
      <c r="U24"/>
      <c r="V24"/>
      <c r="W24"/>
      <c r="X24"/>
    </row>
    <row r="25" spans="1:24" ht="13.5" x14ac:dyDescent="0.2">
      <c r="A25" s="260" t="s">
        <v>1221</v>
      </c>
      <c r="B25" s="2007">
        <f>B11*thermTOBtu*B19*B20*B21*B22</f>
        <v>17.052180386525198</v>
      </c>
      <c r="C25" s="392" t="s">
        <v>168</v>
      </c>
      <c r="D25" s="135"/>
      <c r="E25" s="326"/>
      <c r="F25" s="2007">
        <f>F11*thermTOBtu*F19*F20*F21*F22</f>
        <v>18.155321378670934</v>
      </c>
      <c r="G25" s="392" t="s">
        <v>168</v>
      </c>
      <c r="H25" s="226"/>
      <c r="I25" s="383"/>
      <c r="J25" s="2007">
        <f>J11*thermTOBtu*J19*J20*J21*J22</f>
        <v>17.934799679999998</v>
      </c>
      <c r="K25" s="392" t="s">
        <v>168</v>
      </c>
      <c r="M25" s="326"/>
      <c r="N25" s="1766"/>
      <c r="O25" s="392"/>
      <c r="P25" s="91"/>
      <c r="Q25"/>
    </row>
    <row r="26" spans="1:24" ht="13.5" x14ac:dyDescent="0.2">
      <c r="A26" s="260" t="s">
        <v>1536</v>
      </c>
      <c r="B26" s="2007">
        <f>B15*thermTOBtu*B19*B20*B21*B22</f>
        <v>0</v>
      </c>
      <c r="C26" s="392" t="s">
        <v>168</v>
      </c>
      <c r="D26" s="135"/>
      <c r="E26" s="326"/>
      <c r="F26" s="2007">
        <f>F15*thermTOBtu*F19*F20*F21*F22</f>
        <v>0</v>
      </c>
      <c r="G26" s="392" t="s">
        <v>168</v>
      </c>
      <c r="H26" s="226"/>
      <c r="I26" s="383"/>
      <c r="J26" s="2007">
        <f>J15*thermTOBtu*J19*J20*J21*J22</f>
        <v>3.6892722988800006</v>
      </c>
      <c r="K26" s="392" t="s">
        <v>168</v>
      </c>
      <c r="M26" s="326"/>
      <c r="N26" s="1766"/>
      <c r="O26" s="392"/>
      <c r="P26" s="91"/>
      <c r="Q26"/>
    </row>
    <row r="27" spans="1:24" x14ac:dyDescent="0.2">
      <c r="A27" s="118"/>
      <c r="B27" s="135"/>
      <c r="C27" s="312"/>
      <c r="D27" s="135"/>
      <c r="E27" s="326"/>
      <c r="F27" s="1125"/>
      <c r="G27" s="392"/>
      <c r="H27" s="226"/>
      <c r="I27" s="383"/>
      <c r="J27" s="1125"/>
      <c r="K27" s="392"/>
      <c r="L27" s="226"/>
      <c r="M27" s="383"/>
      <c r="N27" s="91"/>
      <c r="O27" s="91"/>
      <c r="P27" s="91"/>
      <c r="Q27"/>
    </row>
    <row r="28" spans="1:24" x14ac:dyDescent="0.2">
      <c r="A28" s="2572" t="s">
        <v>2012</v>
      </c>
      <c r="B28" s="2569"/>
      <c r="C28" s="2569"/>
      <c r="D28" s="2569"/>
      <c r="E28" s="2573"/>
      <c r="F28" s="1761"/>
      <c r="G28" s="1762"/>
      <c r="H28" s="1763"/>
      <c r="I28" s="1764"/>
      <c r="J28" s="1761"/>
      <c r="K28" s="1762"/>
      <c r="L28" s="1763"/>
      <c r="M28" s="1764"/>
      <c r="Q28"/>
    </row>
    <row r="29" spans="1:24" x14ac:dyDescent="0.2">
      <c r="A29" s="261"/>
      <c r="B29" s="312"/>
      <c r="C29" s="312"/>
      <c r="D29" s="312"/>
      <c r="E29" s="1352"/>
      <c r="F29" s="1125"/>
      <c r="G29" s="392"/>
      <c r="H29" s="226"/>
      <c r="I29" s="383"/>
      <c r="J29" s="1125"/>
      <c r="K29" s="392"/>
      <c r="L29" s="226"/>
      <c r="M29" s="383"/>
      <c r="Q29"/>
    </row>
    <row r="30" spans="1:24" s="91" customFormat="1" x14ac:dyDescent="0.2">
      <c r="A30" s="1476" t="s">
        <v>120</v>
      </c>
      <c r="B30" s="312"/>
      <c r="C30" s="312"/>
      <c r="D30" s="312"/>
      <c r="E30" s="1352"/>
      <c r="F30" s="1125"/>
      <c r="G30" s="392"/>
      <c r="H30" s="226"/>
      <c r="I30" s="383"/>
      <c r="J30" s="1125"/>
      <c r="K30" s="392"/>
      <c r="L30" s="226"/>
      <c r="M30" s="383"/>
      <c r="N30"/>
      <c r="O30"/>
      <c r="P30"/>
      <c r="Q30"/>
      <c r="R30"/>
      <c r="S30"/>
      <c r="T30"/>
      <c r="U30"/>
      <c r="V30"/>
      <c r="W30"/>
      <c r="X30"/>
    </row>
    <row r="31" spans="1:24" s="91" customFormat="1" x14ac:dyDescent="0.2">
      <c r="A31" s="1769" t="s">
        <v>1953</v>
      </c>
      <c r="B31" s="312"/>
      <c r="C31" s="312"/>
      <c r="D31" s="312"/>
      <c r="E31" s="1352"/>
      <c r="F31" s="1125"/>
      <c r="G31" s="392"/>
      <c r="H31" s="226"/>
      <c r="I31" s="383"/>
      <c r="J31" s="1125"/>
      <c r="K31" s="392"/>
      <c r="L31" s="226"/>
      <c r="M31" s="383"/>
      <c r="N31"/>
      <c r="O31"/>
      <c r="P31"/>
      <c r="Q31"/>
      <c r="R31"/>
      <c r="S31"/>
      <c r="T31"/>
      <c r="U31"/>
      <c r="V31"/>
      <c r="W31"/>
      <c r="X31"/>
    </row>
    <row r="32" spans="1:24" x14ac:dyDescent="0.2">
      <c r="A32" s="261"/>
      <c r="B32" s="312"/>
      <c r="C32" s="312"/>
      <c r="D32" s="312"/>
      <c r="E32" s="1352"/>
      <c r="F32" s="1125"/>
      <c r="G32" s="392"/>
      <c r="H32" s="226"/>
      <c r="I32" s="383"/>
      <c r="J32" s="1125"/>
      <c r="K32" s="392"/>
      <c r="L32" s="226"/>
      <c r="M32" s="383"/>
      <c r="Q32"/>
    </row>
    <row r="33" spans="1:17" x14ac:dyDescent="0.2">
      <c r="A33" s="118" t="s">
        <v>1945</v>
      </c>
      <c r="B33" s="392">
        <f>10^-6</f>
        <v>9.9999999999999995E-7</v>
      </c>
      <c r="C33" s="226" t="s">
        <v>2363</v>
      </c>
      <c r="D33" s="135"/>
      <c r="E33" s="326"/>
      <c r="F33" s="392">
        <f>10^-6</f>
        <v>9.9999999999999995E-7</v>
      </c>
      <c r="G33" s="226" t="s">
        <v>2363</v>
      </c>
      <c r="H33" s="226"/>
      <c r="I33" s="383"/>
      <c r="J33" s="392">
        <f>10^-6</f>
        <v>9.9999999999999995E-7</v>
      </c>
      <c r="K33" s="226" t="s">
        <v>2363</v>
      </c>
      <c r="L33" s="226"/>
      <c r="M33" s="383"/>
      <c r="Q33"/>
    </row>
    <row r="34" spans="1:17" x14ac:dyDescent="0.2">
      <c r="A34" s="118" t="s">
        <v>1954</v>
      </c>
      <c r="B34" s="392">
        <f>6.3*10^-4</f>
        <v>6.3000000000000003E-4</v>
      </c>
      <c r="C34" s="226" t="s">
        <v>1947</v>
      </c>
      <c r="D34" s="135"/>
      <c r="E34" s="326"/>
      <c r="F34" s="392">
        <f>6.3*10^-4</f>
        <v>6.3000000000000003E-4</v>
      </c>
      <c r="G34" s="226" t="s">
        <v>1947</v>
      </c>
      <c r="H34" s="226"/>
      <c r="I34" s="383"/>
      <c r="J34" s="392">
        <f>6.3*10^-4</f>
        <v>6.3000000000000003E-4</v>
      </c>
      <c r="K34" s="226" t="s">
        <v>1947</v>
      </c>
      <c r="L34" s="226"/>
      <c r="M34" s="383"/>
      <c r="Q34"/>
    </row>
    <row r="35" spans="1:17" x14ac:dyDescent="0.2">
      <c r="A35" s="118" t="s">
        <v>1949</v>
      </c>
      <c r="B35" s="392">
        <f>10^-3</f>
        <v>1E-3</v>
      </c>
      <c r="C35" s="226" t="s">
        <v>1950</v>
      </c>
      <c r="D35" s="135"/>
      <c r="E35" s="326"/>
      <c r="F35" s="392">
        <f>10^-3</f>
        <v>1E-3</v>
      </c>
      <c r="G35" s="226" t="s">
        <v>1950</v>
      </c>
      <c r="H35" s="226"/>
      <c r="I35" s="383"/>
      <c r="J35" s="392">
        <f>10^-3</f>
        <v>1E-3</v>
      </c>
      <c r="K35" s="226" t="s">
        <v>1950</v>
      </c>
      <c r="L35" s="226"/>
      <c r="M35" s="383"/>
      <c r="Q35"/>
    </row>
    <row r="36" spans="1:17" x14ac:dyDescent="0.2">
      <c r="A36" s="118" t="s">
        <v>1955</v>
      </c>
      <c r="B36" s="392">
        <v>310</v>
      </c>
      <c r="C36" s="226" t="s">
        <v>1952</v>
      </c>
      <c r="D36" s="135"/>
      <c r="E36" s="326"/>
      <c r="F36" s="392">
        <v>310</v>
      </c>
      <c r="G36" s="226" t="s">
        <v>1952</v>
      </c>
      <c r="H36" s="226"/>
      <c r="I36" s="383"/>
      <c r="J36" s="392">
        <v>310</v>
      </c>
      <c r="K36" s="226" t="s">
        <v>1952</v>
      </c>
      <c r="L36" s="226"/>
      <c r="M36" s="383"/>
      <c r="Q36"/>
    </row>
    <row r="37" spans="1:17" x14ac:dyDescent="0.2">
      <c r="A37" s="249"/>
      <c r="B37" s="135"/>
      <c r="C37" s="312"/>
      <c r="D37" s="135"/>
      <c r="E37" s="326"/>
      <c r="F37" s="1125"/>
      <c r="G37" s="392"/>
      <c r="H37" s="226"/>
      <c r="I37" s="383"/>
      <c r="J37" s="392"/>
      <c r="K37" s="226"/>
      <c r="L37" s="226"/>
      <c r="M37" s="383"/>
      <c r="Q37"/>
    </row>
    <row r="38" spans="1:17" ht="13.5" x14ac:dyDescent="0.2">
      <c r="A38" s="260" t="s">
        <v>79</v>
      </c>
      <c r="B38" s="2006">
        <f>B9*thermTOBtu*B33*B34*B35*B36</f>
        <v>39.172921140607414</v>
      </c>
      <c r="C38" s="392" t="s">
        <v>168</v>
      </c>
      <c r="D38" s="135"/>
      <c r="E38" s="326"/>
      <c r="F38" s="2006">
        <f>F9*thermTOBtu*F33*F34*F35*F36</f>
        <v>41.707098830074251</v>
      </c>
      <c r="G38" s="392" t="s">
        <v>168</v>
      </c>
      <c r="H38" s="226"/>
      <c r="I38" s="383"/>
      <c r="J38" s="2006">
        <f>J9*thermTOBtu*J33*J34*J35*J36</f>
        <v>40.077102870000004</v>
      </c>
      <c r="K38" s="392" t="s">
        <v>168</v>
      </c>
      <c r="L38" s="226"/>
      <c r="M38" s="383"/>
      <c r="Q38"/>
    </row>
    <row r="39" spans="1:17" ht="13.5" x14ac:dyDescent="0.2">
      <c r="A39" s="260" t="s">
        <v>1221</v>
      </c>
      <c r="B39" s="2006">
        <f>B11*thermTOBtu*B33*B34*B35*B36</f>
        <v>49.557899248338863</v>
      </c>
      <c r="C39" s="392" t="s">
        <v>168</v>
      </c>
      <c r="D39" s="135"/>
      <c r="E39" s="326"/>
      <c r="F39" s="2006">
        <f>F11*thermTOBtu*F33*F34*F35*F36</f>
        <v>52.763902756762398</v>
      </c>
      <c r="G39" s="392" t="s">
        <v>168</v>
      </c>
      <c r="H39" s="226"/>
      <c r="I39" s="383"/>
      <c r="J39" s="2006">
        <f>J11*thermTOBtu*J33*J34*J35*J36</f>
        <v>52.123011570000003</v>
      </c>
      <c r="K39" s="392" t="s">
        <v>168</v>
      </c>
      <c r="L39" s="226"/>
      <c r="M39" s="383"/>
      <c r="Q39"/>
    </row>
    <row r="40" spans="1:17" ht="13.5" x14ac:dyDescent="0.2">
      <c r="A40" s="260" t="s">
        <v>1536</v>
      </c>
      <c r="B40" s="2006">
        <f>B13*thermTOBtu*B33*B34*B35*B36</f>
        <v>0</v>
      </c>
      <c r="C40" s="392" t="s">
        <v>168</v>
      </c>
      <c r="D40" s="135"/>
      <c r="E40" s="326"/>
      <c r="F40" s="2006">
        <f>F13*thermTOBtu*F33*F34*F35*F36</f>
        <v>0</v>
      </c>
      <c r="G40" s="392" t="s">
        <v>168</v>
      </c>
      <c r="H40" s="226"/>
      <c r="I40" s="383"/>
      <c r="J40" s="2006">
        <f>J13*thermTOBtu*J33*J34*J35*J36</f>
        <v>11.834379269999999</v>
      </c>
      <c r="K40" s="392" t="s">
        <v>168</v>
      </c>
      <c r="L40" s="226"/>
      <c r="M40" s="383"/>
      <c r="Q40"/>
    </row>
    <row r="41" spans="1:17" x14ac:dyDescent="0.2">
      <c r="A41" s="118"/>
      <c r="B41" s="135"/>
      <c r="C41" s="312"/>
      <c r="D41" s="135"/>
      <c r="E41" s="326"/>
      <c r="F41" s="1125"/>
      <c r="G41" s="392"/>
      <c r="H41" s="226"/>
      <c r="I41" s="383"/>
      <c r="J41" s="1125"/>
      <c r="K41" s="392"/>
      <c r="L41" s="226"/>
      <c r="M41" s="383"/>
      <c r="Q41"/>
    </row>
    <row r="42" spans="1:17" ht="14.25" x14ac:dyDescent="0.25">
      <c r="A42" s="2567" t="s">
        <v>2014</v>
      </c>
      <c r="B42" s="2568"/>
      <c r="C42" s="2568"/>
      <c r="D42" s="2568"/>
      <c r="E42" s="2568"/>
      <c r="F42" s="2568"/>
      <c r="G42" s="2569"/>
      <c r="H42" s="2569"/>
      <c r="I42" s="2569"/>
      <c r="J42" s="1761"/>
      <c r="K42" s="1762"/>
      <c r="L42" s="1763"/>
      <c r="M42" s="1764"/>
      <c r="Q42"/>
    </row>
    <row r="43" spans="1:17" x14ac:dyDescent="0.2">
      <c r="A43" s="118"/>
      <c r="B43" s="135"/>
      <c r="C43" s="312"/>
      <c r="D43" s="135"/>
      <c r="E43" s="326"/>
      <c r="F43" s="1125"/>
      <c r="G43" s="392"/>
      <c r="H43" s="226"/>
      <c r="I43" s="383"/>
      <c r="J43" s="1125"/>
      <c r="K43" s="392"/>
      <c r="L43" s="226"/>
      <c r="M43" s="383"/>
      <c r="Q43"/>
    </row>
    <row r="44" spans="1:17" x14ac:dyDescent="0.2">
      <c r="A44" s="1483" t="s">
        <v>119</v>
      </c>
      <c r="B44" s="135"/>
      <c r="C44" s="312"/>
      <c r="D44" s="135"/>
      <c r="E44" s="326"/>
      <c r="F44" s="1125"/>
      <c r="G44" s="392"/>
      <c r="H44" s="226"/>
      <c r="I44" s="383"/>
      <c r="J44" s="1125"/>
      <c r="K44" s="392"/>
      <c r="L44" s="226"/>
      <c r="M44" s="383"/>
      <c r="Q44"/>
    </row>
    <row r="45" spans="1:17" x14ac:dyDescent="0.2">
      <c r="A45" s="251" t="s">
        <v>79</v>
      </c>
      <c r="B45" s="1125">
        <f>J45*popKC03/popKC15+(J49/2*popKC03/popKC15)</f>
        <v>682162.7082740647</v>
      </c>
      <c r="C45" s="392" t="s">
        <v>271</v>
      </c>
      <c r="D45" s="135"/>
      <c r="E45" s="760" t="s">
        <v>2008</v>
      </c>
      <c r="F45" s="1125">
        <f>J45*popKC08/popKC15+(J49/2*popKC08/popKC15)</f>
        <v>726293.23174688232</v>
      </c>
      <c r="G45" s="392" t="s">
        <v>271</v>
      </c>
      <c r="H45" s="226"/>
      <c r="I45" s="760" t="s">
        <v>2008</v>
      </c>
      <c r="J45" s="1125">
        <v>688887</v>
      </c>
      <c r="K45" s="392" t="s">
        <v>271</v>
      </c>
      <c r="L45" s="226" t="s">
        <v>2026</v>
      </c>
      <c r="M45" s="383"/>
      <c r="Q45"/>
    </row>
    <row r="46" spans="1:17" x14ac:dyDescent="0.2">
      <c r="A46" s="251" t="s">
        <v>1221</v>
      </c>
      <c r="B46" s="1125">
        <f>J46*popKC03/popKC15+(J49/2*popKC03/popKC15)</f>
        <v>727952.30837587686</v>
      </c>
      <c r="C46" s="392" t="s">
        <v>271</v>
      </c>
      <c r="D46" s="135"/>
      <c r="E46" s="760" t="s">
        <v>2007</v>
      </c>
      <c r="F46" s="1125">
        <f>J46*popKC08/popKC15+(J49/2*popKC08/popKC15)</f>
        <v>775045.05625292286</v>
      </c>
      <c r="G46" s="392" t="s">
        <v>271</v>
      </c>
      <c r="H46" s="226"/>
      <c r="I46" s="760" t="s">
        <v>2007</v>
      </c>
      <c r="J46" s="1125">
        <v>742000</v>
      </c>
      <c r="K46" s="392" t="s">
        <v>271</v>
      </c>
      <c r="L46" s="226" t="s">
        <v>2027</v>
      </c>
      <c r="M46" s="383"/>
      <c r="Q46"/>
    </row>
    <row r="47" spans="1:17" x14ac:dyDescent="0.2">
      <c r="A47" s="251" t="s">
        <v>1536</v>
      </c>
      <c r="B47" s="91">
        <v>0</v>
      </c>
      <c r="C47" s="91" t="s">
        <v>271</v>
      </c>
      <c r="D47" s="135"/>
      <c r="E47" s="326"/>
      <c r="F47" s="91">
        <v>0</v>
      </c>
      <c r="G47" s="91" t="s">
        <v>271</v>
      </c>
      <c r="H47" s="226"/>
      <c r="J47" s="91">
        <v>226000</v>
      </c>
      <c r="K47" t="s">
        <v>271</v>
      </c>
      <c r="L47" t="s">
        <v>2027</v>
      </c>
      <c r="M47" s="383"/>
      <c r="Q47"/>
    </row>
    <row r="48" spans="1:17" x14ac:dyDescent="0.2">
      <c r="A48" s="1741" t="s">
        <v>1956</v>
      </c>
      <c r="B48" s="1835"/>
      <c r="C48" s="312"/>
      <c r="D48" s="135"/>
      <c r="E48" s="329"/>
      <c r="F48" s="1835"/>
      <c r="G48" s="91"/>
      <c r="H48" s="226"/>
      <c r="J48" s="1835">
        <v>0.90600000000000003</v>
      </c>
      <c r="K48" s="392"/>
      <c r="L48" s="135" t="s">
        <v>2073</v>
      </c>
      <c r="M48" s="383"/>
      <c r="Q48"/>
    </row>
    <row r="49" spans="1:24" x14ac:dyDescent="0.2">
      <c r="A49" s="251" t="s">
        <v>2011</v>
      </c>
      <c r="B49" s="135">
        <v>0</v>
      </c>
      <c r="C49" s="91" t="s">
        <v>271</v>
      </c>
      <c r="D49" s="135"/>
      <c r="E49" s="326"/>
      <c r="F49" s="91">
        <v>0</v>
      </c>
      <c r="G49" s="91" t="s">
        <v>271</v>
      </c>
      <c r="H49" s="226"/>
      <c r="I49" s="383"/>
      <c r="J49" s="2008">
        <f>J47*J48</f>
        <v>204756</v>
      </c>
      <c r="K49" t="s">
        <v>271</v>
      </c>
      <c r="L49" s="226"/>
      <c r="M49" s="383"/>
      <c r="Q49"/>
    </row>
    <row r="50" spans="1:24" x14ac:dyDescent="0.2">
      <c r="A50" s="260"/>
      <c r="B50" s="135"/>
      <c r="C50" s="312"/>
      <c r="D50" s="135"/>
      <c r="E50" s="326"/>
      <c r="F50" s="91"/>
      <c r="G50" s="91"/>
      <c r="H50" s="226"/>
      <c r="I50" s="383"/>
      <c r="J50" s="2008"/>
      <c r="K50" s="867"/>
      <c r="L50" s="226"/>
      <c r="M50" s="383"/>
      <c r="Q50"/>
    </row>
    <row r="51" spans="1:24" x14ac:dyDescent="0.2">
      <c r="A51" s="1476" t="s">
        <v>120</v>
      </c>
      <c r="B51" s="135"/>
      <c r="C51" s="312"/>
      <c r="D51" s="135"/>
      <c r="E51" s="326"/>
      <c r="H51" s="226"/>
      <c r="I51" s="383"/>
      <c r="J51" s="2008"/>
      <c r="K51" s="867"/>
      <c r="L51" s="226"/>
      <c r="M51" s="383"/>
      <c r="Q51"/>
    </row>
    <row r="52" spans="1:24" x14ac:dyDescent="0.2">
      <c r="A52" s="1741" t="s">
        <v>1957</v>
      </c>
      <c r="B52" s="135"/>
      <c r="C52" s="312"/>
      <c r="D52" s="135"/>
      <c r="E52" s="326"/>
      <c r="F52" s="1125"/>
      <c r="G52" s="392"/>
      <c r="H52" s="226"/>
      <c r="I52" s="383"/>
      <c r="J52" s="2008"/>
      <c r="K52" s="867"/>
      <c r="L52" s="226"/>
      <c r="M52" s="383"/>
      <c r="Q52"/>
    </row>
    <row r="53" spans="1:24" x14ac:dyDescent="0.2">
      <c r="A53" s="1741" t="s">
        <v>1958</v>
      </c>
      <c r="B53" s="2008">
        <v>1.25</v>
      </c>
      <c r="C53" s="867"/>
      <c r="D53" s="135"/>
      <c r="E53" s="326"/>
      <c r="F53" s="2008">
        <v>1.25</v>
      </c>
      <c r="G53" s="867"/>
      <c r="H53" s="226"/>
      <c r="I53" s="383"/>
      <c r="J53" s="2008">
        <v>1.25</v>
      </c>
      <c r="K53" s="867"/>
      <c r="L53" s="226"/>
      <c r="M53" s="383"/>
      <c r="Q53"/>
    </row>
    <row r="54" spans="1:24" x14ac:dyDescent="0.2">
      <c r="A54" s="1741" t="s">
        <v>1959</v>
      </c>
      <c r="B54" s="2008">
        <v>3.2</v>
      </c>
      <c r="C54" s="867" t="s">
        <v>1960</v>
      </c>
      <c r="D54" s="135"/>
      <c r="E54" s="326"/>
      <c r="F54" s="2008">
        <v>3.2</v>
      </c>
      <c r="G54" s="867" t="s">
        <v>1960</v>
      </c>
      <c r="H54" s="226"/>
      <c r="I54" s="383"/>
      <c r="J54" s="2008">
        <v>3.2</v>
      </c>
      <c r="K54" s="867" t="s">
        <v>1960</v>
      </c>
      <c r="L54" s="226"/>
      <c r="M54" s="383"/>
      <c r="Q54"/>
    </row>
    <row r="55" spans="1:24" ht="12" customHeight="1" x14ac:dyDescent="0.2">
      <c r="A55" s="1741" t="s">
        <v>1961</v>
      </c>
      <c r="B55" s="2008">
        <f>10^-6</f>
        <v>9.9999999999999995E-7</v>
      </c>
      <c r="C55" s="867" t="s">
        <v>1962</v>
      </c>
      <c r="D55" s="135"/>
      <c r="E55" s="326"/>
      <c r="F55" s="2008">
        <f>10^-6</f>
        <v>9.9999999999999995E-7</v>
      </c>
      <c r="G55" s="867" t="s">
        <v>1962</v>
      </c>
      <c r="H55" s="226"/>
      <c r="I55" s="383"/>
      <c r="J55" s="2008">
        <f>10^-6</f>
        <v>9.9999999999999995E-7</v>
      </c>
      <c r="K55" s="867" t="s">
        <v>1962</v>
      </c>
      <c r="L55" s="226"/>
      <c r="M55" s="383"/>
      <c r="Q55"/>
    </row>
    <row r="56" spans="1:24" ht="12" customHeight="1" x14ac:dyDescent="0.2">
      <c r="A56" s="1741" t="s">
        <v>1955</v>
      </c>
      <c r="B56" s="2008">
        <v>310</v>
      </c>
      <c r="C56" s="226" t="s">
        <v>1952</v>
      </c>
      <c r="D56" s="135"/>
      <c r="E56" s="326"/>
      <c r="F56" s="2008">
        <v>310</v>
      </c>
      <c r="G56" s="226" t="s">
        <v>1952</v>
      </c>
      <c r="H56" s="226"/>
      <c r="I56" s="383"/>
      <c r="J56" s="2008">
        <v>310</v>
      </c>
      <c r="K56" s="226" t="s">
        <v>1952</v>
      </c>
      <c r="L56" s="226"/>
      <c r="M56" s="383"/>
      <c r="Q56"/>
    </row>
    <row r="57" spans="1:24" ht="12" customHeight="1" x14ac:dyDescent="0.2">
      <c r="A57" s="1741"/>
      <c r="B57" s="2008"/>
      <c r="C57" s="867"/>
      <c r="D57" s="135"/>
      <c r="E57" s="326"/>
      <c r="F57" s="2008"/>
      <c r="G57" s="867"/>
      <c r="H57" s="226"/>
      <c r="I57" s="383"/>
      <c r="J57" s="2008"/>
      <c r="K57" s="867"/>
      <c r="L57" s="226"/>
      <c r="M57" s="383"/>
      <c r="Q57"/>
    </row>
    <row r="58" spans="1:24" ht="12" customHeight="1" x14ac:dyDescent="0.2">
      <c r="A58" s="260" t="s">
        <v>79</v>
      </c>
      <c r="B58" s="2009">
        <f>B45*B53*B54*B55*B56</f>
        <v>845.88175825984024</v>
      </c>
      <c r="C58" s="392" t="s">
        <v>168</v>
      </c>
      <c r="D58" s="135"/>
      <c r="E58" s="326"/>
      <c r="F58" s="2009">
        <f>F45*F53*F54*F55*F56</f>
        <v>900.60360736613404</v>
      </c>
      <c r="G58" s="392" t="s">
        <v>168</v>
      </c>
      <c r="H58" s="226"/>
      <c r="I58" s="383"/>
      <c r="J58" s="2009">
        <f>J45*J53*J54*J55*J56</f>
        <v>854.21987999999988</v>
      </c>
      <c r="K58" s="392" t="s">
        <v>168</v>
      </c>
      <c r="L58" s="226"/>
      <c r="M58" s="383"/>
      <c r="Q58"/>
    </row>
    <row r="59" spans="1:24" s="91" customFormat="1" ht="13.5" x14ac:dyDescent="0.2">
      <c r="A59" s="260" t="s">
        <v>1221</v>
      </c>
      <c r="B59" s="2009">
        <f>B46*B53*B54*B55*B56</f>
        <v>902.66086238608727</v>
      </c>
      <c r="C59" s="392" t="s">
        <v>168</v>
      </c>
      <c r="D59" s="135"/>
      <c r="E59" s="326"/>
      <c r="F59" s="2009">
        <f>F46*F53*F54*F55*F56</f>
        <v>961.05586975362439</v>
      </c>
      <c r="G59" s="392" t="s">
        <v>168</v>
      </c>
      <c r="H59" s="226"/>
      <c r="I59" s="383"/>
      <c r="J59" s="2009">
        <f>J46*J53*J54*J55*J56</f>
        <v>920.08</v>
      </c>
      <c r="K59" s="392" t="s">
        <v>168</v>
      </c>
      <c r="L59" s="226"/>
      <c r="M59" s="383"/>
      <c r="N59"/>
      <c r="O59"/>
      <c r="P59"/>
      <c r="Q59"/>
      <c r="R59"/>
      <c r="S59"/>
      <c r="T59"/>
      <c r="U59"/>
      <c r="V59"/>
      <c r="W59"/>
      <c r="X59"/>
    </row>
    <row r="60" spans="1:24" s="91" customFormat="1" ht="13.5" x14ac:dyDescent="0.2">
      <c r="A60" s="260" t="s">
        <v>1536</v>
      </c>
      <c r="B60" s="2009">
        <f>B49*B48*B53*B54*B55*B56</f>
        <v>0</v>
      </c>
      <c r="C60" s="392" t="s">
        <v>168</v>
      </c>
      <c r="D60" s="135"/>
      <c r="E60" s="326"/>
      <c r="F60" s="2009">
        <f>F49*F48*F53*F54*F55*F56</f>
        <v>0</v>
      </c>
      <c r="G60" s="392" t="s">
        <v>168</v>
      </c>
      <c r="H60" s="226"/>
      <c r="I60" s="383"/>
      <c r="J60" s="2009">
        <f>J49*J48*J53*J54*J55*J56</f>
        <v>230.03108064000003</v>
      </c>
      <c r="K60" s="392" t="s">
        <v>168</v>
      </c>
      <c r="L60" s="226"/>
      <c r="M60" s="383"/>
      <c r="N60"/>
      <c r="O60"/>
      <c r="P60"/>
      <c r="Q60"/>
      <c r="R60"/>
      <c r="S60"/>
      <c r="T60"/>
      <c r="U60"/>
      <c r="V60"/>
      <c r="W60"/>
      <c r="X60"/>
    </row>
    <row r="61" spans="1:24" x14ac:dyDescent="0.2">
      <c r="A61" s="118"/>
      <c r="B61" s="135"/>
      <c r="C61" s="312"/>
      <c r="D61" s="135"/>
      <c r="E61" s="326"/>
      <c r="F61" s="1125"/>
      <c r="G61" s="392"/>
      <c r="H61" s="226"/>
      <c r="I61" s="383"/>
      <c r="J61" s="1125"/>
      <c r="K61" s="392"/>
      <c r="L61" s="226"/>
      <c r="M61" s="383"/>
      <c r="Q61"/>
      <c r="T61" s="196"/>
      <c r="U61" s="196"/>
      <c r="V61" s="196"/>
    </row>
    <row r="62" spans="1:24" ht="14.25" x14ac:dyDescent="0.25">
      <c r="A62" s="2567" t="s">
        <v>2013</v>
      </c>
      <c r="B62" s="2568"/>
      <c r="C62" s="2568"/>
      <c r="D62" s="2568"/>
      <c r="E62" s="2568"/>
      <c r="F62" s="2568"/>
      <c r="G62" s="2569"/>
      <c r="H62" s="2569"/>
      <c r="I62" s="2569"/>
      <c r="J62" s="1761"/>
      <c r="K62" s="1762"/>
      <c r="L62" s="1763"/>
      <c r="M62" s="1764"/>
      <c r="Q62"/>
      <c r="T62" s="196"/>
      <c r="U62" s="196"/>
      <c r="V62" s="196"/>
    </row>
    <row r="63" spans="1:24" ht="12.75" x14ac:dyDescent="0.2">
      <c r="A63" s="2010"/>
      <c r="B63" s="92"/>
      <c r="C63" s="92"/>
      <c r="D63" s="92"/>
      <c r="E63" s="92"/>
      <c r="F63" s="371"/>
      <c r="G63" s="135"/>
      <c r="H63" s="135"/>
      <c r="I63" s="1352"/>
      <c r="J63" s="1125"/>
      <c r="K63" s="392"/>
      <c r="L63" s="226"/>
      <c r="M63" s="383"/>
      <c r="Q63"/>
      <c r="T63" s="196"/>
      <c r="U63" s="196"/>
      <c r="V63" s="196"/>
    </row>
    <row r="64" spans="1:24" x14ac:dyDescent="0.2">
      <c r="A64" s="1483" t="s">
        <v>119</v>
      </c>
      <c r="B64" s="135"/>
      <c r="C64" s="312"/>
      <c r="D64" s="135"/>
      <c r="E64" s="326"/>
      <c r="F64" s="1125"/>
      <c r="G64" s="392"/>
      <c r="H64" s="226"/>
      <c r="I64" s="383"/>
      <c r="J64" s="1125"/>
      <c r="K64" s="392"/>
      <c r="L64" s="226"/>
      <c r="M64" s="383"/>
      <c r="Q64"/>
      <c r="T64" s="196"/>
      <c r="U64" s="196"/>
      <c r="V64" s="196"/>
    </row>
    <row r="65" spans="1:22" x14ac:dyDescent="0.2">
      <c r="A65" s="251" t="s">
        <v>79</v>
      </c>
      <c r="B65" s="1125">
        <f>J65*popKC03/popKC15+(J69/2*popKC03/popKC15)</f>
        <v>682162.7082740647</v>
      </c>
      <c r="C65" s="392" t="s">
        <v>271</v>
      </c>
      <c r="D65" s="135"/>
      <c r="E65" s="760" t="s">
        <v>2008</v>
      </c>
      <c r="F65" s="1125">
        <f>J65*popKC08/popKC15+(J69/2*popKC08/popKC15)</f>
        <v>726293.23174688232</v>
      </c>
      <c r="G65" s="392" t="s">
        <v>271</v>
      </c>
      <c r="H65" s="226"/>
      <c r="I65" s="326" t="s">
        <v>2008</v>
      </c>
      <c r="J65" s="1125">
        <v>688887</v>
      </c>
      <c r="K65" s="392" t="s">
        <v>271</v>
      </c>
      <c r="L65" s="226" t="s">
        <v>2026</v>
      </c>
      <c r="M65" s="383"/>
      <c r="Q65"/>
      <c r="T65" s="196"/>
      <c r="U65" s="196"/>
      <c r="V65" s="196"/>
    </row>
    <row r="66" spans="1:22" x14ac:dyDescent="0.2">
      <c r="A66" s="251" t="s">
        <v>1221</v>
      </c>
      <c r="B66" s="1125">
        <f>J66*popKC03/popKC15+(J69/2*popKC03/popKC15)</f>
        <v>727952.30837587686</v>
      </c>
      <c r="C66" s="392" t="s">
        <v>271</v>
      </c>
      <c r="D66" s="135"/>
      <c r="E66" s="760" t="s">
        <v>2007</v>
      </c>
      <c r="F66" s="1125">
        <f>J66*popKC08/popKC15+(J69/2*popKC08/popKC15)</f>
        <v>775045.05625292286</v>
      </c>
      <c r="G66" s="392" t="s">
        <v>271</v>
      </c>
      <c r="H66" s="226"/>
      <c r="I66" s="326" t="s">
        <v>2007</v>
      </c>
      <c r="J66" s="1125">
        <v>742000</v>
      </c>
      <c r="K66" s="392" t="s">
        <v>271</v>
      </c>
      <c r="L66" s="226" t="s">
        <v>2027</v>
      </c>
      <c r="M66" s="383"/>
      <c r="Q66"/>
      <c r="T66" s="196"/>
      <c r="U66" s="196"/>
      <c r="V66" s="196"/>
    </row>
    <row r="67" spans="1:22" x14ac:dyDescent="0.2">
      <c r="A67" s="251" t="s">
        <v>1536</v>
      </c>
      <c r="B67" s="91">
        <v>0</v>
      </c>
      <c r="C67" s="91" t="s">
        <v>271</v>
      </c>
      <c r="D67" s="135"/>
      <c r="E67" s="326"/>
      <c r="F67" s="91">
        <v>0</v>
      </c>
      <c r="G67" s="91" t="s">
        <v>271</v>
      </c>
      <c r="H67" s="226"/>
      <c r="I67" s="383"/>
      <c r="J67" s="91">
        <v>226000</v>
      </c>
      <c r="K67" s="91" t="s">
        <v>271</v>
      </c>
      <c r="L67" t="s">
        <v>2027</v>
      </c>
      <c r="M67" s="383"/>
      <c r="Q67"/>
      <c r="T67" s="91"/>
      <c r="U67" s="91"/>
      <c r="V67" s="91"/>
    </row>
    <row r="68" spans="1:22" x14ac:dyDescent="0.2">
      <c r="A68" s="1741" t="s">
        <v>1956</v>
      </c>
      <c r="B68" s="135"/>
      <c r="C68" s="312"/>
      <c r="D68" s="135"/>
      <c r="E68" s="329"/>
      <c r="F68" s="1125"/>
      <c r="G68" s="392"/>
      <c r="H68" s="226"/>
      <c r="I68" s="383"/>
      <c r="J68" s="1835">
        <v>0.90600000000000003</v>
      </c>
      <c r="K68" s="392"/>
      <c r="L68" s="135" t="s">
        <v>2073</v>
      </c>
      <c r="M68" s="383"/>
      <c r="Q68"/>
      <c r="T68" s="65"/>
      <c r="U68" s="65"/>
      <c r="V68" s="65"/>
    </row>
    <row r="69" spans="1:22" x14ac:dyDescent="0.2">
      <c r="A69" s="251" t="s">
        <v>2011</v>
      </c>
      <c r="B69" s="2094">
        <v>0</v>
      </c>
      <c r="C69" s="312"/>
      <c r="D69" s="135"/>
      <c r="E69" s="326"/>
      <c r="F69" s="2099">
        <v>0</v>
      </c>
      <c r="G69" s="392"/>
      <c r="H69" s="226"/>
      <c r="I69" s="383"/>
      <c r="J69" s="2156">
        <f>J67*J68</f>
        <v>204756</v>
      </c>
      <c r="K69" s="91" t="s">
        <v>271</v>
      </c>
      <c r="L69" s="226"/>
      <c r="M69" s="383"/>
      <c r="Q69"/>
      <c r="T69" s="65"/>
      <c r="U69" s="65"/>
      <c r="V69" s="65"/>
    </row>
    <row r="70" spans="1:22" x14ac:dyDescent="0.2">
      <c r="A70" s="1741"/>
      <c r="B70" s="135"/>
      <c r="C70" s="312"/>
      <c r="D70" s="135"/>
      <c r="E70" s="326"/>
      <c r="F70" s="1125"/>
      <c r="G70" s="392"/>
      <c r="H70" s="226"/>
      <c r="I70" s="383"/>
      <c r="J70" s="1835"/>
      <c r="K70" s="392"/>
      <c r="L70" s="226"/>
      <c r="M70" s="383"/>
      <c r="Q70"/>
    </row>
    <row r="71" spans="1:22" x14ac:dyDescent="0.2">
      <c r="A71" s="1476" t="s">
        <v>120</v>
      </c>
      <c r="B71" s="92"/>
      <c r="C71" s="92"/>
      <c r="D71" s="92"/>
      <c r="E71" s="92"/>
      <c r="F71" s="371"/>
      <c r="G71" s="135"/>
      <c r="H71" s="135"/>
      <c r="I71" s="1352"/>
      <c r="J71" s="1125"/>
      <c r="K71" s="392"/>
      <c r="L71" s="226"/>
      <c r="M71" s="383"/>
      <c r="Q71"/>
    </row>
    <row r="72" spans="1:22" x14ac:dyDescent="0.2">
      <c r="A72" s="215"/>
      <c r="B72" s="92"/>
      <c r="C72" s="92"/>
      <c r="D72" s="92"/>
      <c r="E72" s="92"/>
      <c r="F72" s="371"/>
      <c r="G72" s="135"/>
      <c r="H72" s="135"/>
      <c r="I72" s="1352"/>
      <c r="J72" s="1125"/>
      <c r="K72" s="392"/>
      <c r="L72" s="226"/>
      <c r="M72" s="383"/>
      <c r="Q72"/>
    </row>
    <row r="73" spans="1:22" ht="12.75" x14ac:dyDescent="0.2">
      <c r="A73" s="2011" t="s">
        <v>1963</v>
      </c>
      <c r="B73" s="92"/>
      <c r="C73" s="92"/>
      <c r="D73" s="92"/>
      <c r="E73" s="92"/>
      <c r="F73" s="371"/>
      <c r="G73" s="135"/>
      <c r="H73" s="135"/>
      <c r="I73" s="1352"/>
      <c r="J73" s="1125"/>
      <c r="K73" s="392"/>
      <c r="L73" s="226"/>
      <c r="M73" s="383"/>
      <c r="Q73"/>
    </row>
    <row r="74" spans="1:22" ht="12.75" x14ac:dyDescent="0.2">
      <c r="A74" s="2011" t="s">
        <v>1964</v>
      </c>
      <c r="B74" s="2012">
        <v>1.25</v>
      </c>
      <c r="D74" s="92"/>
      <c r="E74" s="93"/>
      <c r="F74" s="2012">
        <v>1.25</v>
      </c>
      <c r="H74" s="135"/>
      <c r="I74" s="1352"/>
      <c r="J74" s="2012">
        <v>1.25</v>
      </c>
      <c r="L74" s="226"/>
      <c r="M74" s="383"/>
      <c r="Q74"/>
    </row>
    <row r="75" spans="1:22" ht="12.75" x14ac:dyDescent="0.2">
      <c r="A75" s="2011" t="s">
        <v>1965</v>
      </c>
      <c r="B75" s="1774">
        <v>2.5999999999999999E-2</v>
      </c>
      <c r="C75" s="392" t="s">
        <v>1966</v>
      </c>
      <c r="D75" s="92"/>
      <c r="E75" s="93"/>
      <c r="F75" s="1774">
        <v>2.5999999999999999E-2</v>
      </c>
      <c r="G75" s="392" t="s">
        <v>1966</v>
      </c>
      <c r="H75" s="135"/>
      <c r="I75" s="1352"/>
      <c r="J75" s="1774">
        <v>2.5999999999999999E-2</v>
      </c>
      <c r="K75" s="392" t="s">
        <v>1966</v>
      </c>
      <c r="L75" s="226"/>
      <c r="M75" s="383"/>
      <c r="Q75"/>
    </row>
    <row r="76" spans="1:22" ht="12.75" x14ac:dyDescent="0.2">
      <c r="A76" s="2011" t="s">
        <v>1967</v>
      </c>
      <c r="B76" s="1774">
        <v>5.0000000000000001E-3</v>
      </c>
      <c r="C76" s="392" t="s">
        <v>1968</v>
      </c>
      <c r="D76" s="92"/>
      <c r="E76" s="93"/>
      <c r="F76" s="1774">
        <v>5.0000000000000001E-3</v>
      </c>
      <c r="G76" s="392" t="s">
        <v>1968</v>
      </c>
      <c r="H76" s="135"/>
      <c r="I76" s="1352"/>
      <c r="J76" s="1774">
        <v>5.0000000000000001E-3</v>
      </c>
      <c r="K76" s="392" t="s">
        <v>1968</v>
      </c>
      <c r="L76" s="226"/>
      <c r="M76" s="383"/>
      <c r="Q76"/>
    </row>
    <row r="77" spans="1:22" ht="12.75" x14ac:dyDescent="0.2">
      <c r="A77" s="2011" t="s">
        <v>1969</v>
      </c>
      <c r="B77" s="2012">
        <v>0.09</v>
      </c>
      <c r="C77" s="392" t="s">
        <v>1966</v>
      </c>
      <c r="D77" s="92"/>
      <c r="E77" s="93"/>
      <c r="F77" s="2012">
        <v>0.09</v>
      </c>
      <c r="G77" s="392" t="s">
        <v>1966</v>
      </c>
      <c r="H77" s="135"/>
      <c r="I77" s="1352"/>
      <c r="J77" s="2012">
        <v>0.09</v>
      </c>
      <c r="K77" s="392" t="s">
        <v>1966</v>
      </c>
      <c r="L77" s="226"/>
      <c r="M77" s="383"/>
      <c r="Q77"/>
    </row>
    <row r="78" spans="1:22" ht="15.75" x14ac:dyDescent="0.3">
      <c r="A78" s="2011" t="s">
        <v>1970</v>
      </c>
      <c r="B78" s="2013">
        <v>2.5000000000000001E-3</v>
      </c>
      <c r="C78" s="392" t="s">
        <v>1971</v>
      </c>
      <c r="D78" s="92"/>
      <c r="E78" s="93"/>
      <c r="F78" s="2013">
        <v>2.5000000000000001E-3</v>
      </c>
      <c r="G78" s="392" t="s">
        <v>1971</v>
      </c>
      <c r="H78" s="135"/>
      <c r="I78" s="1352"/>
      <c r="J78" s="2013">
        <v>2.5000000000000001E-3</v>
      </c>
      <c r="K78" s="392" t="s">
        <v>1971</v>
      </c>
      <c r="L78" s="226"/>
      <c r="M78" s="383"/>
      <c r="Q78"/>
    </row>
    <row r="79" spans="1:22" ht="15.75" x14ac:dyDescent="0.3">
      <c r="A79" s="2011" t="s">
        <v>1972</v>
      </c>
      <c r="B79" s="2012">
        <v>1.57</v>
      </c>
      <c r="C79" s="392"/>
      <c r="D79" s="92"/>
      <c r="E79" s="93"/>
      <c r="F79" s="2012">
        <v>1.57</v>
      </c>
      <c r="G79" s="392"/>
      <c r="H79" s="135"/>
      <c r="I79" s="1352"/>
      <c r="J79" s="2012">
        <v>1.57</v>
      </c>
      <c r="K79" s="392"/>
      <c r="L79" s="226"/>
      <c r="M79" s="383"/>
      <c r="Q79"/>
    </row>
    <row r="80" spans="1:22" ht="12.75" x14ac:dyDescent="0.2">
      <c r="A80" s="2011" t="s">
        <v>1973</v>
      </c>
      <c r="B80" s="1835">
        <v>0</v>
      </c>
      <c r="C80" s="392"/>
      <c r="D80" s="92"/>
      <c r="E80" s="93"/>
      <c r="F80" s="1835">
        <v>0</v>
      </c>
      <c r="G80" s="392"/>
      <c r="H80" s="135"/>
      <c r="I80" s="1352"/>
      <c r="J80" s="1835">
        <v>0</v>
      </c>
      <c r="K80" s="392"/>
      <c r="L80" s="226"/>
      <c r="M80" s="383"/>
      <c r="Q80"/>
    </row>
    <row r="81" spans="1:19" ht="12.75" x14ac:dyDescent="0.2">
      <c r="A81" s="2011" t="s">
        <v>1974</v>
      </c>
      <c r="B81" s="2012">
        <v>365.25</v>
      </c>
      <c r="C81" s="392" t="s">
        <v>913</v>
      </c>
      <c r="D81" s="92"/>
      <c r="E81" s="93"/>
      <c r="F81" s="2012">
        <v>365.25</v>
      </c>
      <c r="G81" s="392" t="s">
        <v>913</v>
      </c>
      <c r="H81" s="135"/>
      <c r="I81" s="1352"/>
      <c r="J81" s="2012">
        <v>365.25</v>
      </c>
      <c r="K81" s="392" t="s">
        <v>913</v>
      </c>
      <c r="L81" s="226"/>
      <c r="M81" s="383"/>
      <c r="Q81"/>
    </row>
    <row r="82" spans="1:19" s="91" customFormat="1" ht="12.75" x14ac:dyDescent="0.2">
      <c r="A82" s="2011" t="s">
        <v>1975</v>
      </c>
      <c r="B82" s="2014">
        <f>10^-3</f>
        <v>1E-3</v>
      </c>
      <c r="C82" s="392" t="s">
        <v>1976</v>
      </c>
      <c r="D82" s="92"/>
      <c r="E82" s="93"/>
      <c r="F82" s="2014">
        <f>10^-3</f>
        <v>1E-3</v>
      </c>
      <c r="G82" s="392" t="s">
        <v>1976</v>
      </c>
      <c r="H82" s="135"/>
      <c r="I82" s="1352"/>
      <c r="J82" s="2014">
        <f>10^-3</f>
        <v>1E-3</v>
      </c>
      <c r="K82" s="392" t="s">
        <v>1976</v>
      </c>
      <c r="L82" s="226"/>
      <c r="M82" s="383"/>
      <c r="N82"/>
      <c r="O82"/>
      <c r="P82"/>
      <c r="Q82"/>
      <c r="R82"/>
      <c r="S82"/>
    </row>
    <row r="83" spans="1:19" ht="15.75" x14ac:dyDescent="0.3">
      <c r="A83" s="2011" t="s">
        <v>1977</v>
      </c>
      <c r="B83" s="1125">
        <v>310</v>
      </c>
      <c r="C83" s="226" t="s">
        <v>1952</v>
      </c>
      <c r="D83" s="92"/>
      <c r="E83" s="93"/>
      <c r="F83" s="1125">
        <v>310</v>
      </c>
      <c r="G83" s="226" t="s">
        <v>1952</v>
      </c>
      <c r="H83" s="135"/>
      <c r="I83" s="1352"/>
      <c r="J83" s="1125">
        <v>310</v>
      </c>
      <c r="K83" s="226" t="s">
        <v>1952</v>
      </c>
      <c r="L83" s="226"/>
      <c r="M83" s="383"/>
      <c r="Q83"/>
    </row>
    <row r="84" spans="1:19" ht="12.75" x14ac:dyDescent="0.2">
      <c r="A84" s="2011"/>
      <c r="B84" s="1125"/>
      <c r="C84" s="226"/>
      <c r="D84" s="92"/>
      <c r="E84" s="93"/>
      <c r="F84" s="1125"/>
      <c r="G84" s="226"/>
      <c r="H84" s="135"/>
      <c r="I84" s="1352"/>
      <c r="J84" s="1125"/>
      <c r="K84" s="226"/>
      <c r="L84" s="226"/>
      <c r="M84" s="383"/>
      <c r="Q84"/>
    </row>
    <row r="85" spans="1:19" ht="13.5" x14ac:dyDescent="0.2">
      <c r="A85" s="260" t="s">
        <v>79</v>
      </c>
      <c r="B85" s="1491">
        <f>B65*$J$74*($J$75-$J$76*$J$77)*$J$78*$J$79*(1-$J$80)*$J$81*$J$82*$J$83</f>
        <v>9682.3431692277081</v>
      </c>
      <c r="C85" s="392" t="s">
        <v>168</v>
      </c>
      <c r="D85" s="92"/>
      <c r="E85" s="93"/>
      <c r="F85" s="1491">
        <f>F65*$J$74*($J$75-$J$76*$J$77)*$J$78*$J$79*(1-$J$80)*$J$81*$J$82*$J$83</f>
        <v>10308.714073586514</v>
      </c>
      <c r="G85" s="392" t="s">
        <v>168</v>
      </c>
      <c r="H85" s="135"/>
      <c r="I85" s="1352"/>
      <c r="J85" s="1491">
        <f>J65*$J$74*($J$75-$J$76*$J$77)*$J$78*$J$79*(1-$J$80)*$J$81*$J$82*$J$83</f>
        <v>9777.7850620060908</v>
      </c>
      <c r="K85" s="392" t="s">
        <v>168</v>
      </c>
      <c r="L85" s="226"/>
      <c r="M85" s="383"/>
      <c r="Q85"/>
    </row>
    <row r="86" spans="1:19" ht="13.5" x14ac:dyDescent="0.2">
      <c r="A86" s="260" t="s">
        <v>1221</v>
      </c>
      <c r="B86" s="1491">
        <f>B66*$J$74*($J$75-$J$76*$J$77)*$J$78*$J$79*(1-$J$80)*$J$81*$J$82*$J$83</f>
        <v>10332.262340108755</v>
      </c>
      <c r="C86" s="392" t="s">
        <v>168</v>
      </c>
      <c r="D86" s="92"/>
      <c r="E86" s="93"/>
      <c r="F86" s="1491">
        <f>F66*$J$74*($J$75-$J$76*$J$77)*$J$78*$J$79*(1-$J$80)*$J$81*$J$82*$J$83</f>
        <v>11000.67786648826</v>
      </c>
      <c r="G86" s="392" t="s">
        <v>168</v>
      </c>
      <c r="H86" s="135"/>
      <c r="I86" s="1352"/>
      <c r="J86" s="1491">
        <f>J66*$J$74*($J$75-$J$76*$J$77)*$J$78*$J$79*(1-$J$80)*$J$81*$J$82*$J$83</f>
        <v>10531.649626148437</v>
      </c>
      <c r="K86" s="392" t="s">
        <v>168</v>
      </c>
      <c r="L86" s="226"/>
      <c r="M86" s="383"/>
      <c r="Q86"/>
    </row>
    <row r="87" spans="1:19" ht="13.5" x14ac:dyDescent="0.2">
      <c r="A87" s="260" t="s">
        <v>1536</v>
      </c>
      <c r="B87" s="1491">
        <f>B69*$J$74*($J$75-$J$76*$J$77)*$J$78*$J$79*(1-$J$80)*$J$81*$J$82*$J$83</f>
        <v>0</v>
      </c>
      <c r="C87" s="392" t="s">
        <v>168</v>
      </c>
      <c r="D87" s="92"/>
      <c r="E87" s="93"/>
      <c r="F87" s="1491">
        <f>F69*$J$74*($J$75-$J$76*$J$77)*$J$78*$J$79*(1-$J$80)*$J$81*$J$82*$J$83</f>
        <v>0</v>
      </c>
      <c r="G87" s="392" t="s">
        <v>168</v>
      </c>
      <c r="H87" s="135"/>
      <c r="I87" s="1352"/>
      <c r="J87" s="1491">
        <f>J69*$J$74*($J$75-$J$76*$J$77)*$J$78*$J$79*(1-$J$80)*$J$81*$J$82*$J$83</f>
        <v>2906.2243272933292</v>
      </c>
      <c r="K87" s="392" t="s">
        <v>168</v>
      </c>
      <c r="L87" s="226"/>
      <c r="M87" s="383"/>
      <c r="Q87"/>
    </row>
    <row r="88" spans="1:19" x14ac:dyDescent="0.2">
      <c r="A88" s="260"/>
      <c r="B88" s="1125"/>
      <c r="C88" s="392"/>
      <c r="D88" s="92"/>
      <c r="E88" s="93"/>
      <c r="F88" s="1125"/>
      <c r="G88" s="392"/>
      <c r="H88" s="135"/>
      <c r="I88" s="1352"/>
      <c r="J88" s="1125"/>
      <c r="K88" s="392"/>
      <c r="L88" s="226"/>
      <c r="M88" s="383"/>
      <c r="Q88"/>
    </row>
    <row r="89" spans="1:19" x14ac:dyDescent="0.2">
      <c r="A89" s="1765" t="s">
        <v>1723</v>
      </c>
      <c r="B89" s="1125"/>
      <c r="C89" s="392"/>
      <c r="D89" s="135"/>
      <c r="E89" s="326"/>
      <c r="F89" s="1125"/>
      <c r="G89" s="392"/>
      <c r="H89" s="226"/>
      <c r="I89" s="383"/>
      <c r="J89" s="1125"/>
      <c r="K89" s="392"/>
      <c r="L89" s="226"/>
      <c r="M89" s="383"/>
      <c r="Q89"/>
    </row>
    <row r="90" spans="1:19" ht="13.5" x14ac:dyDescent="0.2">
      <c r="A90" s="260" t="s">
        <v>79</v>
      </c>
      <c r="B90" s="1766">
        <f>B24+B38+B58+B85</f>
        <v>10580.876703214171</v>
      </c>
      <c r="C90" s="392" t="s">
        <v>168</v>
      </c>
      <c r="D90" s="135"/>
      <c r="E90" s="326"/>
      <c r="F90" s="1766">
        <f>F24+F38+F58+F85</f>
        <v>11265.375609487694</v>
      </c>
      <c r="G90" s="392" t="s">
        <v>168</v>
      </c>
      <c r="H90" s="187"/>
      <c r="I90" s="383"/>
      <c r="J90" s="1766">
        <f>J24+J38+J58+J85</f>
        <v>10685.872015756091</v>
      </c>
      <c r="K90" s="392" t="s">
        <v>168</v>
      </c>
      <c r="L90" s="187"/>
      <c r="M90" s="383"/>
      <c r="Q90"/>
    </row>
    <row r="91" spans="1:19" ht="13.5" x14ac:dyDescent="0.2">
      <c r="A91" s="260" t="s">
        <v>1221</v>
      </c>
      <c r="B91" s="1767">
        <f>B25+B39+B59+B86</f>
        <v>11301.533282129707</v>
      </c>
      <c r="C91" s="392" t="s">
        <v>168</v>
      </c>
      <c r="D91" s="131"/>
      <c r="E91" s="335"/>
      <c r="F91" s="1767">
        <f>F25+F39+F59+F86</f>
        <v>12032.652960377318</v>
      </c>
      <c r="G91" s="392" t="s">
        <v>168</v>
      </c>
      <c r="H91" s="131"/>
      <c r="I91" s="335"/>
      <c r="J91" s="1767">
        <f>J25+J39+J59+J86</f>
        <v>11521.787437398438</v>
      </c>
      <c r="K91" s="392" t="s">
        <v>168</v>
      </c>
      <c r="L91" s="131"/>
      <c r="M91" s="335"/>
      <c r="Q91"/>
    </row>
    <row r="92" spans="1:19" ht="13.5" x14ac:dyDescent="0.2">
      <c r="A92" s="260" t="s">
        <v>1536</v>
      </c>
      <c r="B92" s="1767">
        <f>B26+B40+B60+B87</f>
        <v>0</v>
      </c>
      <c r="C92" s="392" t="s">
        <v>168</v>
      </c>
      <c r="D92" s="932"/>
      <c r="E92" s="356"/>
      <c r="F92" s="1767">
        <f>F26+F40+F60+F87</f>
        <v>0</v>
      </c>
      <c r="G92" s="392" t="s">
        <v>168</v>
      </c>
      <c r="H92" s="226"/>
      <c r="I92" s="383"/>
      <c r="J92" s="1767">
        <f>J26+J40+J60+J87</f>
        <v>3151.7790595022093</v>
      </c>
      <c r="K92" s="392" t="s">
        <v>168</v>
      </c>
      <c r="L92" s="226"/>
      <c r="M92" s="383"/>
      <c r="N92" s="196"/>
      <c r="O92" s="196"/>
      <c r="P92" s="196"/>
      <c r="Q92" s="196"/>
      <c r="R92" s="196"/>
    </row>
    <row r="93" spans="1:19" x14ac:dyDescent="0.2">
      <c r="A93" s="260"/>
      <c r="B93" s="1767"/>
      <c r="C93" s="392"/>
      <c r="D93" s="932"/>
      <c r="E93" s="356"/>
      <c r="F93" s="1767"/>
      <c r="G93" s="392"/>
      <c r="H93" s="226"/>
      <c r="I93" s="383"/>
      <c r="J93" s="1767"/>
      <c r="K93" s="392"/>
      <c r="L93" s="226"/>
      <c r="M93" s="383"/>
      <c r="N93" s="196"/>
      <c r="O93" s="196"/>
      <c r="P93" s="196"/>
      <c r="Q93" s="196"/>
      <c r="R93" s="196"/>
    </row>
    <row r="94" spans="1:19" x14ac:dyDescent="0.2">
      <c r="A94" s="2113" t="s">
        <v>2015</v>
      </c>
      <c r="B94" s="1767"/>
      <c r="C94" s="392"/>
      <c r="D94" s="932"/>
      <c r="E94" s="356"/>
      <c r="F94" s="1767"/>
      <c r="G94" s="392"/>
      <c r="H94" s="226"/>
      <c r="I94" s="383"/>
      <c r="L94" s="226"/>
      <c r="M94" s="383"/>
      <c r="N94" s="196"/>
      <c r="O94" s="196"/>
      <c r="P94" s="196"/>
      <c r="Q94" s="196"/>
      <c r="R94" s="196"/>
    </row>
    <row r="95" spans="1:19" x14ac:dyDescent="0.2">
      <c r="A95" s="1741" t="s">
        <v>2016</v>
      </c>
      <c r="B95" s="2112">
        <f>85000*(popKC03-popSea03)/(popKC15-popSea15)</f>
        <v>73296.849827387807</v>
      </c>
      <c r="C95" s="5" t="s">
        <v>271</v>
      </c>
      <c r="D95" s="932"/>
      <c r="E95" s="383" t="s">
        <v>2024</v>
      </c>
      <c r="F95" s="2112">
        <f>85000*(popKC08-popSea08)/(popKC15-popSea15)</f>
        <v>78330.825661680094</v>
      </c>
      <c r="G95" s="5" t="s">
        <v>271</v>
      </c>
      <c r="H95" s="226"/>
      <c r="I95" s="383" t="s">
        <v>2024</v>
      </c>
      <c r="J95" s="2112">
        <v>85000</v>
      </c>
      <c r="K95" s="5" t="s">
        <v>271</v>
      </c>
      <c r="L95" s="226"/>
      <c r="N95" s="196"/>
      <c r="O95" s="196"/>
      <c r="P95" s="196"/>
      <c r="Q95" s="196"/>
      <c r="R95" s="196"/>
    </row>
    <row r="96" spans="1:19" x14ac:dyDescent="0.2">
      <c r="A96" s="1741" t="s">
        <v>2017</v>
      </c>
      <c r="B96">
        <v>2.4500000000000002</v>
      </c>
      <c r="C96" t="s">
        <v>271</v>
      </c>
      <c r="D96" s="932"/>
      <c r="E96" s="356"/>
      <c r="F96">
        <v>2.4500000000000002</v>
      </c>
      <c r="G96" t="s">
        <v>271</v>
      </c>
      <c r="H96" s="226"/>
      <c r="I96" s="383"/>
      <c r="J96">
        <v>2.4500000000000002</v>
      </c>
      <c r="K96" t="s">
        <v>271</v>
      </c>
      <c r="L96" s="226"/>
      <c r="M96" s="383" t="s">
        <v>2025</v>
      </c>
      <c r="N96" s="196"/>
      <c r="O96" s="196"/>
      <c r="P96" s="196"/>
      <c r="Q96" s="196"/>
      <c r="R96" s="196"/>
    </row>
    <row r="97" spans="1:18" x14ac:dyDescent="0.2">
      <c r="A97" s="1476" t="s">
        <v>120</v>
      </c>
      <c r="B97"/>
      <c r="D97" s="932"/>
      <c r="E97" s="356"/>
      <c r="H97" s="226"/>
      <c r="I97" s="383"/>
      <c r="L97" s="226"/>
      <c r="M97" s="383"/>
      <c r="N97" s="196"/>
      <c r="O97" s="196"/>
      <c r="P97" s="196"/>
      <c r="Q97" s="196"/>
      <c r="R97" s="196"/>
    </row>
    <row r="98" spans="1:18" ht="13.5" x14ac:dyDescent="0.2">
      <c r="A98" s="1741" t="s">
        <v>2022</v>
      </c>
      <c r="B98">
        <v>0.09</v>
      </c>
      <c r="C98" t="s">
        <v>2018</v>
      </c>
      <c r="D98" s="932"/>
      <c r="E98" s="356"/>
      <c r="F98">
        <v>0.09</v>
      </c>
      <c r="G98" t="s">
        <v>2018</v>
      </c>
      <c r="H98" s="226"/>
      <c r="I98" s="383"/>
      <c r="J98">
        <v>0.09</v>
      </c>
      <c r="K98" t="s">
        <v>2018</v>
      </c>
      <c r="L98" s="226"/>
      <c r="M98" s="383" t="s">
        <v>2025</v>
      </c>
      <c r="N98" s="196"/>
      <c r="O98" s="196"/>
      <c r="P98" s="196"/>
      <c r="Q98" s="196"/>
      <c r="R98" s="196"/>
    </row>
    <row r="99" spans="1:18" ht="13.5" x14ac:dyDescent="0.2">
      <c r="A99" s="1741" t="s">
        <v>2021</v>
      </c>
      <c r="B99">
        <v>0.6</v>
      </c>
      <c r="C99" t="s">
        <v>2019</v>
      </c>
      <c r="D99" s="932"/>
      <c r="E99" s="356"/>
      <c r="F99">
        <v>0.6</v>
      </c>
      <c r="G99" t="s">
        <v>2019</v>
      </c>
      <c r="H99" s="226"/>
      <c r="I99" s="383"/>
      <c r="J99">
        <v>0.6</v>
      </c>
      <c r="K99" t="s">
        <v>2019</v>
      </c>
      <c r="L99" s="226"/>
      <c r="M99" s="383" t="s">
        <v>2025</v>
      </c>
      <c r="N99" s="196"/>
      <c r="O99" s="196"/>
      <c r="P99" s="196"/>
      <c r="Q99" s="196"/>
      <c r="R99" s="196"/>
    </row>
    <row r="100" spans="1:18" x14ac:dyDescent="0.2">
      <c r="A100" s="1741" t="s">
        <v>2020</v>
      </c>
      <c r="B100">
        <v>0.22</v>
      </c>
      <c r="D100" s="932"/>
      <c r="E100" s="356"/>
      <c r="F100">
        <v>0.22</v>
      </c>
      <c r="H100" s="226"/>
      <c r="I100" s="383"/>
      <c r="J100">
        <v>0.22</v>
      </c>
      <c r="L100" s="226"/>
      <c r="M100" s="383" t="s">
        <v>2025</v>
      </c>
      <c r="N100" s="196"/>
      <c r="O100" s="196"/>
      <c r="P100" s="196"/>
      <c r="Q100" s="196"/>
      <c r="R100" s="196"/>
    </row>
    <row r="101" spans="1:18" x14ac:dyDescent="0.2">
      <c r="A101" s="1741" t="s">
        <v>1948</v>
      </c>
      <c r="B101">
        <v>365.25</v>
      </c>
      <c r="C101" t="s">
        <v>913</v>
      </c>
      <c r="D101" s="932"/>
      <c r="E101" s="356"/>
      <c r="F101">
        <v>365.25</v>
      </c>
      <c r="G101" t="s">
        <v>913</v>
      </c>
      <c r="H101" s="226"/>
      <c r="I101" s="383"/>
      <c r="J101">
        <v>365.25</v>
      </c>
      <c r="K101" t="s">
        <v>913</v>
      </c>
      <c r="L101" s="226"/>
      <c r="M101" s="383"/>
      <c r="N101" s="196"/>
      <c r="O101" s="196"/>
      <c r="P101" s="196"/>
      <c r="Q101" s="196"/>
      <c r="R101" s="196"/>
    </row>
    <row r="102" spans="1:18" x14ac:dyDescent="0.2">
      <c r="A102" s="260"/>
      <c r="B102"/>
      <c r="D102" s="932"/>
      <c r="E102" s="356"/>
      <c r="H102" s="226"/>
      <c r="I102" s="383"/>
      <c r="L102" s="226"/>
      <c r="M102" s="383"/>
      <c r="N102" s="196"/>
      <c r="O102" s="196"/>
      <c r="P102" s="196"/>
      <c r="Q102" s="196"/>
      <c r="R102" s="196"/>
    </row>
    <row r="103" spans="1:18" ht="13.5" x14ac:dyDescent="0.2">
      <c r="A103" s="260"/>
      <c r="B103" s="2114">
        <f>B95*B96*B98*B99*B100*B101*10^-3*GWPCH4</f>
        <v>16363.543456480304</v>
      </c>
      <c r="C103" s="392" t="s">
        <v>168</v>
      </c>
      <c r="D103" s="932"/>
      <c r="E103" s="356"/>
      <c r="F103" s="2114">
        <f>F95*F96*F98*F99*F100*F101*10^-3*GWPCH4</f>
        <v>17487.38005405989</v>
      </c>
      <c r="G103" s="392" t="s">
        <v>168</v>
      </c>
      <c r="H103" s="226"/>
      <c r="I103" s="383"/>
      <c r="J103" s="2114">
        <f>J95*J96*J98*J99*J100*J101*10^-3*GWPCH4</f>
        <v>18976.275202500001</v>
      </c>
      <c r="K103" s="392" t="s">
        <v>168</v>
      </c>
      <c r="L103" s="226"/>
      <c r="M103" s="383"/>
      <c r="N103" s="196"/>
      <c r="O103" s="196"/>
      <c r="P103" s="196"/>
      <c r="Q103" s="196"/>
      <c r="R103" s="196"/>
    </row>
    <row r="104" spans="1:18" x14ac:dyDescent="0.2">
      <c r="A104" s="260"/>
      <c r="B104" s="2114"/>
      <c r="C104" s="478"/>
      <c r="D104" s="932"/>
      <c r="E104" s="356"/>
      <c r="F104" s="2114"/>
      <c r="G104" s="478"/>
      <c r="H104" s="226"/>
      <c r="I104" s="383"/>
      <c r="J104" s="2114"/>
      <c r="K104" s="478"/>
      <c r="L104" s="226"/>
      <c r="M104" s="383"/>
      <c r="N104" s="196"/>
      <c r="O104" s="196"/>
      <c r="P104" s="196"/>
      <c r="Q104" s="196"/>
      <c r="R104" s="196"/>
    </row>
    <row r="105" spans="1:18" x14ac:dyDescent="0.2">
      <c r="A105" s="2113" t="s">
        <v>2201</v>
      </c>
      <c r="B105" s="2114"/>
      <c r="C105" s="478"/>
      <c r="D105" s="932"/>
      <c r="E105" s="356"/>
      <c r="F105" s="2114"/>
      <c r="G105" s="478"/>
      <c r="H105" s="226"/>
      <c r="I105" s="383"/>
      <c r="J105" s="2114"/>
      <c r="K105" s="478"/>
      <c r="L105" s="226"/>
      <c r="M105" s="383"/>
      <c r="N105" s="196"/>
      <c r="O105" s="196"/>
      <c r="P105" s="196"/>
      <c r="Q105" s="196"/>
      <c r="R105" s="196"/>
    </row>
    <row r="106" spans="1:18" ht="12" customHeight="1" x14ac:dyDescent="0.2">
      <c r="A106" s="1741" t="s">
        <v>2100</v>
      </c>
      <c r="B106" s="2114">
        <v>0</v>
      </c>
      <c r="C106" s="478" t="s">
        <v>654</v>
      </c>
      <c r="D106" s="870" t="s">
        <v>2058</v>
      </c>
      <c r="E106" s="761" t="s">
        <v>2323</v>
      </c>
      <c r="F106" s="2114">
        <v>41000</v>
      </c>
      <c r="G106" s="478" t="s">
        <v>654</v>
      </c>
      <c r="H106" s="870" t="s">
        <v>2058</v>
      </c>
      <c r="I106" s="761" t="s">
        <v>2323</v>
      </c>
      <c r="J106" s="2114">
        <v>4000</v>
      </c>
      <c r="K106" s="478" t="s">
        <v>654</v>
      </c>
      <c r="L106" s="870" t="s">
        <v>2058</v>
      </c>
      <c r="M106" s="761" t="s">
        <v>2323</v>
      </c>
      <c r="N106" s="196"/>
      <c r="O106" s="196"/>
      <c r="P106" s="196"/>
      <c r="Q106" s="196"/>
      <c r="R106" s="196"/>
    </row>
    <row r="107" spans="1:18" ht="13.5" x14ac:dyDescent="0.2">
      <c r="A107" s="1741" t="s">
        <v>2101</v>
      </c>
      <c r="B107" s="2114">
        <f>B106*efLPG*10^-6+B106*'Emission Factors'!E128*GWPCH4*10^-6+B106*'Emission Factors'!E125*GWPN2O*10^-6</f>
        <v>0</v>
      </c>
      <c r="C107" s="392" t="s">
        <v>168</v>
      </c>
      <c r="D107" s="932"/>
      <c r="E107" s="356"/>
      <c r="F107" s="2114">
        <f>F106*efLPG*10^-6+F106*'Emission Factors'!I128*GWPCH4*10^-6+F106*'Emission Factors'!I125*GWPN2O*10^-6</f>
        <v>61.003245289885378</v>
      </c>
      <c r="G107" s="392" t="s">
        <v>168</v>
      </c>
      <c r="H107" s="226"/>
      <c r="I107" s="383"/>
      <c r="J107" s="2114">
        <f>J106*efLPG*10^-6+J106*'Emission Factors'!M128*GWPCH4*10^-6+J106*'Emission Factors'!M125*GWPN2O*10^-6</f>
        <v>5.9515361258424759</v>
      </c>
      <c r="K107" s="392" t="s">
        <v>168</v>
      </c>
      <c r="L107" s="226"/>
      <c r="M107" s="383"/>
      <c r="N107" s="196"/>
      <c r="O107" s="196"/>
      <c r="P107" s="196"/>
      <c r="Q107" s="196"/>
      <c r="R107" s="196"/>
    </row>
    <row r="108" spans="1:18" x14ac:dyDescent="0.2">
      <c r="A108" s="118"/>
      <c r="B108" s="255"/>
      <c r="C108" s="392"/>
      <c r="D108" s="932"/>
      <c r="E108" s="356"/>
      <c r="F108" s="623"/>
      <c r="G108" s="865"/>
      <c r="H108" s="226"/>
      <c r="I108" s="383"/>
      <c r="J108" s="1767"/>
      <c r="K108" s="392"/>
      <c r="L108" s="226"/>
      <c r="M108" s="383"/>
      <c r="N108" s="196"/>
      <c r="O108" s="196"/>
      <c r="P108" s="196"/>
      <c r="Q108" s="196"/>
      <c r="R108" s="196"/>
    </row>
    <row r="109" spans="1:18" x14ac:dyDescent="0.2">
      <c r="A109" s="1503" t="s">
        <v>21</v>
      </c>
      <c r="B109" s="1515">
        <f>SUM(B90:B92, B103,B107)</f>
        <v>38245.953441824182</v>
      </c>
      <c r="C109" s="1492" t="s">
        <v>163</v>
      </c>
      <c r="D109" s="1492"/>
      <c r="E109" s="1516"/>
      <c r="F109" s="1517">
        <f>SUM(F90:F92, F103,F107)</f>
        <v>40846.411869214789</v>
      </c>
      <c r="G109" s="1518" t="s">
        <v>163</v>
      </c>
      <c r="H109" s="1492"/>
      <c r="I109" s="1516"/>
      <c r="J109" s="1519">
        <f>SUM(J90:J92, J103,J107)</f>
        <v>44341.665251282582</v>
      </c>
      <c r="K109" s="1492" t="s">
        <v>163</v>
      </c>
      <c r="L109" s="1492"/>
      <c r="M109" s="1516"/>
      <c r="N109" s="65"/>
      <c r="O109" s="65"/>
      <c r="P109" s="65"/>
      <c r="Q109" s="65"/>
      <c r="R109" s="65"/>
    </row>
    <row r="110" spans="1:18" x14ac:dyDescent="0.2">
      <c r="A110" s="260"/>
      <c r="B110" s="91"/>
      <c r="C110" s="91"/>
      <c r="D110"/>
      <c r="E110" s="1"/>
      <c r="I110"/>
      <c r="M110"/>
      <c r="Q110"/>
    </row>
    <row r="111" spans="1:18" x14ac:dyDescent="0.2">
      <c r="A111" s="260"/>
      <c r="B111" s="91"/>
      <c r="C111" s="91"/>
      <c r="D111"/>
      <c r="E111" s="1"/>
      <c r="I111"/>
      <c r="M111"/>
      <c r="Q111"/>
    </row>
    <row r="112" spans="1:18" x14ac:dyDescent="0.2">
      <c r="A112" s="122"/>
      <c r="F112" s="104"/>
      <c r="G112" s="67"/>
      <c r="H112" s="91"/>
      <c r="I112" s="326"/>
      <c r="J112" s="104"/>
      <c r="K112" s="67"/>
      <c r="L112" s="91"/>
      <c r="M112" s="326"/>
      <c r="N112" s="104"/>
      <c r="O112" s="67"/>
      <c r="P112" s="91"/>
      <c r="Q112" s="326"/>
    </row>
    <row r="113" spans="1:15" x14ac:dyDescent="0.2">
      <c r="G113" s="5"/>
      <c r="O113" s="5"/>
    </row>
    <row r="114" spans="1:15" x14ac:dyDescent="0.2">
      <c r="A114" s="117"/>
    </row>
  </sheetData>
  <customSheetViews>
    <customSheetView guid="{9BEC6399-AE85-4D88-8FBA-3674E2F30307}" topLeftCell="B5">
      <selection activeCell="N30" sqref="N30"/>
      <pageMargins left="0.7" right="0.7" top="0.75" bottom="0.75" header="0.3" footer="0.3"/>
      <pageSetup orientation="portrait" r:id="rId1"/>
    </customSheetView>
    <customSheetView guid="{0347A67A-6027-4907-965C-6EA2A8295536}">
      <selection activeCell="G100" sqref="G100"/>
      <pageMargins left="0.7" right="0.7" top="0.75" bottom="0.75" header="0.3" footer="0.3"/>
      <pageSetup orientation="portrait" r:id="rId2"/>
    </customSheetView>
    <customSheetView guid="{15CC7F3D-99AB-49C1-AC00-E04D3FE3FBC1}">
      <selection activeCell="J39" sqref="J39"/>
      <pageMargins left="0.7" right="0.7" top="0.75" bottom="0.75" header="0.3" footer="0.3"/>
      <pageSetup orientation="portrait" r:id="rId3"/>
    </customSheetView>
  </customSheetViews>
  <mergeCells count="7">
    <mergeCell ref="A62:I62"/>
    <mergeCell ref="B1:E1"/>
    <mergeCell ref="F1:I1"/>
    <mergeCell ref="A5:H5"/>
    <mergeCell ref="J1:M1"/>
    <mergeCell ref="A28:E28"/>
    <mergeCell ref="A42:I42"/>
  </mergeCells>
  <phoneticPr fontId="30" type="noConversion"/>
  <pageMargins left="0.7" right="0.7" top="0.75" bottom="0.75" header="0.3" footer="0.3"/>
  <pageSetup orientation="portrait" r:id="rId4"/>
  <drawing r:id="rId5"/>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2"/>
  </sheetPr>
  <dimension ref="A1:R179"/>
  <sheetViews>
    <sheetView topLeftCell="A150" workbookViewId="0">
      <selection activeCell="L169" sqref="A167:L169"/>
    </sheetView>
  </sheetViews>
  <sheetFormatPr defaultColWidth="8.85546875" defaultRowHeight="12" x14ac:dyDescent="0.2"/>
  <cols>
    <col min="1" max="1" width="58" style="1405" bestFit="1" customWidth="1"/>
    <col min="2" max="2" width="11.42578125" style="1437" customWidth="1"/>
    <col min="3" max="3" width="11.42578125" style="1438" customWidth="1"/>
    <col min="4" max="4" width="20.7109375" style="1439" customWidth="1"/>
    <col min="5" max="5" width="21.140625" style="1405" customWidth="1"/>
    <col min="6" max="6" width="18.42578125" style="1437" bestFit="1" customWidth="1"/>
    <col min="7" max="7" width="20.5703125" style="1438" bestFit="1" customWidth="1"/>
    <col min="8" max="8" width="24.42578125" style="1438" customWidth="1"/>
    <col min="9" max="9" width="21.140625" style="1405" customWidth="1"/>
    <col min="10" max="10" width="20" style="1438" customWidth="1"/>
    <col min="11" max="11" width="10.85546875" style="1437" bestFit="1" customWidth="1"/>
    <col min="12" max="12" width="20.5703125" style="1438" bestFit="1" customWidth="1"/>
    <col min="13" max="13" width="16.7109375" style="1438" customWidth="1"/>
    <col min="14" max="14" width="19.42578125" style="1405" customWidth="1"/>
    <col min="15" max="16384" width="8.85546875" style="1440"/>
  </cols>
  <sheetData>
    <row r="1" spans="1:18" s="1389" customFormat="1" x14ac:dyDescent="0.2">
      <c r="A1" s="1388"/>
      <c r="B1" s="2574" t="s">
        <v>857</v>
      </c>
      <c r="C1" s="2575"/>
      <c r="D1" s="2575"/>
      <c r="E1" s="2576"/>
      <c r="F1" s="2577">
        <v>2008</v>
      </c>
      <c r="G1" s="2578"/>
      <c r="H1" s="2578"/>
      <c r="I1" s="2576"/>
      <c r="J1" s="2021" t="s">
        <v>1527</v>
      </c>
      <c r="K1" s="2578">
        <v>2015</v>
      </c>
      <c r="L1" s="2578"/>
      <c r="M1" s="2578"/>
      <c r="N1" s="2579"/>
      <c r="O1" s="65" t="s">
        <v>1542</v>
      </c>
      <c r="P1"/>
      <c r="Q1"/>
      <c r="R1"/>
    </row>
    <row r="2" spans="1:18" s="1389" customFormat="1" x14ac:dyDescent="0.2">
      <c r="A2" s="1390" t="s">
        <v>604</v>
      </c>
      <c r="B2" s="1391" t="s">
        <v>602</v>
      </c>
      <c r="C2" s="1716" t="s">
        <v>601</v>
      </c>
      <c r="D2" s="1392" t="s">
        <v>603</v>
      </c>
      <c r="E2" s="1393" t="s">
        <v>420</v>
      </c>
      <c r="F2" s="1394" t="s">
        <v>602</v>
      </c>
      <c r="G2" s="1395" t="s">
        <v>601</v>
      </c>
      <c r="H2" s="1392" t="s">
        <v>603</v>
      </c>
      <c r="I2" s="1395" t="s">
        <v>420</v>
      </c>
      <c r="J2" s="2021" t="s">
        <v>420</v>
      </c>
      <c r="K2" s="1394" t="s">
        <v>602</v>
      </c>
      <c r="L2" s="1395" t="s">
        <v>601</v>
      </c>
      <c r="M2" s="1392" t="s">
        <v>603</v>
      </c>
      <c r="N2" s="1393" t="s">
        <v>420</v>
      </c>
      <c r="O2" s="214" t="s">
        <v>1539</v>
      </c>
      <c r="P2" s="695"/>
      <c r="Q2" s="1493" t="s">
        <v>1541</v>
      </c>
      <c r="R2" s="481"/>
    </row>
    <row r="3" spans="1:18" s="1396" customFormat="1" ht="15.75" x14ac:dyDescent="0.2">
      <c r="A3" s="1463" t="s">
        <v>888</v>
      </c>
      <c r="B3" s="1464"/>
      <c r="C3" s="1465"/>
      <c r="D3" s="1465"/>
      <c r="E3" s="1466"/>
      <c r="F3" s="1464"/>
      <c r="G3" s="1465"/>
      <c r="H3" s="1465"/>
      <c r="I3" s="1465"/>
      <c r="J3" s="2054"/>
      <c r="K3" s="1464"/>
      <c r="L3" s="1465"/>
      <c r="M3" s="1465"/>
      <c r="N3" s="1466"/>
      <c r="O3" s="1494"/>
      <c r="P3" s="1484"/>
      <c r="Q3" s="1484"/>
      <c r="R3" s="1484"/>
    </row>
    <row r="4" spans="1:18" s="1396" customFormat="1" x14ac:dyDescent="0.2">
      <c r="A4" s="1481" t="s">
        <v>119</v>
      </c>
      <c r="B4" s="1397"/>
      <c r="C4" s="1398"/>
      <c r="D4" s="1398"/>
      <c r="E4" s="1399"/>
      <c r="F4" s="1397"/>
      <c r="G4" s="1398"/>
      <c r="H4" s="1400"/>
      <c r="I4" s="1401"/>
      <c r="J4" s="2055"/>
      <c r="K4" s="1397"/>
      <c r="L4" s="1398"/>
      <c r="M4" s="1400"/>
      <c r="N4" s="1401"/>
    </row>
    <row r="5" spans="1:18" s="1396" customFormat="1" x14ac:dyDescent="0.2">
      <c r="A5" s="1402" t="s">
        <v>860</v>
      </c>
      <c r="B5" s="1397"/>
      <c r="C5" s="1403"/>
      <c r="D5" s="1398"/>
      <c r="E5" s="1399"/>
      <c r="F5" s="1397"/>
      <c r="G5" s="1404"/>
      <c r="H5" s="1400"/>
      <c r="I5" s="1401"/>
      <c r="J5" s="2055" t="s">
        <v>880</v>
      </c>
      <c r="K5" s="1397" t="s">
        <v>53</v>
      </c>
      <c r="L5" s="1404"/>
      <c r="M5" s="1400"/>
      <c r="N5" s="1401"/>
    </row>
    <row r="6" spans="1:18" s="1396" customFormat="1" x14ac:dyDescent="0.2">
      <c r="A6" s="1402" t="s">
        <v>863</v>
      </c>
      <c r="B6" s="1397">
        <v>8730</v>
      </c>
      <c r="C6" s="1403" t="s">
        <v>873</v>
      </c>
      <c r="D6" s="1400" t="s">
        <v>2233</v>
      </c>
      <c r="E6" s="1399" t="s">
        <v>2236</v>
      </c>
      <c r="F6" s="1397">
        <v>11490</v>
      </c>
      <c r="G6" s="1403" t="s">
        <v>873</v>
      </c>
      <c r="H6" s="1400" t="s">
        <v>2249</v>
      </c>
      <c r="I6" s="1402" t="s">
        <v>892</v>
      </c>
      <c r="J6" s="2056" t="s">
        <v>877</v>
      </c>
      <c r="K6" s="2381">
        <v>10979</v>
      </c>
      <c r="L6" s="1403" t="s">
        <v>873</v>
      </c>
      <c r="M6" s="1400" t="s">
        <v>1724</v>
      </c>
      <c r="N6" s="1402"/>
    </row>
    <row r="7" spans="1:18" s="1396" customFormat="1" x14ac:dyDescent="0.2">
      <c r="A7" s="1405" t="s">
        <v>862</v>
      </c>
      <c r="B7" s="1397">
        <v>2376</v>
      </c>
      <c r="C7" s="1403" t="s">
        <v>873</v>
      </c>
      <c r="D7" s="1400" t="s">
        <v>2233</v>
      </c>
      <c r="E7" s="1399" t="s">
        <v>2236</v>
      </c>
      <c r="F7" s="1397">
        <v>3009</v>
      </c>
      <c r="G7" s="1403" t="s">
        <v>873</v>
      </c>
      <c r="H7" s="1400" t="s">
        <v>2249</v>
      </c>
      <c r="I7" s="1402" t="s">
        <v>892</v>
      </c>
      <c r="J7" s="2055"/>
      <c r="K7" s="2381">
        <v>3247</v>
      </c>
      <c r="L7" s="1403" t="s">
        <v>873</v>
      </c>
      <c r="M7" s="1400" t="s">
        <v>1724</v>
      </c>
      <c r="N7" s="1402"/>
    </row>
    <row r="8" spans="1:18" s="1396" customFormat="1" x14ac:dyDescent="0.2">
      <c r="A8" s="1402" t="s">
        <v>861</v>
      </c>
      <c r="B8" s="1397">
        <v>11423</v>
      </c>
      <c r="C8" s="1403" t="s">
        <v>873</v>
      </c>
      <c r="D8" s="1400" t="s">
        <v>2233</v>
      </c>
      <c r="E8" s="1399" t="s">
        <v>2236</v>
      </c>
      <c r="F8" s="1397">
        <v>10025</v>
      </c>
      <c r="G8" s="1403" t="s">
        <v>873</v>
      </c>
      <c r="H8" s="1400" t="s">
        <v>2249</v>
      </c>
      <c r="I8" s="1402" t="s">
        <v>892</v>
      </c>
      <c r="J8" s="2055"/>
      <c r="K8" s="2381">
        <v>8048</v>
      </c>
      <c r="L8" s="1403" t="s">
        <v>873</v>
      </c>
      <c r="M8" s="1400" t="s">
        <v>1724</v>
      </c>
      <c r="N8" s="1402"/>
    </row>
    <row r="9" spans="1:18" s="1396" customFormat="1" x14ac:dyDescent="0.2">
      <c r="A9" s="1399" t="s">
        <v>864</v>
      </c>
      <c r="B9" s="1397">
        <v>5227</v>
      </c>
      <c r="C9" s="1403" t="s">
        <v>873</v>
      </c>
      <c r="D9" s="1400" t="s">
        <v>2234</v>
      </c>
      <c r="E9" s="1399" t="s">
        <v>2236</v>
      </c>
      <c r="F9" s="1397">
        <v>6941</v>
      </c>
      <c r="G9" s="1403" t="s">
        <v>873</v>
      </c>
      <c r="H9" s="1400" t="s">
        <v>2249</v>
      </c>
      <c r="I9" s="1402" t="s">
        <v>894</v>
      </c>
      <c r="J9" s="2055"/>
      <c r="K9" s="2381">
        <f>5507+215</f>
        <v>5722</v>
      </c>
      <c r="L9" s="1403" t="s">
        <v>873</v>
      </c>
      <c r="M9" s="1400" t="s">
        <v>1725</v>
      </c>
      <c r="N9" s="1402"/>
    </row>
    <row r="10" spans="1:18" s="1396" customFormat="1" x14ac:dyDescent="0.2">
      <c r="A10" s="1402" t="s">
        <v>865</v>
      </c>
      <c r="B10" s="1397">
        <v>1780</v>
      </c>
      <c r="C10" s="1403" t="s">
        <v>873</v>
      </c>
      <c r="D10" s="1400" t="s">
        <v>2234</v>
      </c>
      <c r="E10" s="1399" t="s">
        <v>2236</v>
      </c>
      <c r="F10" s="1397">
        <v>1751</v>
      </c>
      <c r="G10" s="1403" t="s">
        <v>873</v>
      </c>
      <c r="H10" s="1400" t="s">
        <v>2249</v>
      </c>
      <c r="I10" s="1402" t="s">
        <v>895</v>
      </c>
      <c r="J10" s="2055"/>
      <c r="K10" s="2381">
        <v>1571</v>
      </c>
      <c r="L10" s="1403" t="s">
        <v>873</v>
      </c>
      <c r="M10" s="1422" t="s">
        <v>1726</v>
      </c>
      <c r="N10" s="1402"/>
    </row>
    <row r="11" spans="1:18" s="1396" customFormat="1" x14ac:dyDescent="0.2">
      <c r="A11" s="1402" t="s">
        <v>866</v>
      </c>
      <c r="B11" s="1397">
        <v>559</v>
      </c>
      <c r="C11" s="1403" t="s">
        <v>873</v>
      </c>
      <c r="D11" s="1400" t="s">
        <v>2234</v>
      </c>
      <c r="E11" s="1399" t="s">
        <v>2236</v>
      </c>
      <c r="F11" s="1397">
        <v>798</v>
      </c>
      <c r="G11" s="1403" t="s">
        <v>873</v>
      </c>
      <c r="H11" s="1400" t="s">
        <v>2249</v>
      </c>
      <c r="I11" s="1402" t="s">
        <v>893</v>
      </c>
      <c r="J11" s="2056" t="s">
        <v>879</v>
      </c>
      <c r="K11" s="2381">
        <v>658</v>
      </c>
      <c r="L11" s="1403" t="s">
        <v>873</v>
      </c>
      <c r="M11" s="1400" t="s">
        <v>1727</v>
      </c>
      <c r="N11" s="1402"/>
    </row>
    <row r="12" spans="1:18" s="1396" customFormat="1" x14ac:dyDescent="0.2">
      <c r="A12" s="1402" t="s">
        <v>867</v>
      </c>
      <c r="B12" s="1397">
        <v>165</v>
      </c>
      <c r="C12" s="1403" t="s">
        <v>873</v>
      </c>
      <c r="D12" s="1400" t="s">
        <v>2234</v>
      </c>
      <c r="E12" s="1399" t="s">
        <v>2236</v>
      </c>
      <c r="F12" s="1397">
        <f>144+145</f>
        <v>289</v>
      </c>
      <c r="G12" s="1403" t="s">
        <v>873</v>
      </c>
      <c r="H12" s="1400" t="s">
        <v>2249</v>
      </c>
      <c r="I12" s="1402" t="s">
        <v>896</v>
      </c>
      <c r="J12" s="2056" t="s">
        <v>878</v>
      </c>
      <c r="K12" s="2381">
        <v>1193</v>
      </c>
      <c r="L12" s="1403" t="s">
        <v>873</v>
      </c>
      <c r="M12" s="1400" t="s">
        <v>1728</v>
      </c>
      <c r="N12" s="1402" t="s">
        <v>1841</v>
      </c>
    </row>
    <row r="13" spans="1:18" s="1396" customFormat="1" x14ac:dyDescent="0.2">
      <c r="A13" s="1402" t="s">
        <v>868</v>
      </c>
      <c r="B13" s="1397">
        <v>2972</v>
      </c>
      <c r="C13" s="1403" t="s">
        <v>873</v>
      </c>
      <c r="D13" s="1400" t="s">
        <v>2234</v>
      </c>
      <c r="E13" s="1402"/>
      <c r="F13" s="1406">
        <f>B13*47163/35954</f>
        <v>3898.5491461311676</v>
      </c>
      <c r="G13" s="1403" t="s">
        <v>873</v>
      </c>
      <c r="H13" s="1400" t="s">
        <v>2249</v>
      </c>
      <c r="I13" s="1402"/>
      <c r="J13" s="2056" t="s">
        <v>1729</v>
      </c>
      <c r="K13" s="2382">
        <f>26400*(2/7)</f>
        <v>7542.8571428571422</v>
      </c>
      <c r="L13" s="1403" t="s">
        <v>873</v>
      </c>
      <c r="M13" s="1400" t="s">
        <v>1730</v>
      </c>
      <c r="N13" s="1402" t="s">
        <v>2383</v>
      </c>
    </row>
    <row r="14" spans="1:18" s="1396" customFormat="1" x14ac:dyDescent="0.2">
      <c r="A14" s="1402" t="s">
        <v>889</v>
      </c>
      <c r="B14" s="1397">
        <v>8983</v>
      </c>
      <c r="C14" s="1403" t="s">
        <v>873</v>
      </c>
      <c r="D14" s="1400" t="s">
        <v>2235</v>
      </c>
      <c r="E14" s="1402"/>
      <c r="F14" s="1397">
        <f>9057+1662+1911+219</f>
        <v>12849</v>
      </c>
      <c r="G14" s="1403" t="s">
        <v>873</v>
      </c>
      <c r="H14" s="1400" t="s">
        <v>2249</v>
      </c>
      <c r="I14" s="1402" t="s">
        <v>891</v>
      </c>
      <c r="J14" s="2056" t="s">
        <v>890</v>
      </c>
      <c r="K14" s="2381">
        <f>9778+2239+1376+262+456+99</f>
        <v>14210</v>
      </c>
      <c r="L14" s="1403" t="s">
        <v>873</v>
      </c>
      <c r="M14" s="1400" t="s">
        <v>1731</v>
      </c>
      <c r="N14" s="1402" t="s">
        <v>890</v>
      </c>
    </row>
    <row r="15" spans="1:18" s="1396" customFormat="1" x14ac:dyDescent="0.2">
      <c r="A15" s="1402"/>
      <c r="B15" s="1397"/>
      <c r="C15" s="1403"/>
      <c r="D15" s="1400"/>
      <c r="E15" s="1402"/>
      <c r="F15" s="1397"/>
      <c r="G15" s="1403"/>
      <c r="H15" s="1400"/>
      <c r="I15" s="1402"/>
      <c r="J15" s="2056"/>
      <c r="K15" s="1397"/>
      <c r="L15" s="1403"/>
      <c r="M15" s="1400"/>
    </row>
    <row r="16" spans="1:18" s="2394" customFormat="1" x14ac:dyDescent="0.2">
      <c r="A16" s="1448" t="s">
        <v>859</v>
      </c>
      <c r="B16" s="2401"/>
      <c r="C16" s="2402"/>
      <c r="D16" s="2399"/>
      <c r="E16" s="2392"/>
      <c r="F16" s="2401"/>
      <c r="G16" s="2402"/>
      <c r="H16" s="2399"/>
      <c r="I16" s="2392"/>
      <c r="J16" s="2400"/>
      <c r="K16" s="2401"/>
      <c r="L16" s="2402"/>
      <c r="M16" s="2399"/>
      <c r="N16" s="2392"/>
    </row>
    <row r="17" spans="1:14" s="1396" customFormat="1" x14ac:dyDescent="0.2">
      <c r="A17" s="1481" t="s">
        <v>119</v>
      </c>
      <c r="B17" s="1397"/>
      <c r="C17" s="1403"/>
      <c r="D17" s="1400"/>
      <c r="E17" s="1402"/>
      <c r="F17" s="1397"/>
      <c r="G17" s="1403"/>
      <c r="H17" s="1400"/>
      <c r="I17" s="1402"/>
      <c r="J17" s="2056"/>
      <c r="K17" s="1397"/>
      <c r="L17" s="1403"/>
      <c r="M17" s="1400"/>
      <c r="N17" s="1402"/>
    </row>
    <row r="18" spans="1:14" s="1396" customFormat="1" x14ac:dyDescent="0.2">
      <c r="A18" s="1402" t="s">
        <v>870</v>
      </c>
      <c r="B18" s="1397"/>
      <c r="C18" s="1404"/>
      <c r="D18" s="1400"/>
      <c r="E18" s="1402"/>
      <c r="F18" s="1397"/>
      <c r="G18" s="1404"/>
      <c r="H18" s="1400"/>
      <c r="I18" s="1402"/>
      <c r="J18" s="2055"/>
      <c r="K18" s="1397"/>
      <c r="L18" s="1404"/>
      <c r="M18" s="1400"/>
      <c r="N18" s="1402"/>
    </row>
    <row r="19" spans="1:14" s="1396" customFormat="1" x14ac:dyDescent="0.2">
      <c r="A19" s="1402" t="s">
        <v>863</v>
      </c>
      <c r="B19" s="1406">
        <v>100</v>
      </c>
      <c r="C19" s="1398" t="s">
        <v>872</v>
      </c>
      <c r="D19" s="1400" t="s">
        <v>2239</v>
      </c>
      <c r="E19" s="1402" t="s">
        <v>2237</v>
      </c>
      <c r="F19" s="1406">
        <v>100</v>
      </c>
      <c r="G19" s="1398" t="s">
        <v>872</v>
      </c>
      <c r="H19" s="1400" t="s">
        <v>2250</v>
      </c>
      <c r="I19" s="1402" t="s">
        <v>2237</v>
      </c>
      <c r="J19" s="2056" t="s">
        <v>875</v>
      </c>
      <c r="K19" s="2382">
        <v>104</v>
      </c>
      <c r="L19" s="1398" t="s">
        <v>872</v>
      </c>
      <c r="M19" s="1400" t="s">
        <v>1732</v>
      </c>
      <c r="N19" s="1402" t="s">
        <v>1842</v>
      </c>
    </row>
    <row r="20" spans="1:14" s="1396" customFormat="1" x14ac:dyDescent="0.2">
      <c r="A20" s="1405" t="s">
        <v>862</v>
      </c>
      <c r="B20" s="1406">
        <v>83</v>
      </c>
      <c r="C20" s="1398" t="s">
        <v>872</v>
      </c>
      <c r="D20" s="1400" t="s">
        <v>2239</v>
      </c>
      <c r="E20" s="1402" t="s">
        <v>2237</v>
      </c>
      <c r="F20" s="1406">
        <v>83</v>
      </c>
      <c r="G20" s="1398" t="s">
        <v>872</v>
      </c>
      <c r="H20" s="1400" t="s">
        <v>2250</v>
      </c>
      <c r="I20" s="1402" t="s">
        <v>2237</v>
      </c>
      <c r="J20" s="2055"/>
      <c r="K20" s="2382">
        <v>100</v>
      </c>
      <c r="L20" s="1398" t="s">
        <v>872</v>
      </c>
      <c r="M20" s="1400" t="s">
        <v>1732</v>
      </c>
      <c r="N20" s="1402" t="s">
        <v>1733</v>
      </c>
    </row>
    <row r="21" spans="1:14" s="1396" customFormat="1" x14ac:dyDescent="0.2">
      <c r="A21" s="1402" t="s">
        <v>861</v>
      </c>
      <c r="B21" s="1406">
        <v>115</v>
      </c>
      <c r="C21" s="1398" t="s">
        <v>872</v>
      </c>
      <c r="D21" s="1400" t="s">
        <v>2239</v>
      </c>
      <c r="E21" s="1402" t="s">
        <v>2237</v>
      </c>
      <c r="F21" s="1406">
        <v>115</v>
      </c>
      <c r="G21" s="1398" t="s">
        <v>872</v>
      </c>
      <c r="H21" s="1400" t="s">
        <v>2250</v>
      </c>
      <c r="I21" s="1402" t="s">
        <v>2237</v>
      </c>
      <c r="J21" s="2055"/>
      <c r="K21" s="2382">
        <v>151</v>
      </c>
      <c r="L21" s="1398" t="s">
        <v>872</v>
      </c>
      <c r="M21" s="1400" t="s">
        <v>1732</v>
      </c>
      <c r="N21" s="1402" t="s">
        <v>1733</v>
      </c>
    </row>
    <row r="22" spans="1:14" s="1396" customFormat="1" x14ac:dyDescent="0.2">
      <c r="A22" s="1399" t="s">
        <v>864</v>
      </c>
      <c r="B22" s="1406">
        <v>18</v>
      </c>
      <c r="C22" s="1398" t="s">
        <v>872</v>
      </c>
      <c r="D22" s="1400" t="s">
        <v>2239</v>
      </c>
      <c r="E22" s="1402" t="s">
        <v>2238</v>
      </c>
      <c r="F22" s="1406">
        <v>18</v>
      </c>
      <c r="G22" s="1398" t="s">
        <v>872</v>
      </c>
      <c r="H22" s="1400" t="s">
        <v>2250</v>
      </c>
      <c r="I22" s="1402" t="s">
        <v>2238</v>
      </c>
      <c r="J22" s="2056" t="s">
        <v>876</v>
      </c>
      <c r="K22" s="2382">
        <v>18</v>
      </c>
      <c r="L22" s="1398" t="s">
        <v>872</v>
      </c>
      <c r="M22" s="1400" t="s">
        <v>1734</v>
      </c>
      <c r="N22" s="1402" t="s">
        <v>1735</v>
      </c>
    </row>
    <row r="23" spans="1:14" s="1396" customFormat="1" x14ac:dyDescent="0.2">
      <c r="A23" s="1402" t="s">
        <v>865</v>
      </c>
      <c r="B23" s="1406">
        <v>8</v>
      </c>
      <c r="C23" s="1398" t="s">
        <v>872</v>
      </c>
      <c r="D23" s="1400" t="s">
        <v>2239</v>
      </c>
      <c r="E23" s="1402" t="s">
        <v>2238</v>
      </c>
      <c r="F23" s="1406">
        <v>8</v>
      </c>
      <c r="G23" s="1398" t="s">
        <v>872</v>
      </c>
      <c r="H23" s="1400" t="s">
        <v>2250</v>
      </c>
      <c r="I23" s="1402" t="s">
        <v>2238</v>
      </c>
      <c r="J23" s="2055"/>
      <c r="K23" s="2382">
        <v>8</v>
      </c>
      <c r="L23" s="1398" t="s">
        <v>872</v>
      </c>
      <c r="M23" s="1400" t="s">
        <v>1734</v>
      </c>
      <c r="N23" s="1402" t="s">
        <v>1735</v>
      </c>
    </row>
    <row r="24" spans="1:14" s="1396" customFormat="1" x14ac:dyDescent="0.2">
      <c r="A24" s="1402" t="s">
        <v>866</v>
      </c>
      <c r="B24" s="1408">
        <v>1.5</v>
      </c>
      <c r="C24" s="1398" t="s">
        <v>872</v>
      </c>
      <c r="D24" s="1400" t="s">
        <v>2239</v>
      </c>
      <c r="E24" s="1402" t="s">
        <v>2238</v>
      </c>
      <c r="F24" s="1408">
        <v>1.5</v>
      </c>
      <c r="G24" s="1398" t="s">
        <v>872</v>
      </c>
      <c r="H24" s="1400" t="s">
        <v>2250</v>
      </c>
      <c r="I24" s="1402" t="s">
        <v>2238</v>
      </c>
      <c r="J24" s="2055"/>
      <c r="K24" s="2383">
        <v>1.5</v>
      </c>
      <c r="L24" s="1398" t="s">
        <v>872</v>
      </c>
      <c r="M24" s="1400" t="s">
        <v>1734</v>
      </c>
      <c r="N24" s="1402" t="s">
        <v>1735</v>
      </c>
    </row>
    <row r="25" spans="1:14" s="1396" customFormat="1" x14ac:dyDescent="0.2">
      <c r="A25" s="1402" t="s">
        <v>867</v>
      </c>
      <c r="B25" s="1406">
        <v>5</v>
      </c>
      <c r="C25" s="1398" t="s">
        <v>872</v>
      </c>
      <c r="D25" s="1400" t="s">
        <v>2239</v>
      </c>
      <c r="E25" s="1402" t="s">
        <v>2238</v>
      </c>
      <c r="F25" s="1406">
        <v>5</v>
      </c>
      <c r="G25" s="1398" t="s">
        <v>872</v>
      </c>
      <c r="H25" s="1400" t="s">
        <v>2250</v>
      </c>
      <c r="I25" s="1402" t="s">
        <v>2238</v>
      </c>
      <c r="J25" s="2055"/>
      <c r="K25" s="2382">
        <v>5</v>
      </c>
      <c r="L25" s="1398" t="s">
        <v>872</v>
      </c>
      <c r="M25" s="1400" t="s">
        <v>1734</v>
      </c>
      <c r="N25" s="1402" t="s">
        <v>1735</v>
      </c>
    </row>
    <row r="26" spans="1:14" s="1396" customFormat="1" x14ac:dyDescent="0.2">
      <c r="A26" s="1402" t="s">
        <v>868</v>
      </c>
      <c r="B26" s="1408">
        <v>0.7</v>
      </c>
      <c r="C26" s="1398" t="s">
        <v>872</v>
      </c>
      <c r="D26" s="1400" t="s">
        <v>2239</v>
      </c>
      <c r="E26" s="1402"/>
      <c r="F26" s="1408">
        <v>0.7</v>
      </c>
      <c r="G26" s="1398" t="s">
        <v>872</v>
      </c>
      <c r="H26" s="1400" t="s">
        <v>2250</v>
      </c>
      <c r="I26" s="1402"/>
      <c r="J26" s="2056" t="s">
        <v>874</v>
      </c>
      <c r="K26" s="2383">
        <v>0.68</v>
      </c>
      <c r="L26" s="1398" t="s">
        <v>872</v>
      </c>
      <c r="M26" s="1400" t="s">
        <v>1736</v>
      </c>
      <c r="N26" s="1402"/>
    </row>
    <row r="27" spans="1:14" s="1413" customFormat="1" x14ac:dyDescent="0.2">
      <c r="A27" s="1409" t="s">
        <v>152</v>
      </c>
      <c r="B27" s="1410"/>
      <c r="C27" s="1411"/>
      <c r="D27" s="1411"/>
      <c r="E27" s="1412"/>
      <c r="F27" s="1410"/>
      <c r="G27" s="1411"/>
      <c r="H27" s="1411"/>
      <c r="I27" s="1412"/>
      <c r="J27" s="2057"/>
      <c r="K27" s="1410"/>
      <c r="L27" s="1411"/>
      <c r="M27" s="1411"/>
      <c r="N27" s="1402"/>
    </row>
    <row r="28" spans="1:14" s="1396" customFormat="1" x14ac:dyDescent="0.2">
      <c r="A28" s="1402" t="s">
        <v>869</v>
      </c>
      <c r="B28" s="1414"/>
      <c r="D28" s="1400"/>
      <c r="E28" s="1402"/>
      <c r="F28" s="1414"/>
      <c r="H28" s="1400"/>
      <c r="I28" s="1402"/>
      <c r="J28" s="2055"/>
      <c r="K28" s="1414"/>
      <c r="M28" s="1400"/>
      <c r="N28" s="1402"/>
    </row>
    <row r="29" spans="1:14" s="1396" customFormat="1" ht="13.5" x14ac:dyDescent="0.25">
      <c r="A29" s="1402" t="s">
        <v>863</v>
      </c>
      <c r="B29" s="1415">
        <f t="shared" ref="B29:B36" si="0">B6*B19</f>
        <v>873000</v>
      </c>
      <c r="C29" s="1422" t="s">
        <v>2213</v>
      </c>
      <c r="D29" s="1400"/>
      <c r="E29" s="1402"/>
      <c r="F29" s="1415">
        <f t="shared" ref="F29:F36" si="1">F6*F19</f>
        <v>1149000</v>
      </c>
      <c r="G29" s="1422" t="s">
        <v>2213</v>
      </c>
      <c r="H29" s="1400"/>
      <c r="I29" s="1402"/>
      <c r="J29" s="2055"/>
      <c r="K29" s="1415">
        <f t="shared" ref="K29:K36" si="2">K6*K19</f>
        <v>1141816</v>
      </c>
      <c r="L29" s="1422" t="s">
        <v>2213</v>
      </c>
      <c r="M29" s="1400"/>
      <c r="N29" s="1402"/>
    </row>
    <row r="30" spans="1:14" s="1396" customFormat="1" ht="13.5" x14ac:dyDescent="0.25">
      <c r="A30" s="1405" t="s">
        <v>862</v>
      </c>
      <c r="B30" s="1415">
        <f t="shared" si="0"/>
        <v>197208</v>
      </c>
      <c r="C30" s="1422" t="s">
        <v>2213</v>
      </c>
      <c r="D30" s="1400"/>
      <c r="E30" s="1399"/>
      <c r="F30" s="1415">
        <f t="shared" si="1"/>
        <v>249747</v>
      </c>
      <c r="G30" s="1422" t="s">
        <v>2213</v>
      </c>
      <c r="H30" s="1400"/>
      <c r="I30" s="1399"/>
      <c r="J30" s="2055"/>
      <c r="K30" s="1415">
        <f t="shared" si="2"/>
        <v>324700</v>
      </c>
      <c r="L30" s="1422" t="s">
        <v>2213</v>
      </c>
      <c r="M30" s="1400"/>
      <c r="N30" s="1402"/>
    </row>
    <row r="31" spans="1:14" s="1396" customFormat="1" ht="15" x14ac:dyDescent="0.25">
      <c r="A31" s="1402" t="s">
        <v>861</v>
      </c>
      <c r="B31" s="1415">
        <f t="shared" si="0"/>
        <v>1313645</v>
      </c>
      <c r="C31" s="1422" t="s">
        <v>2214</v>
      </c>
      <c r="D31" s="1400"/>
      <c r="E31" s="1402"/>
      <c r="F31" s="1415">
        <f t="shared" si="1"/>
        <v>1152875</v>
      </c>
      <c r="G31" s="1422" t="s">
        <v>2214</v>
      </c>
      <c r="H31" s="1400"/>
      <c r="I31" s="1402"/>
      <c r="J31" s="2055"/>
      <c r="K31" s="1415">
        <f t="shared" si="2"/>
        <v>1215248</v>
      </c>
      <c r="L31" s="1422" t="s">
        <v>2214</v>
      </c>
      <c r="M31" s="1400"/>
      <c r="N31" s="1402"/>
    </row>
    <row r="32" spans="1:14" s="1396" customFormat="1" ht="15" x14ac:dyDescent="0.25">
      <c r="A32" s="1399" t="s">
        <v>864</v>
      </c>
      <c r="B32" s="1415">
        <f t="shared" si="0"/>
        <v>94086</v>
      </c>
      <c r="C32" s="1422" t="s">
        <v>2214</v>
      </c>
      <c r="D32" s="1400"/>
      <c r="E32" s="1399"/>
      <c r="F32" s="1415">
        <f t="shared" si="1"/>
        <v>124938</v>
      </c>
      <c r="G32" s="1422" t="s">
        <v>2214</v>
      </c>
      <c r="H32" s="1400"/>
      <c r="I32" s="1399"/>
      <c r="J32" s="2055"/>
      <c r="K32" s="1415">
        <f t="shared" si="2"/>
        <v>102996</v>
      </c>
      <c r="L32" s="1422" t="s">
        <v>2214</v>
      </c>
      <c r="M32" s="1400"/>
      <c r="N32" s="1399"/>
    </row>
    <row r="33" spans="1:14" s="1396" customFormat="1" ht="15" x14ac:dyDescent="0.25">
      <c r="A33" s="1402" t="s">
        <v>865</v>
      </c>
      <c r="B33" s="1415">
        <f t="shared" si="0"/>
        <v>14240</v>
      </c>
      <c r="C33" s="1422" t="s">
        <v>2214</v>
      </c>
      <c r="D33" s="1400"/>
      <c r="E33" s="1402"/>
      <c r="F33" s="1415">
        <f t="shared" si="1"/>
        <v>14008</v>
      </c>
      <c r="G33" s="1422" t="s">
        <v>2214</v>
      </c>
      <c r="H33" s="1400"/>
      <c r="I33" s="1402"/>
      <c r="J33" s="2055"/>
      <c r="K33" s="1415">
        <f t="shared" si="2"/>
        <v>12568</v>
      </c>
      <c r="L33" s="1422" t="s">
        <v>2214</v>
      </c>
      <c r="M33" s="1400"/>
      <c r="N33" s="1402"/>
    </row>
    <row r="34" spans="1:14" s="1396" customFormat="1" ht="15" x14ac:dyDescent="0.25">
      <c r="A34" s="1402" t="s">
        <v>866</v>
      </c>
      <c r="B34" s="1415">
        <f t="shared" si="0"/>
        <v>838.5</v>
      </c>
      <c r="C34" s="1422" t="s">
        <v>2214</v>
      </c>
      <c r="D34" s="1400"/>
      <c r="E34" s="1402"/>
      <c r="F34" s="1415">
        <f t="shared" si="1"/>
        <v>1197</v>
      </c>
      <c r="G34" s="1422" t="s">
        <v>2214</v>
      </c>
      <c r="H34" s="1400"/>
      <c r="I34" s="1402"/>
      <c r="J34" s="2055"/>
      <c r="K34" s="1415">
        <f t="shared" si="2"/>
        <v>987</v>
      </c>
      <c r="L34" s="1422" t="s">
        <v>2214</v>
      </c>
      <c r="M34" s="1400"/>
      <c r="N34" s="1402"/>
    </row>
    <row r="35" spans="1:14" s="1396" customFormat="1" ht="15" x14ac:dyDescent="0.25">
      <c r="A35" s="1402" t="s">
        <v>867</v>
      </c>
      <c r="B35" s="1415">
        <f t="shared" si="0"/>
        <v>825</v>
      </c>
      <c r="C35" s="1422" t="s">
        <v>2214</v>
      </c>
      <c r="D35" s="1400"/>
      <c r="E35" s="1402"/>
      <c r="F35" s="1415">
        <f t="shared" si="1"/>
        <v>1445</v>
      </c>
      <c r="G35" s="1422" t="s">
        <v>2214</v>
      </c>
      <c r="H35" s="1400"/>
      <c r="I35" s="1402"/>
      <c r="J35" s="2055"/>
      <c r="K35" s="1415">
        <f t="shared" si="2"/>
        <v>5965</v>
      </c>
      <c r="L35" s="1422" t="s">
        <v>2214</v>
      </c>
      <c r="M35" s="1400"/>
      <c r="N35" s="1402"/>
    </row>
    <row r="36" spans="1:14" s="1396" customFormat="1" ht="15" x14ac:dyDescent="0.25">
      <c r="A36" s="1402" t="s">
        <v>868</v>
      </c>
      <c r="B36" s="1415">
        <f t="shared" si="0"/>
        <v>2080.4</v>
      </c>
      <c r="C36" s="1422" t="s">
        <v>2214</v>
      </c>
      <c r="D36" s="1400"/>
      <c r="E36" s="1402"/>
      <c r="F36" s="1415">
        <f t="shared" si="1"/>
        <v>2728.9844022918173</v>
      </c>
      <c r="G36" s="1422" t="s">
        <v>2214</v>
      </c>
      <c r="H36" s="1400"/>
      <c r="I36" s="1402"/>
      <c r="J36" s="2055"/>
      <c r="K36" s="1415">
        <f t="shared" si="2"/>
        <v>5129.1428571428569</v>
      </c>
      <c r="L36" s="1422" t="s">
        <v>2214</v>
      </c>
      <c r="M36" s="1400"/>
      <c r="N36" s="1402"/>
    </row>
    <row r="37" spans="1:14" s="1396" customFormat="1" ht="15" x14ac:dyDescent="0.25">
      <c r="A37" s="1416" t="s">
        <v>882</v>
      </c>
      <c r="B37" s="1417">
        <f>SUM(B29:B36)</f>
        <v>2495922.9</v>
      </c>
      <c r="C37" s="1396" t="s">
        <v>2215</v>
      </c>
      <c r="D37" s="1400"/>
      <c r="E37" s="1402"/>
      <c r="F37" s="1417">
        <f>SUM(F29:F36)</f>
        <v>2695938.9844022919</v>
      </c>
      <c r="G37" s="1396" t="s">
        <v>2215</v>
      </c>
      <c r="H37" s="1400"/>
      <c r="I37" s="1402"/>
      <c r="J37" s="2055"/>
      <c r="K37" s="1417">
        <f>SUM(K29:K36)</f>
        <v>2809409.1428571427</v>
      </c>
      <c r="L37" s="1396" t="s">
        <v>2215</v>
      </c>
      <c r="M37" s="1400"/>
      <c r="N37" s="1402"/>
    </row>
    <row r="38" spans="1:14" s="1396" customFormat="1" ht="13.5" x14ac:dyDescent="0.2">
      <c r="A38" s="1402" t="s">
        <v>871</v>
      </c>
      <c r="B38" s="1415">
        <f>B37*GWPCH4</f>
        <v>52414380.899999999</v>
      </c>
      <c r="C38" s="1398" t="s">
        <v>2216</v>
      </c>
      <c r="D38" s="1400"/>
      <c r="E38" s="1402"/>
      <c r="F38" s="1415">
        <f>F37*GWPCH4</f>
        <v>56614718.672448128</v>
      </c>
      <c r="G38" s="1398" t="s">
        <v>2216</v>
      </c>
      <c r="H38" s="1400"/>
      <c r="I38" s="1402"/>
      <c r="J38" s="2055"/>
      <c r="K38" s="1415">
        <f>K37*GWPCH4</f>
        <v>58997592</v>
      </c>
      <c r="L38" s="1398" t="s">
        <v>2216</v>
      </c>
      <c r="M38" s="1400"/>
      <c r="N38" s="1402"/>
    </row>
    <row r="39" spans="1:14" s="1396" customFormat="1" ht="13.5" x14ac:dyDescent="0.2">
      <c r="A39" s="1402" t="s">
        <v>918</v>
      </c>
      <c r="B39" s="1526">
        <f>B38/1000</f>
        <v>52414.380899999996</v>
      </c>
      <c r="C39" s="1419" t="s">
        <v>2206</v>
      </c>
      <c r="D39" s="2471"/>
      <c r="E39" s="1402"/>
      <c r="F39" s="1526">
        <f>F38/1000</f>
        <v>56614.718672448129</v>
      </c>
      <c r="G39" s="1419" t="s">
        <v>2206</v>
      </c>
      <c r="H39" s="1400"/>
      <c r="I39" s="1402"/>
      <c r="J39" s="2055"/>
      <c r="K39" s="1526">
        <f>K38/1000</f>
        <v>58997.591999999997</v>
      </c>
      <c r="L39" s="1419" t="s">
        <v>2206</v>
      </c>
      <c r="M39" s="1400"/>
      <c r="N39" s="1402"/>
    </row>
    <row r="40" spans="1:14" s="1396" customFormat="1" x14ac:dyDescent="0.2">
      <c r="A40" s="1412"/>
      <c r="B40" s="1400"/>
      <c r="C40" s="1404"/>
      <c r="D40" s="1411"/>
      <c r="E40" s="1412"/>
      <c r="F40" s="1420"/>
      <c r="G40" s="1418"/>
      <c r="H40" s="1400"/>
      <c r="I40" s="1401"/>
      <c r="J40" s="2055"/>
      <c r="K40" s="1420"/>
      <c r="L40" s="1418"/>
      <c r="M40" s="1400"/>
      <c r="N40" s="1401"/>
    </row>
    <row r="41" spans="1:14" s="2394" customFormat="1" x14ac:dyDescent="0.2">
      <c r="A41" s="1448" t="s">
        <v>858</v>
      </c>
      <c r="B41" s="2388"/>
      <c r="C41" s="2389"/>
      <c r="D41" s="2389"/>
      <c r="E41" s="2390"/>
      <c r="F41" s="2391"/>
      <c r="G41" s="2389"/>
      <c r="H41" s="2389"/>
      <c r="I41" s="2392"/>
      <c r="J41" s="2393"/>
      <c r="K41" s="2391"/>
      <c r="L41" s="2389"/>
      <c r="M41" s="2389"/>
      <c r="N41" s="2392"/>
    </row>
    <row r="42" spans="1:14" s="1396" customFormat="1" x14ac:dyDescent="0.2">
      <c r="A42" s="1481" t="s">
        <v>119</v>
      </c>
      <c r="B42" s="1421"/>
      <c r="C42" s="1398"/>
      <c r="D42" s="1398"/>
      <c r="E42" s="1399"/>
      <c r="F42" s="1420"/>
      <c r="G42" s="1398"/>
      <c r="H42" s="1400"/>
      <c r="I42" s="1399"/>
      <c r="J42" s="2055"/>
      <c r="K42" s="1420"/>
      <c r="L42" s="1398"/>
      <c r="M42" s="1400"/>
      <c r="N42" s="1399"/>
    </row>
    <row r="43" spans="1:14" s="1422" customFormat="1" x14ac:dyDescent="0.2">
      <c r="A43" s="1402" t="s">
        <v>897</v>
      </c>
      <c r="B43" s="1421"/>
      <c r="C43" s="1398"/>
      <c r="D43" s="1400" t="s">
        <v>2248</v>
      </c>
      <c r="E43" s="1402" t="s">
        <v>2247</v>
      </c>
      <c r="F43" s="1415"/>
      <c r="G43" s="1398"/>
      <c r="H43" s="1400" t="s">
        <v>2248</v>
      </c>
      <c r="I43" s="1402" t="s">
        <v>2247</v>
      </c>
      <c r="J43" s="2056"/>
      <c r="K43" s="1415"/>
      <c r="L43" s="1398"/>
      <c r="M43" s="1400"/>
      <c r="N43" s="1402"/>
    </row>
    <row r="44" spans="1:14" s="1422" customFormat="1" x14ac:dyDescent="0.2">
      <c r="A44" s="1402" t="s">
        <v>863</v>
      </c>
      <c r="B44" s="1421">
        <v>750</v>
      </c>
      <c r="C44" s="1398" t="s">
        <v>764</v>
      </c>
      <c r="D44" s="1398"/>
      <c r="E44" s="1399"/>
      <c r="F44" s="1421">
        <v>750</v>
      </c>
      <c r="G44" s="1398" t="s">
        <v>764</v>
      </c>
      <c r="H44" s="1400"/>
      <c r="I44" s="1402"/>
      <c r="J44" s="2056"/>
      <c r="K44" s="2384">
        <v>831</v>
      </c>
      <c r="L44" s="1398" t="s">
        <v>764</v>
      </c>
      <c r="M44" s="1400" t="s">
        <v>1738</v>
      </c>
      <c r="N44" s="1402" t="s">
        <v>1739</v>
      </c>
    </row>
    <row r="45" spans="1:14" s="1422" customFormat="1" x14ac:dyDescent="0.2">
      <c r="A45" s="1405" t="s">
        <v>862</v>
      </c>
      <c r="B45" s="1421">
        <v>533</v>
      </c>
      <c r="C45" s="1398" t="s">
        <v>764</v>
      </c>
      <c r="D45" s="1398"/>
      <c r="E45" s="1399"/>
      <c r="F45" s="1421">
        <v>533</v>
      </c>
      <c r="G45" s="1398" t="s">
        <v>764</v>
      </c>
      <c r="H45" s="1400"/>
      <c r="I45" s="1402"/>
      <c r="J45" s="2056"/>
      <c r="K45" s="2384">
        <v>554</v>
      </c>
      <c r="L45" s="1398" t="s">
        <v>764</v>
      </c>
      <c r="M45" s="1400" t="s">
        <v>1738</v>
      </c>
      <c r="N45" s="1402" t="s">
        <v>1739</v>
      </c>
    </row>
    <row r="46" spans="1:14" s="1422" customFormat="1" x14ac:dyDescent="0.2">
      <c r="A46" s="1402" t="s">
        <v>861</v>
      </c>
      <c r="B46" s="1421">
        <v>604</v>
      </c>
      <c r="C46" s="1398" t="s">
        <v>764</v>
      </c>
      <c r="D46" s="1398"/>
      <c r="E46" s="1399"/>
      <c r="F46" s="1421">
        <v>604</v>
      </c>
      <c r="G46" s="1398" t="s">
        <v>764</v>
      </c>
      <c r="H46" s="1400"/>
      <c r="I46" s="1402"/>
      <c r="J46" s="2056"/>
      <c r="K46" s="2384">
        <v>680</v>
      </c>
      <c r="L46" s="1398" t="s">
        <v>764</v>
      </c>
      <c r="M46" s="1400" t="s">
        <v>1738</v>
      </c>
      <c r="N46" s="1402" t="s">
        <v>1739</v>
      </c>
    </row>
    <row r="47" spans="1:14" s="1422" customFormat="1" x14ac:dyDescent="0.2">
      <c r="A47" s="1399" t="s">
        <v>864</v>
      </c>
      <c r="B47" s="1421">
        <v>450</v>
      </c>
      <c r="C47" s="1398" t="s">
        <v>764</v>
      </c>
      <c r="D47" s="1398"/>
      <c r="E47" s="1399"/>
      <c r="F47" s="1421">
        <v>450</v>
      </c>
      <c r="G47" s="1398" t="s">
        <v>764</v>
      </c>
      <c r="H47" s="1400"/>
      <c r="I47" s="1402"/>
      <c r="J47" s="2056"/>
      <c r="K47" s="2384">
        <v>450</v>
      </c>
      <c r="L47" s="1398" t="s">
        <v>764</v>
      </c>
      <c r="M47" s="1400" t="s">
        <v>1738</v>
      </c>
      <c r="N47" s="1402" t="s">
        <v>1739</v>
      </c>
    </row>
    <row r="48" spans="1:14" s="1422" customFormat="1" x14ac:dyDescent="0.2">
      <c r="A48" s="1402" t="s">
        <v>865</v>
      </c>
      <c r="B48" s="1421">
        <v>80</v>
      </c>
      <c r="C48" s="1398" t="s">
        <v>764</v>
      </c>
      <c r="D48" s="1398"/>
      <c r="E48" s="1399"/>
      <c r="F48" s="1421">
        <v>80</v>
      </c>
      <c r="G48" s="1398" t="s">
        <v>764</v>
      </c>
      <c r="H48" s="1400"/>
      <c r="I48" s="1402"/>
      <c r="J48" s="2056"/>
      <c r="K48" s="2384">
        <v>80</v>
      </c>
      <c r="L48" s="1398" t="s">
        <v>764</v>
      </c>
      <c r="M48" s="1400" t="s">
        <v>1738</v>
      </c>
      <c r="N48" s="1402" t="s">
        <v>1739</v>
      </c>
    </row>
    <row r="49" spans="1:14" s="1422" customFormat="1" x14ac:dyDescent="0.2">
      <c r="A49" s="1402" t="s">
        <v>866</v>
      </c>
      <c r="B49" s="1421">
        <v>68</v>
      </c>
      <c r="C49" s="1398" t="s">
        <v>764</v>
      </c>
      <c r="D49" s="1398"/>
      <c r="E49" s="1399"/>
      <c r="F49" s="1421">
        <v>68</v>
      </c>
      <c r="G49" s="1398" t="s">
        <v>764</v>
      </c>
      <c r="H49" s="1400"/>
      <c r="I49" s="1402"/>
      <c r="J49" s="2056"/>
      <c r="K49" s="2384">
        <v>68</v>
      </c>
      <c r="L49" s="1398" t="s">
        <v>764</v>
      </c>
      <c r="M49" s="1400" t="s">
        <v>1738</v>
      </c>
      <c r="N49" s="1402" t="s">
        <v>1739</v>
      </c>
    </row>
    <row r="50" spans="1:14" s="1422" customFormat="1" x14ac:dyDescent="0.2">
      <c r="A50" s="1402" t="s">
        <v>867</v>
      </c>
      <c r="B50" s="1421">
        <v>64</v>
      </c>
      <c r="C50" s="1398" t="s">
        <v>764</v>
      </c>
      <c r="D50" s="1398"/>
      <c r="E50" s="1399"/>
      <c r="F50" s="1421">
        <v>64</v>
      </c>
      <c r="G50" s="1398" t="s">
        <v>764</v>
      </c>
      <c r="H50" s="1400"/>
      <c r="I50" s="1402"/>
      <c r="J50" s="2056"/>
      <c r="K50" s="2384">
        <v>64</v>
      </c>
      <c r="L50" s="1398" t="s">
        <v>764</v>
      </c>
      <c r="M50" s="1400" t="s">
        <v>1738</v>
      </c>
      <c r="N50" s="1402" t="s">
        <v>1739</v>
      </c>
    </row>
    <row r="51" spans="1:14" s="1422" customFormat="1" x14ac:dyDescent="0.2">
      <c r="A51" s="1402" t="s">
        <v>868</v>
      </c>
      <c r="B51" s="1421">
        <v>2</v>
      </c>
      <c r="C51" s="1398" t="s">
        <v>764</v>
      </c>
      <c r="D51" s="1398"/>
      <c r="E51" s="1399"/>
      <c r="F51" s="1421">
        <v>2</v>
      </c>
      <c r="G51" s="1398" t="s">
        <v>764</v>
      </c>
      <c r="H51" s="1400"/>
      <c r="I51" s="1402"/>
      <c r="J51" s="2056"/>
      <c r="K51" s="2384">
        <v>2</v>
      </c>
      <c r="L51" s="1398" t="s">
        <v>764</v>
      </c>
      <c r="M51" s="1400" t="s">
        <v>1740</v>
      </c>
      <c r="N51" s="1402"/>
    </row>
    <row r="52" spans="1:14" s="1422" customFormat="1" x14ac:dyDescent="0.2">
      <c r="A52" s="1402" t="s">
        <v>889</v>
      </c>
      <c r="B52" s="1423">
        <v>0.9</v>
      </c>
      <c r="C52" s="1398" t="s">
        <v>764</v>
      </c>
      <c r="D52" s="1398"/>
      <c r="E52" s="1399"/>
      <c r="F52" s="1423">
        <v>0.9</v>
      </c>
      <c r="G52" s="1398" t="s">
        <v>764</v>
      </c>
      <c r="H52" s="1400"/>
      <c r="I52" s="1402"/>
      <c r="J52" s="2056"/>
      <c r="K52" s="2385">
        <v>0.9</v>
      </c>
      <c r="L52" s="1398" t="s">
        <v>764</v>
      </c>
      <c r="M52" s="1400" t="s">
        <v>1738</v>
      </c>
      <c r="N52" s="1402" t="s">
        <v>1739</v>
      </c>
    </row>
    <row r="53" spans="1:14" s="1422" customFormat="1" x14ac:dyDescent="0.2">
      <c r="A53" s="1402" t="s">
        <v>898</v>
      </c>
      <c r="B53" s="1421"/>
      <c r="D53" s="1400" t="s">
        <v>2248</v>
      </c>
      <c r="E53" s="1402" t="s">
        <v>2247</v>
      </c>
      <c r="F53" s="1415"/>
      <c r="G53" s="1398"/>
      <c r="H53" s="1400" t="s">
        <v>2248</v>
      </c>
      <c r="I53" s="1402" t="s">
        <v>2247</v>
      </c>
      <c r="J53" s="2056"/>
      <c r="K53" s="1415"/>
      <c r="L53" s="1398"/>
      <c r="M53" s="1400"/>
      <c r="N53" s="1402"/>
    </row>
    <row r="54" spans="1:14" s="1422" customFormat="1" x14ac:dyDescent="0.2">
      <c r="A54" s="1402" t="s">
        <v>863</v>
      </c>
      <c r="B54" s="1423">
        <v>10.4</v>
      </c>
      <c r="C54" s="1398" t="s">
        <v>899</v>
      </c>
      <c r="D54" s="1398"/>
      <c r="E54" s="1402" t="s">
        <v>2333</v>
      </c>
      <c r="F54" s="1423">
        <v>10.4</v>
      </c>
      <c r="G54" s="1398" t="s">
        <v>899</v>
      </c>
      <c r="H54" s="1400"/>
      <c r="I54" s="1402" t="s">
        <v>2333</v>
      </c>
      <c r="J54" s="2056"/>
      <c r="K54" s="2384">
        <v>1956</v>
      </c>
      <c r="L54" s="1398" t="s">
        <v>1741</v>
      </c>
      <c r="M54" s="1400" t="s">
        <v>1742</v>
      </c>
      <c r="N54" s="1402" t="s">
        <v>1743</v>
      </c>
    </row>
    <row r="55" spans="1:14" s="1422" customFormat="1" x14ac:dyDescent="0.2">
      <c r="A55" s="1405" t="s">
        <v>862</v>
      </c>
      <c r="B55" s="1424">
        <v>8.7100000000000009</v>
      </c>
      <c r="C55" s="1398" t="s">
        <v>899</v>
      </c>
      <c r="D55" s="1398"/>
      <c r="E55" s="1402" t="s">
        <v>2333</v>
      </c>
      <c r="F55" s="1424">
        <v>8.7100000000000009</v>
      </c>
      <c r="G55" s="1398" t="s">
        <v>899</v>
      </c>
      <c r="H55" s="1400"/>
      <c r="I55" s="1402" t="s">
        <v>2333</v>
      </c>
      <c r="J55" s="2056"/>
      <c r="K55" s="2384">
        <v>1891</v>
      </c>
      <c r="L55" s="1398" t="s">
        <v>1741</v>
      </c>
      <c r="M55" s="1400" t="s">
        <v>1742</v>
      </c>
      <c r="N55" s="1402" t="s">
        <v>1743</v>
      </c>
    </row>
    <row r="56" spans="1:14" s="1422" customFormat="1" x14ac:dyDescent="0.2">
      <c r="A56" s="1402" t="s">
        <v>861</v>
      </c>
      <c r="B56" s="1424">
        <v>10.87</v>
      </c>
      <c r="C56" s="1398" t="s">
        <v>899</v>
      </c>
      <c r="D56" s="1398"/>
      <c r="E56" s="1402" t="s">
        <v>2333</v>
      </c>
      <c r="F56" s="1424">
        <v>10.87</v>
      </c>
      <c r="G56" s="1398" t="s">
        <v>899</v>
      </c>
      <c r="H56" s="1400"/>
      <c r="I56" s="1402" t="s">
        <v>2333</v>
      </c>
      <c r="J56" s="2056"/>
      <c r="K56" s="2384">
        <v>2881</v>
      </c>
      <c r="L56" s="1398" t="s">
        <v>1741</v>
      </c>
      <c r="M56" s="1400" t="s">
        <v>1742</v>
      </c>
      <c r="N56" s="1402" t="s">
        <v>1743</v>
      </c>
    </row>
    <row r="57" spans="1:14" s="1422" customFormat="1" x14ac:dyDescent="0.2">
      <c r="A57" s="1399" t="s">
        <v>864</v>
      </c>
      <c r="B57" s="1423">
        <v>8.1</v>
      </c>
      <c r="C57" s="1398" t="s">
        <v>899</v>
      </c>
      <c r="D57" s="1398"/>
      <c r="E57" s="1400" t="s">
        <v>1742</v>
      </c>
      <c r="F57" s="1423">
        <v>6.1</v>
      </c>
      <c r="G57" s="1398" t="s">
        <v>899</v>
      </c>
      <c r="H57" s="1400" t="s">
        <v>1742</v>
      </c>
      <c r="I57" s="1402"/>
      <c r="J57" s="2056"/>
      <c r="K57" s="2385">
        <v>6.1</v>
      </c>
      <c r="L57" s="1398" t="s">
        <v>899</v>
      </c>
      <c r="M57" s="1400" t="s">
        <v>1742</v>
      </c>
      <c r="N57" s="1402" t="s">
        <v>1744</v>
      </c>
    </row>
    <row r="58" spans="1:14" s="1422" customFormat="1" x14ac:dyDescent="0.2">
      <c r="A58" s="1402" t="s">
        <v>865</v>
      </c>
      <c r="B58" s="1423">
        <v>8.8000000000000007</v>
      </c>
      <c r="C58" s="1398" t="s">
        <v>899</v>
      </c>
      <c r="D58" s="1398"/>
      <c r="E58" s="1400" t="s">
        <v>1742</v>
      </c>
      <c r="F58" s="1423">
        <v>8.3000000000000007</v>
      </c>
      <c r="G58" s="1398" t="s">
        <v>899</v>
      </c>
      <c r="H58" s="1400" t="s">
        <v>1742</v>
      </c>
      <c r="I58" s="1402"/>
      <c r="J58" s="2056"/>
      <c r="K58" s="2385">
        <v>8.3000000000000007</v>
      </c>
      <c r="L58" s="1398" t="s">
        <v>899</v>
      </c>
      <c r="M58" s="1400" t="s">
        <v>1742</v>
      </c>
      <c r="N58" s="1402" t="s">
        <v>1744</v>
      </c>
    </row>
    <row r="59" spans="1:14" s="1422" customFormat="1" x14ac:dyDescent="0.2">
      <c r="A59" s="1402" t="s">
        <v>866</v>
      </c>
      <c r="B59" s="1423">
        <v>5.4</v>
      </c>
      <c r="C59" s="1398" t="s">
        <v>899</v>
      </c>
      <c r="D59" s="1398"/>
      <c r="E59" s="1400" t="s">
        <v>1742</v>
      </c>
      <c r="F59" s="1423">
        <v>5.4</v>
      </c>
      <c r="G59" s="1398" t="s">
        <v>899</v>
      </c>
      <c r="H59" s="1400" t="s">
        <v>1742</v>
      </c>
      <c r="I59" s="1402"/>
      <c r="J59" s="2056"/>
      <c r="K59" s="2385">
        <v>5.4</v>
      </c>
      <c r="L59" s="1398" t="s">
        <v>899</v>
      </c>
      <c r="M59" s="1400" t="s">
        <v>1742</v>
      </c>
      <c r="N59" s="1402" t="s">
        <v>1744</v>
      </c>
    </row>
    <row r="60" spans="1:14" s="1422" customFormat="1" x14ac:dyDescent="0.2">
      <c r="A60" s="1402" t="s">
        <v>867</v>
      </c>
      <c r="B60" s="1423">
        <v>9.5</v>
      </c>
      <c r="C60" s="1398" t="s">
        <v>899</v>
      </c>
      <c r="D60" s="1398"/>
      <c r="E60" s="1400" t="s">
        <v>1742</v>
      </c>
      <c r="F60" s="1423">
        <v>9.5</v>
      </c>
      <c r="G60" s="1398" t="s">
        <v>899</v>
      </c>
      <c r="H60" s="1400" t="s">
        <v>1742</v>
      </c>
      <c r="I60" s="1402"/>
      <c r="J60" s="2056"/>
      <c r="K60" s="2385">
        <v>9.5</v>
      </c>
      <c r="L60" s="1398" t="s">
        <v>899</v>
      </c>
      <c r="M60" s="1400" t="s">
        <v>1742</v>
      </c>
      <c r="N60" s="1402" t="s">
        <v>1744</v>
      </c>
    </row>
    <row r="61" spans="1:14" s="1422" customFormat="1" x14ac:dyDescent="0.2">
      <c r="A61" s="1402" t="s">
        <v>868</v>
      </c>
      <c r="B61" s="1423">
        <v>9.5</v>
      </c>
      <c r="C61" s="1398" t="s">
        <v>899</v>
      </c>
      <c r="D61" s="1398"/>
      <c r="E61" s="1400"/>
      <c r="F61" s="1423">
        <v>9.5</v>
      </c>
      <c r="G61" s="1398" t="s">
        <v>899</v>
      </c>
      <c r="H61" s="1400"/>
      <c r="I61" s="1402"/>
      <c r="J61" s="2056"/>
      <c r="K61" s="2385">
        <v>9.5</v>
      </c>
      <c r="L61" s="1398" t="s">
        <v>899</v>
      </c>
      <c r="M61" s="1400"/>
      <c r="N61" s="1402" t="s">
        <v>2332</v>
      </c>
    </row>
    <row r="62" spans="1:14" s="1422" customFormat="1" x14ac:dyDescent="0.2">
      <c r="A62" s="1402" t="s">
        <v>889</v>
      </c>
      <c r="B62" s="1423">
        <v>16.2</v>
      </c>
      <c r="C62" s="1398" t="s">
        <v>899</v>
      </c>
      <c r="D62" s="1398"/>
      <c r="E62" s="1400" t="s">
        <v>1742</v>
      </c>
      <c r="F62" s="1423">
        <v>17</v>
      </c>
      <c r="G62" s="1398" t="s">
        <v>899</v>
      </c>
      <c r="H62" s="1400" t="s">
        <v>1742</v>
      </c>
      <c r="I62" s="1402"/>
      <c r="J62" s="2056"/>
      <c r="K62" s="2385">
        <v>17</v>
      </c>
      <c r="L62" s="1398" t="s">
        <v>899</v>
      </c>
      <c r="M62" s="1400" t="s">
        <v>1742</v>
      </c>
      <c r="N62" s="1402" t="s">
        <v>1744</v>
      </c>
    </row>
    <row r="63" spans="1:14" s="1422" customFormat="1" ht="13.5" x14ac:dyDescent="0.2">
      <c r="A63" s="1402" t="s">
        <v>1528</v>
      </c>
      <c r="B63" s="1421"/>
      <c r="D63" s="1400"/>
      <c r="E63" s="1402"/>
      <c r="F63" s="1415"/>
      <c r="G63" s="1398"/>
      <c r="H63" s="1400"/>
      <c r="I63" s="1402"/>
      <c r="J63" s="2056"/>
      <c r="K63" s="1415"/>
      <c r="L63" s="1398"/>
      <c r="M63" s="1400"/>
      <c r="N63" s="1402"/>
    </row>
    <row r="64" spans="1:14" s="1422" customFormat="1" ht="14.25" x14ac:dyDescent="0.2">
      <c r="A64" s="1402" t="s">
        <v>863</v>
      </c>
      <c r="B64" s="1425">
        <v>0.17</v>
      </c>
      <c r="C64" s="1398" t="s">
        <v>1529</v>
      </c>
      <c r="D64" s="1398"/>
      <c r="E64" s="1399"/>
      <c r="F64" s="1425">
        <v>0.17</v>
      </c>
      <c r="G64" s="1398" t="s">
        <v>1529</v>
      </c>
      <c r="H64" s="1400"/>
      <c r="I64" s="1402"/>
      <c r="J64" s="2056"/>
      <c r="K64" s="1426">
        <v>0.17</v>
      </c>
      <c r="L64" s="1398" t="s">
        <v>1529</v>
      </c>
      <c r="M64" s="1400" t="s">
        <v>1738</v>
      </c>
      <c r="N64" s="1402" t="s">
        <v>1739</v>
      </c>
    </row>
    <row r="65" spans="1:14" s="1422" customFormat="1" ht="14.25" x14ac:dyDescent="0.2">
      <c r="A65" s="1405" t="s">
        <v>862</v>
      </c>
      <c r="B65" s="1425">
        <v>0.17</v>
      </c>
      <c r="C65" s="1398" t="s">
        <v>1529</v>
      </c>
      <c r="D65" s="1398"/>
      <c r="E65" s="1399"/>
      <c r="F65" s="1425">
        <v>0.17</v>
      </c>
      <c r="G65" s="1398" t="s">
        <v>1529</v>
      </c>
      <c r="H65" s="1400"/>
      <c r="I65" s="1402"/>
      <c r="J65" s="2056"/>
      <c r="K65" s="1426">
        <v>0.17</v>
      </c>
      <c r="L65" s="1398" t="s">
        <v>1529</v>
      </c>
      <c r="M65" s="1400" t="s">
        <v>1738</v>
      </c>
      <c r="N65" s="1402" t="s">
        <v>1739</v>
      </c>
    </row>
    <row r="66" spans="1:14" s="1422" customFormat="1" ht="14.25" x14ac:dyDescent="0.2">
      <c r="A66" s="1402" t="s">
        <v>861</v>
      </c>
      <c r="B66" s="1425">
        <v>0.24</v>
      </c>
      <c r="C66" s="1398" t="s">
        <v>1529</v>
      </c>
      <c r="D66" s="1398"/>
      <c r="E66" s="1399"/>
      <c r="F66" s="1425">
        <v>0.24</v>
      </c>
      <c r="G66" s="1398" t="s">
        <v>1529</v>
      </c>
      <c r="H66" s="1400"/>
      <c r="I66" s="1402"/>
      <c r="J66" s="2056"/>
      <c r="K66" s="1426">
        <v>0.24</v>
      </c>
      <c r="L66" s="1398" t="s">
        <v>1529</v>
      </c>
      <c r="M66" s="1400" t="s">
        <v>1738</v>
      </c>
      <c r="N66" s="1402" t="s">
        <v>1739</v>
      </c>
    </row>
    <row r="67" spans="1:14" s="1422" customFormat="1" ht="14.25" x14ac:dyDescent="0.2">
      <c r="A67" s="1399" t="s">
        <v>864</v>
      </c>
      <c r="B67" s="1425">
        <v>0.33</v>
      </c>
      <c r="C67" s="1398" t="s">
        <v>1529</v>
      </c>
      <c r="D67" s="1398"/>
      <c r="E67" s="1399"/>
      <c r="F67" s="1425">
        <v>0.33</v>
      </c>
      <c r="G67" s="1398" t="s">
        <v>1529</v>
      </c>
      <c r="H67" s="1400"/>
      <c r="I67" s="1402"/>
      <c r="J67" s="2056"/>
      <c r="K67" s="1426">
        <v>0.33</v>
      </c>
      <c r="L67" s="1398" t="s">
        <v>1529</v>
      </c>
      <c r="M67" s="1400" t="s">
        <v>1738</v>
      </c>
      <c r="N67" s="1402" t="s">
        <v>1739</v>
      </c>
    </row>
    <row r="68" spans="1:14" s="1422" customFormat="1" ht="14.25" x14ac:dyDescent="0.2">
      <c r="A68" s="1402" t="s">
        <v>865</v>
      </c>
      <c r="B68" s="1425">
        <v>0.19</v>
      </c>
      <c r="C68" s="1398" t="s">
        <v>1529</v>
      </c>
      <c r="D68" s="1398"/>
      <c r="E68" s="1399"/>
      <c r="F68" s="1425">
        <v>0.19</v>
      </c>
      <c r="G68" s="1398" t="s">
        <v>1529</v>
      </c>
      <c r="H68" s="1400"/>
      <c r="I68" s="1402"/>
      <c r="J68" s="2056"/>
      <c r="K68" s="1426">
        <v>0.19</v>
      </c>
      <c r="L68" s="1398" t="s">
        <v>1529</v>
      </c>
      <c r="M68" s="1400" t="s">
        <v>1738</v>
      </c>
      <c r="N68" s="1402" t="s">
        <v>1739</v>
      </c>
    </row>
    <row r="69" spans="1:14" s="1422" customFormat="1" ht="14.25" x14ac:dyDescent="0.2">
      <c r="A69" s="1402" t="s">
        <v>866</v>
      </c>
      <c r="B69" s="1425">
        <v>0.48</v>
      </c>
      <c r="C69" s="1398" t="s">
        <v>1529</v>
      </c>
      <c r="D69" s="1398"/>
      <c r="E69" s="1399"/>
      <c r="F69" s="1425">
        <v>0.48</v>
      </c>
      <c r="G69" s="1398" t="s">
        <v>1529</v>
      </c>
      <c r="H69" s="1400"/>
      <c r="I69" s="1402"/>
      <c r="J69" s="2056"/>
      <c r="K69" s="1426">
        <v>0.48</v>
      </c>
      <c r="L69" s="1398" t="s">
        <v>1529</v>
      </c>
      <c r="M69" s="1400" t="s">
        <v>1738</v>
      </c>
      <c r="N69" s="1402" t="s">
        <v>1739</v>
      </c>
    </row>
    <row r="70" spans="1:14" s="1422" customFormat="1" ht="14.25" x14ac:dyDescent="0.2">
      <c r="A70" s="1402" t="s">
        <v>867</v>
      </c>
      <c r="B70" s="1425">
        <v>0.17</v>
      </c>
      <c r="C70" s="1398" t="s">
        <v>1529</v>
      </c>
      <c r="D70" s="1398"/>
      <c r="E70" s="1399"/>
      <c r="F70" s="1425">
        <v>0.17</v>
      </c>
      <c r="G70" s="1398" t="s">
        <v>1529</v>
      </c>
      <c r="H70" s="1400"/>
      <c r="I70" s="1402"/>
      <c r="J70" s="2056"/>
      <c r="K70" s="1426">
        <v>0.17</v>
      </c>
      <c r="L70" s="1398" t="s">
        <v>1529</v>
      </c>
      <c r="M70" s="1400" t="s">
        <v>1738</v>
      </c>
      <c r="N70" s="1402" t="s">
        <v>1739</v>
      </c>
    </row>
    <row r="71" spans="1:14" s="1422" customFormat="1" ht="14.25" x14ac:dyDescent="0.2">
      <c r="A71" s="1402" t="s">
        <v>868</v>
      </c>
      <c r="B71" s="1425">
        <v>0.17</v>
      </c>
      <c r="C71" s="1398" t="s">
        <v>1529</v>
      </c>
      <c r="D71" s="1398"/>
      <c r="E71" s="1399"/>
      <c r="F71" s="1425">
        <v>0.17</v>
      </c>
      <c r="G71" s="1398" t="s">
        <v>1529</v>
      </c>
      <c r="H71" s="1400"/>
      <c r="I71" s="1402"/>
      <c r="J71" s="2056"/>
      <c r="K71" s="1426">
        <v>0.17</v>
      </c>
      <c r="L71" s="1398" t="s">
        <v>1529</v>
      </c>
      <c r="M71" s="1400" t="s">
        <v>1736</v>
      </c>
      <c r="N71" s="1402"/>
    </row>
    <row r="72" spans="1:14" s="1422" customFormat="1" ht="14.25" x14ac:dyDescent="0.2">
      <c r="A72" s="1402" t="s">
        <v>889</v>
      </c>
      <c r="B72" s="1425">
        <v>0.36</v>
      </c>
      <c r="C72" s="1398" t="s">
        <v>1529</v>
      </c>
      <c r="D72" s="1398"/>
      <c r="E72" s="1399"/>
      <c r="F72" s="1425">
        <v>0.36</v>
      </c>
      <c r="G72" s="1398" t="s">
        <v>1529</v>
      </c>
      <c r="H72" s="1400"/>
      <c r="I72" s="1402"/>
      <c r="J72" s="2056"/>
      <c r="K72" s="1426">
        <v>0.36</v>
      </c>
      <c r="L72" s="1398" t="s">
        <v>1529</v>
      </c>
      <c r="M72" s="1400" t="s">
        <v>1738</v>
      </c>
      <c r="N72" s="1402" t="s">
        <v>1739</v>
      </c>
    </row>
    <row r="73" spans="1:14" s="1422" customFormat="1" ht="13.5" x14ac:dyDescent="0.2">
      <c r="A73" s="1402" t="s">
        <v>1530</v>
      </c>
      <c r="B73" s="1421"/>
      <c r="D73" s="1400"/>
      <c r="E73" s="1402"/>
      <c r="F73" s="1415"/>
      <c r="G73" s="1398"/>
      <c r="H73" s="1400"/>
      <c r="I73" s="1402"/>
      <c r="J73" s="2056"/>
      <c r="K73" s="1415"/>
      <c r="L73" s="1398"/>
      <c r="M73" s="1400"/>
      <c r="N73" s="1402"/>
    </row>
    <row r="74" spans="1:14" s="1422" customFormat="1" x14ac:dyDescent="0.2">
      <c r="A74" s="1402" t="s">
        <v>863</v>
      </c>
      <c r="B74" s="1425">
        <v>0.31</v>
      </c>
      <c r="C74" s="1398" t="s">
        <v>921</v>
      </c>
      <c r="D74" s="1398"/>
      <c r="E74" s="1399"/>
      <c r="F74" s="1425">
        <v>0.31</v>
      </c>
      <c r="G74" s="1398" t="s">
        <v>921</v>
      </c>
      <c r="H74" s="1400"/>
      <c r="I74" s="1402"/>
      <c r="J74" s="2056"/>
      <c r="K74" s="2439">
        <v>69</v>
      </c>
      <c r="L74" s="1398" t="s">
        <v>1741</v>
      </c>
      <c r="M74" s="1400" t="s">
        <v>1742</v>
      </c>
      <c r="N74" s="1402" t="s">
        <v>1743</v>
      </c>
    </row>
    <row r="75" spans="1:14" s="1422" customFormat="1" x14ac:dyDescent="0.2">
      <c r="A75" s="1405" t="s">
        <v>862</v>
      </c>
      <c r="B75" s="1425">
        <v>0.33</v>
      </c>
      <c r="C75" s="1398" t="s">
        <v>921</v>
      </c>
      <c r="D75" s="1398"/>
      <c r="E75" s="1399"/>
      <c r="F75" s="1425">
        <v>0.33</v>
      </c>
      <c r="G75" s="1398" t="s">
        <v>921</v>
      </c>
      <c r="H75" s="1400"/>
      <c r="I75" s="1402"/>
      <c r="J75" s="2056"/>
      <c r="K75" s="2439">
        <v>59</v>
      </c>
      <c r="L75" s="1398" t="s">
        <v>1741</v>
      </c>
      <c r="M75" s="1400" t="s">
        <v>1742</v>
      </c>
      <c r="N75" s="1402" t="s">
        <v>1743</v>
      </c>
    </row>
    <row r="76" spans="1:14" s="1422" customFormat="1" x14ac:dyDescent="0.2">
      <c r="A76" s="1402" t="s">
        <v>861</v>
      </c>
      <c r="B76" s="1425">
        <v>0.44</v>
      </c>
      <c r="C76" s="1398" t="s">
        <v>921</v>
      </c>
      <c r="D76" s="1398"/>
      <c r="E76" s="1399"/>
      <c r="F76" s="1425">
        <v>0.44</v>
      </c>
      <c r="G76" s="1398" t="s">
        <v>921</v>
      </c>
      <c r="H76" s="1400"/>
      <c r="I76" s="1402"/>
      <c r="J76" s="2056"/>
      <c r="K76" s="2439">
        <v>160</v>
      </c>
      <c r="L76" s="1398" t="s">
        <v>1741</v>
      </c>
      <c r="M76" s="1400" t="s">
        <v>1742</v>
      </c>
      <c r="N76" s="1402" t="s">
        <v>1743</v>
      </c>
    </row>
    <row r="77" spans="1:14" s="1422" customFormat="1" x14ac:dyDescent="0.2">
      <c r="A77" s="1399" t="s">
        <v>864</v>
      </c>
      <c r="B77" s="1425">
        <v>0.3</v>
      </c>
      <c r="C77" s="1398" t="s">
        <v>921</v>
      </c>
      <c r="D77" s="1398"/>
      <c r="E77" s="1399"/>
      <c r="F77" s="1425">
        <v>0.3</v>
      </c>
      <c r="G77" s="1398" t="s">
        <v>921</v>
      </c>
      <c r="H77" s="1400"/>
      <c r="I77" s="1402"/>
      <c r="J77" s="2056"/>
      <c r="K77" s="1426">
        <v>0.25</v>
      </c>
      <c r="L77" s="1398" t="s">
        <v>921</v>
      </c>
      <c r="M77" s="1400" t="s">
        <v>1745</v>
      </c>
      <c r="N77" s="1402" t="s">
        <v>1744</v>
      </c>
    </row>
    <row r="78" spans="1:14" s="1422" customFormat="1" x14ac:dyDescent="0.2">
      <c r="A78" s="1402" t="s">
        <v>865</v>
      </c>
      <c r="B78" s="1425">
        <v>0.42</v>
      </c>
      <c r="C78" s="1398" t="s">
        <v>921</v>
      </c>
      <c r="D78" s="1398"/>
      <c r="E78" s="1399"/>
      <c r="F78" s="1425">
        <v>0.42</v>
      </c>
      <c r="G78" s="1398" t="s">
        <v>921</v>
      </c>
      <c r="H78" s="1400"/>
      <c r="I78" s="1402"/>
      <c r="J78" s="2056"/>
      <c r="K78" s="1426">
        <v>0.45</v>
      </c>
      <c r="L78" s="1398" t="s">
        <v>921</v>
      </c>
      <c r="M78" s="1400" t="s">
        <v>1745</v>
      </c>
      <c r="N78" s="1402" t="s">
        <v>1744</v>
      </c>
    </row>
    <row r="79" spans="1:14" s="1422" customFormat="1" x14ac:dyDescent="0.2">
      <c r="A79" s="1402" t="s">
        <v>866</v>
      </c>
      <c r="B79" s="1425">
        <v>0.42</v>
      </c>
      <c r="C79" s="1398" t="s">
        <v>921</v>
      </c>
      <c r="D79" s="1398"/>
      <c r="E79" s="1399"/>
      <c r="F79" s="1425">
        <v>0.42</v>
      </c>
      <c r="G79" s="1398" t="s">
        <v>921</v>
      </c>
      <c r="H79" s="1400"/>
      <c r="I79" s="1402"/>
      <c r="J79" s="2056"/>
      <c r="K79" s="1426">
        <v>0.54</v>
      </c>
      <c r="L79" s="1398" t="s">
        <v>921</v>
      </c>
      <c r="M79" s="1400" t="s">
        <v>1745</v>
      </c>
      <c r="N79" s="1402" t="s">
        <v>1744</v>
      </c>
    </row>
    <row r="80" spans="1:14" s="1422" customFormat="1" x14ac:dyDescent="0.2">
      <c r="A80" s="1402" t="s">
        <v>867</v>
      </c>
      <c r="B80" s="1425">
        <v>0.45</v>
      </c>
      <c r="C80" s="1398" t="s">
        <v>921</v>
      </c>
      <c r="D80" s="1398"/>
      <c r="E80" s="1399"/>
      <c r="F80" s="1425">
        <v>0.45</v>
      </c>
      <c r="G80" s="1398" t="s">
        <v>921</v>
      </c>
      <c r="H80" s="1400"/>
      <c r="I80" s="1402"/>
      <c r="J80" s="2056"/>
      <c r="K80" s="1426">
        <v>0.45</v>
      </c>
      <c r="L80" s="1398" t="s">
        <v>921</v>
      </c>
      <c r="M80" s="1400" t="s">
        <v>1745</v>
      </c>
      <c r="N80" s="1402" t="s">
        <v>1744</v>
      </c>
    </row>
    <row r="81" spans="1:14" s="1422" customFormat="1" x14ac:dyDescent="0.2">
      <c r="A81" s="1402" t="s">
        <v>868</v>
      </c>
      <c r="B81" s="1425">
        <v>0.45</v>
      </c>
      <c r="C81" s="1398" t="s">
        <v>921</v>
      </c>
      <c r="D81" s="1398"/>
      <c r="E81" s="1399"/>
      <c r="F81" s="1425">
        <v>0.45</v>
      </c>
      <c r="G81" s="1398" t="s">
        <v>921</v>
      </c>
      <c r="H81" s="1400"/>
      <c r="I81" s="1402"/>
      <c r="J81" s="2056"/>
      <c r="K81" s="1426">
        <v>0.45</v>
      </c>
      <c r="L81" s="1398" t="s">
        <v>921</v>
      </c>
      <c r="M81" s="1400"/>
      <c r="N81" s="1402" t="s">
        <v>2343</v>
      </c>
    </row>
    <row r="82" spans="1:14" s="1422" customFormat="1" x14ac:dyDescent="0.2">
      <c r="A82" s="1402" t="s">
        <v>889</v>
      </c>
      <c r="B82" s="1425">
        <v>1.1000000000000001</v>
      </c>
      <c r="C82" s="1398" t="s">
        <v>921</v>
      </c>
      <c r="D82" s="1398"/>
      <c r="E82" s="1399"/>
      <c r="F82" s="1425">
        <v>1.1000000000000001</v>
      </c>
      <c r="G82" s="1398" t="s">
        <v>921</v>
      </c>
      <c r="H82" s="1400"/>
      <c r="I82" s="1402"/>
      <c r="J82" s="2056"/>
      <c r="K82" s="1426">
        <v>0.96</v>
      </c>
      <c r="L82" s="1398" t="s">
        <v>921</v>
      </c>
      <c r="M82" s="1400" t="s">
        <v>1745</v>
      </c>
      <c r="N82" s="1402" t="s">
        <v>1744</v>
      </c>
    </row>
    <row r="83" spans="1:14" s="1422" customFormat="1" x14ac:dyDescent="0.2">
      <c r="A83" s="1416"/>
      <c r="D83" s="1427"/>
      <c r="E83" s="1416"/>
      <c r="F83" s="1415"/>
      <c r="G83" s="1398"/>
      <c r="H83" s="1400"/>
      <c r="I83" s="1402"/>
      <c r="J83" s="2056"/>
      <c r="K83" s="1415"/>
      <c r="L83" s="1398"/>
      <c r="M83" s="1400"/>
      <c r="N83" s="1402"/>
    </row>
    <row r="84" spans="1:14" s="2403" customFormat="1" x14ac:dyDescent="0.2">
      <c r="A84" s="1407" t="s">
        <v>884</v>
      </c>
      <c r="D84" s="2404"/>
      <c r="E84" s="2405"/>
      <c r="F84" s="2395"/>
      <c r="G84" s="2404"/>
      <c r="H84" s="2406"/>
      <c r="I84" s="2396"/>
      <c r="J84" s="2407"/>
      <c r="K84" s="2395"/>
      <c r="L84" s="2404"/>
      <c r="M84" s="2406"/>
      <c r="N84" s="2396"/>
    </row>
    <row r="85" spans="1:14" s="1422" customFormat="1" x14ac:dyDescent="0.2">
      <c r="A85" s="1481" t="s">
        <v>119</v>
      </c>
      <c r="B85" s="1421"/>
      <c r="C85" s="1398"/>
      <c r="D85" s="1398"/>
      <c r="E85" s="1399"/>
      <c r="F85" s="1415"/>
      <c r="G85" s="1398"/>
      <c r="H85" s="1400"/>
      <c r="I85" s="1402"/>
      <c r="J85" s="2056"/>
      <c r="K85" s="1415"/>
      <c r="L85" s="1398"/>
      <c r="M85" s="1400"/>
      <c r="N85" s="1402"/>
    </row>
    <row r="86" spans="1:14" s="1422" customFormat="1" x14ac:dyDescent="0.2">
      <c r="A86" s="1402" t="s">
        <v>909</v>
      </c>
      <c r="B86" s="1421"/>
      <c r="C86" s="1398"/>
      <c r="D86" s="1398"/>
      <c r="E86" s="1399"/>
      <c r="F86" s="1415"/>
      <c r="G86" s="1398"/>
      <c r="H86" s="1400"/>
      <c r="I86" s="1402"/>
      <c r="J86" s="2056" t="s">
        <v>2361</v>
      </c>
      <c r="K86" s="1415" t="s">
        <v>53</v>
      </c>
      <c r="L86" s="1398"/>
      <c r="M86" s="1400"/>
      <c r="N86" s="1402"/>
    </row>
    <row r="87" spans="1:14" s="1422" customFormat="1" x14ac:dyDescent="0.2">
      <c r="A87" s="1416" t="s">
        <v>908</v>
      </c>
      <c r="B87" s="1425">
        <v>0.17</v>
      </c>
      <c r="C87" s="1403" t="s">
        <v>886</v>
      </c>
      <c r="D87" s="1398" t="s">
        <v>2240</v>
      </c>
      <c r="E87" s="1399" t="s">
        <v>906</v>
      </c>
      <c r="F87" s="1425">
        <v>0.17</v>
      </c>
      <c r="G87" s="1403" t="s">
        <v>886</v>
      </c>
      <c r="H87" s="1398" t="s">
        <v>2240</v>
      </c>
      <c r="I87" s="1399" t="s">
        <v>906</v>
      </c>
      <c r="J87" s="2056"/>
      <c r="K87" s="1426">
        <v>0.17</v>
      </c>
      <c r="L87" s="1403" t="s">
        <v>886</v>
      </c>
      <c r="M87" s="1398" t="s">
        <v>1736</v>
      </c>
      <c r="N87" s="1399" t="s">
        <v>906</v>
      </c>
    </row>
    <row r="88" spans="1:14" s="1422" customFormat="1" x14ac:dyDescent="0.2">
      <c r="A88" s="1416" t="s">
        <v>907</v>
      </c>
      <c r="B88" s="1431">
        <v>0.66</v>
      </c>
      <c r="C88" s="1403" t="s">
        <v>886</v>
      </c>
      <c r="D88" s="1398" t="s">
        <v>2240</v>
      </c>
      <c r="E88" s="1399" t="s">
        <v>906</v>
      </c>
      <c r="F88" s="1431">
        <v>0.66</v>
      </c>
      <c r="G88" s="1403" t="s">
        <v>886</v>
      </c>
      <c r="H88" s="1398" t="s">
        <v>2240</v>
      </c>
      <c r="I88" s="1399" t="s">
        <v>906</v>
      </c>
      <c r="J88" s="2056"/>
      <c r="K88" s="1432">
        <v>0.66</v>
      </c>
      <c r="L88" s="1403" t="s">
        <v>886</v>
      </c>
      <c r="M88" s="1398" t="s">
        <v>1736</v>
      </c>
      <c r="N88" s="1399" t="s">
        <v>906</v>
      </c>
    </row>
    <row r="89" spans="1:14" s="1422" customFormat="1" x14ac:dyDescent="0.2">
      <c r="A89" s="1416" t="s">
        <v>2356</v>
      </c>
      <c r="B89" s="1431">
        <v>0.23039000000000001</v>
      </c>
      <c r="C89" s="1403"/>
      <c r="D89" s="1398"/>
      <c r="E89" s="1399"/>
      <c r="F89" s="1431">
        <v>0.23039000000000001</v>
      </c>
      <c r="G89" s="1403"/>
      <c r="H89" s="1398"/>
      <c r="I89" s="1399"/>
      <c r="J89" s="2467">
        <v>0.23039000000000001</v>
      </c>
      <c r="K89" s="1431">
        <v>0.23039000000000001</v>
      </c>
      <c r="L89" s="1403"/>
      <c r="M89" s="2467">
        <v>0.23039000000000001</v>
      </c>
      <c r="N89" s="1399"/>
    </row>
    <row r="90" spans="1:14" s="1422" customFormat="1" x14ac:dyDescent="0.2">
      <c r="A90" s="1416" t="s">
        <v>2357</v>
      </c>
      <c r="B90" s="1431">
        <v>0.3</v>
      </c>
      <c r="C90" s="1403"/>
      <c r="D90" s="1398"/>
      <c r="E90" s="1399"/>
      <c r="F90" s="1431">
        <v>0.3</v>
      </c>
      <c r="G90" s="1403"/>
      <c r="H90" s="1398"/>
      <c r="I90" s="1399"/>
      <c r="J90" s="2467">
        <v>0.3</v>
      </c>
      <c r="K90" s="1431">
        <v>0.3</v>
      </c>
      <c r="L90" s="1403"/>
      <c r="M90" s="2467">
        <v>0.3</v>
      </c>
      <c r="N90" s="1399"/>
    </row>
    <row r="91" spans="1:14" s="1422" customFormat="1" x14ac:dyDescent="0.2">
      <c r="A91" s="1416" t="s">
        <v>2358</v>
      </c>
      <c r="B91" s="1431">
        <v>0.23270000000000002</v>
      </c>
      <c r="C91" s="1403"/>
      <c r="D91" s="1398"/>
      <c r="E91" s="1399"/>
      <c r="F91" s="1431">
        <v>0.23270000000000002</v>
      </c>
      <c r="G91" s="1403"/>
      <c r="H91" s="1398"/>
      <c r="I91" s="1399"/>
      <c r="J91" s="2467">
        <v>0.23270000000000002</v>
      </c>
      <c r="K91" s="1431">
        <v>0.23270000000000002</v>
      </c>
      <c r="L91" s="1403"/>
      <c r="M91" s="2467">
        <v>0.23270000000000002</v>
      </c>
      <c r="N91" s="1399"/>
    </row>
    <row r="92" spans="1:14" s="1422" customFormat="1" x14ac:dyDescent="0.2">
      <c r="A92" s="1416" t="s">
        <v>2359</v>
      </c>
      <c r="B92" s="1431">
        <v>0.5323</v>
      </c>
      <c r="C92" s="1403"/>
      <c r="D92" s="1398"/>
      <c r="E92" s="1399"/>
      <c r="F92" s="1431">
        <v>0.5323</v>
      </c>
      <c r="G92" s="1403"/>
      <c r="H92" s="1398"/>
      <c r="I92" s="1399"/>
      <c r="J92" s="2467">
        <v>0.5323</v>
      </c>
      <c r="K92" s="1431">
        <v>0.5323</v>
      </c>
      <c r="L92" s="1403"/>
      <c r="M92" s="2467">
        <v>0.5323</v>
      </c>
      <c r="N92" s="1399"/>
    </row>
    <row r="93" spans="1:14" s="1422" customFormat="1" x14ac:dyDescent="0.2">
      <c r="A93" s="1416"/>
      <c r="B93" s="1431"/>
      <c r="C93" s="1403"/>
      <c r="D93" s="1398"/>
      <c r="E93" s="1399"/>
      <c r="F93" s="1431"/>
      <c r="G93" s="1403"/>
      <c r="H93" s="1398"/>
      <c r="I93" s="1399"/>
      <c r="J93" s="2056"/>
      <c r="K93" s="1432"/>
      <c r="L93" s="1403"/>
      <c r="M93" s="1398"/>
      <c r="N93" s="1399"/>
    </row>
    <row r="94" spans="1:14" s="1422" customFormat="1" x14ac:dyDescent="0.2">
      <c r="A94" s="1416"/>
      <c r="B94" s="1431"/>
      <c r="C94" s="1403"/>
      <c r="D94" s="1398"/>
      <c r="E94" s="1399"/>
      <c r="F94" s="1431"/>
      <c r="G94" s="1403"/>
      <c r="H94" s="1398"/>
      <c r="I94" s="1399"/>
      <c r="J94" s="2056"/>
      <c r="K94" s="1432"/>
      <c r="L94" s="1403"/>
      <c r="M94" s="1398"/>
      <c r="N94" s="1399"/>
    </row>
    <row r="95" spans="1:14" s="1422" customFormat="1" ht="14.25" x14ac:dyDescent="0.2">
      <c r="A95" s="1402" t="s">
        <v>914</v>
      </c>
      <c r="B95" s="1433">
        <v>0.66200000000000003</v>
      </c>
      <c r="C95" s="1398" t="s">
        <v>1531</v>
      </c>
      <c r="D95" s="1400" t="s">
        <v>2241</v>
      </c>
      <c r="E95" s="1399" t="s">
        <v>903</v>
      </c>
      <c r="F95" s="1433">
        <v>0.66200000000000003</v>
      </c>
      <c r="G95" s="1398" t="s">
        <v>1531</v>
      </c>
      <c r="H95" s="1400" t="s">
        <v>2241</v>
      </c>
      <c r="I95" s="1399" t="s">
        <v>903</v>
      </c>
      <c r="J95" s="2056"/>
      <c r="K95" s="1433">
        <v>0.66200000000000003</v>
      </c>
      <c r="L95" s="1398" t="s">
        <v>1531</v>
      </c>
      <c r="M95" s="1400" t="s">
        <v>1737</v>
      </c>
      <c r="N95" s="1399" t="s">
        <v>903</v>
      </c>
    </row>
    <row r="96" spans="1:14" s="1422" customFormat="1" x14ac:dyDescent="0.2">
      <c r="A96" s="1402" t="s">
        <v>910</v>
      </c>
      <c r="B96" s="1433">
        <f>1/1000</f>
        <v>1E-3</v>
      </c>
      <c r="C96" s="1398" t="s">
        <v>912</v>
      </c>
      <c r="D96" s="1400"/>
      <c r="E96" s="1399"/>
      <c r="F96" s="1433">
        <f>1/1000</f>
        <v>1E-3</v>
      </c>
      <c r="G96" s="1398" t="s">
        <v>912</v>
      </c>
      <c r="H96" s="1400"/>
      <c r="I96" s="1399"/>
      <c r="J96" s="2056"/>
      <c r="K96" s="1433">
        <f>1/1000</f>
        <v>1E-3</v>
      </c>
      <c r="L96" s="1398" t="s">
        <v>912</v>
      </c>
      <c r="M96" s="1400"/>
      <c r="N96" s="1399"/>
    </row>
    <row r="97" spans="1:14" s="1422" customFormat="1" x14ac:dyDescent="0.2">
      <c r="A97" s="1402" t="s">
        <v>911</v>
      </c>
      <c r="B97" s="1433">
        <v>365</v>
      </c>
      <c r="C97" s="1398" t="s">
        <v>913</v>
      </c>
      <c r="D97" s="1400"/>
      <c r="E97" s="1399"/>
      <c r="F97" s="1433">
        <v>365</v>
      </c>
      <c r="G97" s="1398" t="s">
        <v>913</v>
      </c>
      <c r="H97" s="1400"/>
      <c r="I97" s="1399"/>
      <c r="J97" s="2056"/>
      <c r="K97" s="1433">
        <v>365</v>
      </c>
      <c r="L97" s="1398" t="s">
        <v>913</v>
      </c>
      <c r="M97" s="1400"/>
      <c r="N97" s="1399"/>
    </row>
    <row r="98" spans="1:14" s="1422" customFormat="1" x14ac:dyDescent="0.2">
      <c r="A98" s="1402"/>
      <c r="B98" s="1433"/>
      <c r="C98" s="1398"/>
      <c r="D98" s="1400"/>
      <c r="E98" s="1399"/>
      <c r="F98" s="1415"/>
      <c r="G98" s="1398"/>
      <c r="H98" s="1400"/>
      <c r="I98" s="1402"/>
      <c r="J98" s="2056"/>
      <c r="K98" s="1415"/>
      <c r="L98" s="1398"/>
      <c r="M98" s="1400"/>
      <c r="N98" s="1402"/>
    </row>
    <row r="99" spans="1:14" s="1422" customFormat="1" x14ac:dyDescent="0.2">
      <c r="A99" s="1409" t="s">
        <v>152</v>
      </c>
      <c r="B99" s="1421"/>
      <c r="C99" s="1398"/>
      <c r="D99" s="1398"/>
      <c r="E99" s="1399"/>
      <c r="F99" s="1415"/>
      <c r="G99" s="1398"/>
      <c r="H99" s="1398"/>
      <c r="I99" s="1402"/>
      <c r="J99" s="2056"/>
      <c r="K99" s="1415"/>
      <c r="L99" s="1398"/>
      <c r="M99" s="1400"/>
      <c r="N99" s="1402"/>
    </row>
    <row r="100" spans="1:14" s="1422" customFormat="1" x14ac:dyDescent="0.2">
      <c r="A100" s="1416" t="s">
        <v>905</v>
      </c>
      <c r="B100" s="1431">
        <f>AVERAGE(B87:B88)</f>
        <v>0.41500000000000004</v>
      </c>
      <c r="C100" s="1403" t="s">
        <v>886</v>
      </c>
      <c r="D100" s="1427"/>
      <c r="E100" s="1430" t="s">
        <v>2360</v>
      </c>
      <c r="F100" s="1431">
        <f>AVERAGE(F87:F88)</f>
        <v>0.41500000000000004</v>
      </c>
      <c r="G100" s="1403" t="s">
        <v>886</v>
      </c>
      <c r="H100" s="1427"/>
      <c r="I100" s="1430" t="s">
        <v>2360</v>
      </c>
      <c r="J100" s="2056" t="s">
        <v>915</v>
      </c>
      <c r="K100" s="1431">
        <f>AVERAGE(K87:K88)</f>
        <v>0.41500000000000004</v>
      </c>
      <c r="L100" s="1403" t="s">
        <v>886</v>
      </c>
      <c r="M100" s="1427"/>
      <c r="N100" s="1430" t="s">
        <v>2360</v>
      </c>
    </row>
    <row r="101" spans="1:14" s="1422" customFormat="1" ht="13.5" x14ac:dyDescent="0.2">
      <c r="A101" s="1402" t="s">
        <v>1532</v>
      </c>
      <c r="D101" s="1434" t="s">
        <v>2242</v>
      </c>
      <c r="E101" s="1399" t="s">
        <v>904</v>
      </c>
      <c r="F101" s="1415"/>
      <c r="G101" s="1398"/>
      <c r="H101" s="1434" t="s">
        <v>2242</v>
      </c>
      <c r="I101" s="1399" t="s">
        <v>904</v>
      </c>
      <c r="J101" s="2056"/>
      <c r="K101" s="1415"/>
      <c r="L101" s="1398"/>
      <c r="M101" s="1400" t="s">
        <v>1746</v>
      </c>
      <c r="N101" s="1399" t="s">
        <v>904</v>
      </c>
    </row>
    <row r="102" spans="1:14" s="1422" customFormat="1" ht="13.5" x14ac:dyDescent="0.25">
      <c r="A102" s="1402" t="s">
        <v>863</v>
      </c>
      <c r="B102" s="1435">
        <f>B6*B44*B$96*B54*B$97*B64*B$89*B$95</f>
        <v>644424.80148048606</v>
      </c>
      <c r="C102" s="1422" t="s">
        <v>2213</v>
      </c>
      <c r="D102" s="1434"/>
      <c r="E102" s="1399"/>
      <c r="F102" s="1435">
        <f>F6*F44*F$96*F54*F$97*F64*F$89*F$95</f>
        <v>848160.47754991823</v>
      </c>
      <c r="G102" s="1422" t="s">
        <v>2213</v>
      </c>
      <c r="H102" s="1400"/>
      <c r="I102" s="1402"/>
      <c r="J102" s="2056"/>
      <c r="K102" s="1435">
        <f>K6*K44*K$96*K54*K64*K$89*K$95</f>
        <v>462703.9371081951</v>
      </c>
      <c r="L102" s="1422" t="s">
        <v>2213</v>
      </c>
      <c r="M102" s="1400"/>
      <c r="N102" s="1402"/>
    </row>
    <row r="103" spans="1:14" s="1422" customFormat="1" ht="13.5" x14ac:dyDescent="0.25">
      <c r="A103" s="1405" t="s">
        <v>862</v>
      </c>
      <c r="B103" s="1435">
        <f>B7*B45*B$96*B55*B$97*B65*B$89*B$95</f>
        <v>104389.11131643961</v>
      </c>
      <c r="C103" s="1422" t="s">
        <v>2213</v>
      </c>
      <c r="D103" s="1434"/>
      <c r="E103" s="1399"/>
      <c r="F103" s="1435">
        <f>F7*F45*F$96*F55*F$97*F65*F$89*F$95</f>
        <v>132199.84678079412</v>
      </c>
      <c r="G103" s="1422" t="s">
        <v>2213</v>
      </c>
      <c r="H103" s="1400"/>
      <c r="I103" s="1402"/>
      <c r="J103" s="2056"/>
      <c r="K103" s="1435">
        <f>K7*K45*K$96*K55*K65*K$89*K$95</f>
        <v>88197.061901824825</v>
      </c>
      <c r="L103" s="1422" t="s">
        <v>2213</v>
      </c>
      <c r="M103" s="1400"/>
      <c r="N103" s="1402"/>
    </row>
    <row r="104" spans="1:14" s="1422" customFormat="1" ht="15" x14ac:dyDescent="0.25">
      <c r="A104" s="1402" t="s">
        <v>861</v>
      </c>
      <c r="B104" s="1435">
        <f>B8*B46*B$96*B56*B$97*B66*B$100*B$95</f>
        <v>1804915.4056329981</v>
      </c>
      <c r="C104" s="1422" t="s">
        <v>2214</v>
      </c>
      <c r="D104" s="1434"/>
      <c r="E104" s="1399"/>
      <c r="F104" s="1435">
        <f>F8*F46*F$96*F56*F$97*F66*F$100*F$95</f>
        <v>1584021.4428320765</v>
      </c>
      <c r="G104" s="1422" t="s">
        <v>2214</v>
      </c>
      <c r="H104" s="1400"/>
      <c r="I104" s="1402"/>
      <c r="J104" s="2056"/>
      <c r="K104" s="1435">
        <f>K8*K46*K$96*K56*K66*K$100*K$95</f>
        <v>1039578.9248455683</v>
      </c>
      <c r="L104" s="1422" t="s">
        <v>2214</v>
      </c>
      <c r="M104" s="1400"/>
      <c r="N104" s="1402"/>
    </row>
    <row r="105" spans="1:14" s="1422" customFormat="1" ht="15" x14ac:dyDescent="0.25">
      <c r="A105" s="1399" t="s">
        <v>864</v>
      </c>
      <c r="B105" s="1435">
        <f>B9*B47*B$96*B57*B$97*B67*B$100*B$95</f>
        <v>630467.81824182754</v>
      </c>
      <c r="C105" s="1422" t="s">
        <v>2214</v>
      </c>
      <c r="D105" s="1434"/>
      <c r="E105" s="1399"/>
      <c r="F105" s="1435">
        <f>F9*F47*F$96*F57*F$97*F67*F$100*F$95</f>
        <v>630488.66571578279</v>
      </c>
      <c r="G105" s="1422" t="s">
        <v>2214</v>
      </c>
      <c r="H105" s="1400"/>
      <c r="I105" s="1402"/>
      <c r="J105" s="2056"/>
      <c r="K105" s="1435">
        <f>K9*K47*K$96*K57*K$97*K67*K$100*K$95</f>
        <v>519760.28601436509</v>
      </c>
      <c r="L105" s="1422" t="s">
        <v>2214</v>
      </c>
      <c r="M105" s="1400"/>
      <c r="N105" s="1402"/>
    </row>
    <row r="106" spans="1:14" s="1422" customFormat="1" ht="15" x14ac:dyDescent="0.25">
      <c r="A106" s="1402" t="s">
        <v>865</v>
      </c>
      <c r="B106" s="1435">
        <f>B10*B48*B$96*B58*B$97*B68*B$100*B$95</f>
        <v>23875.100754560004</v>
      </c>
      <c r="C106" s="1422" t="s">
        <v>2214</v>
      </c>
      <c r="D106" s="1434"/>
      <c r="E106" s="1399"/>
      <c r="F106" s="1435">
        <f>F10*F48*F$96*F58*F$97*F68*F$100*F$95</f>
        <v>22151.685507932008</v>
      </c>
      <c r="G106" s="1422" t="s">
        <v>2214</v>
      </c>
      <c r="H106" s="1400"/>
      <c r="I106" s="1402"/>
      <c r="J106" s="2056"/>
      <c r="K106" s="1435">
        <f>K10*K48*K$96*K58*K$97*K68*K$100*K$95</f>
        <v>19874.527660172007</v>
      </c>
      <c r="L106" s="1422" t="s">
        <v>2214</v>
      </c>
      <c r="M106" s="1400"/>
      <c r="N106" s="1402"/>
    </row>
    <row r="107" spans="1:14" s="1422" customFormat="1" ht="15" x14ac:dyDescent="0.25">
      <c r="A107" s="1402" t="s">
        <v>866</v>
      </c>
      <c r="B107" s="1435">
        <f>B11*B49*B$96*B59*B$97*B69*B$91*B$95</f>
        <v>5539.9131332663046</v>
      </c>
      <c r="C107" s="1422" t="s">
        <v>2214</v>
      </c>
      <c r="D107" s="1434"/>
      <c r="E107" s="1399"/>
      <c r="F107" s="1435">
        <f>F11*F49*F$96*F59*F$97*F69*F$91*F$95</f>
        <v>7908.4985337146909</v>
      </c>
      <c r="G107" s="1422" t="s">
        <v>2214</v>
      </c>
      <c r="H107" s="1400"/>
      <c r="I107" s="1402"/>
      <c r="J107" s="2056"/>
      <c r="K107" s="1435">
        <f>K11*K49*K$96*K59*K$97*K69*K$91*K$95</f>
        <v>6521.0426506068488</v>
      </c>
      <c r="L107" s="1422" t="s">
        <v>2214</v>
      </c>
      <c r="M107" s="1400"/>
      <c r="N107" s="1402"/>
    </row>
    <row r="108" spans="1:14" s="1422" customFormat="1" ht="15" x14ac:dyDescent="0.25">
      <c r="A108" s="1402" t="s">
        <v>867</v>
      </c>
      <c r="B108" s="1435">
        <f>B12*B50*B$96*B60*B$97*B70*B$100*B$95</f>
        <v>1710.1546888800003</v>
      </c>
      <c r="C108" s="1422" t="s">
        <v>2214</v>
      </c>
      <c r="D108" s="1434"/>
      <c r="E108" s="1399"/>
      <c r="F108" s="1435">
        <f>F12*F50*F$96*F60*F$97*F70*F$100*F$95</f>
        <v>2995.3618490080003</v>
      </c>
      <c r="G108" s="1422" t="s">
        <v>2214</v>
      </c>
      <c r="H108" s="1400"/>
      <c r="I108" s="1402"/>
      <c r="J108" s="2056"/>
      <c r="K108" s="1435">
        <f>K12*K50*K$96*K60*K$97*K70*K$100*K$95</f>
        <v>12364.936629296004</v>
      </c>
      <c r="L108" s="1422" t="s">
        <v>2214</v>
      </c>
      <c r="M108" s="1400"/>
      <c r="N108" s="1402"/>
    </row>
    <row r="109" spans="1:14" s="1422" customFormat="1" ht="15" x14ac:dyDescent="0.25">
      <c r="A109" s="1402" t="s">
        <v>868</v>
      </c>
      <c r="B109" s="1435">
        <f>B13*B51*B$96*B61*B$97*B71*B$100*B$95</f>
        <v>962.60979836200022</v>
      </c>
      <c r="C109" s="1422" t="s">
        <v>2214</v>
      </c>
      <c r="D109" s="1434"/>
      <c r="E109" s="1399"/>
      <c r="F109" s="1435">
        <f>F13*F51*F$96*F61*F$97*F71*F$100*F$95</f>
        <v>1262.7125193343443</v>
      </c>
      <c r="G109" s="1422" t="s">
        <v>2214</v>
      </c>
      <c r="H109" s="1400"/>
      <c r="I109" s="1402"/>
      <c r="J109" s="2056"/>
      <c r="K109" s="1435">
        <f>K13*K51*K$96*K61*K$97*K71*K$100*K$95</f>
        <v>2443.0781269714289</v>
      </c>
      <c r="L109" s="1422" t="s">
        <v>2214</v>
      </c>
      <c r="M109" s="1400"/>
      <c r="N109" s="1402"/>
    </row>
    <row r="110" spans="1:14" s="1422" customFormat="1" ht="15" x14ac:dyDescent="0.25">
      <c r="A110" s="1402" t="s">
        <v>889</v>
      </c>
      <c r="B110" s="1435">
        <f>B14*B52*B$96*B62*B$97*B72*B$92*B$95</f>
        <v>6064.4126432083885</v>
      </c>
      <c r="C110" s="1422" t="s">
        <v>2214</v>
      </c>
      <c r="D110" s="1434"/>
      <c r="E110" s="1399"/>
      <c r="F110" s="1435">
        <f>F14*F52*F$96*F62*F$97*F72*F$92*F$95</f>
        <v>9102.7073559655073</v>
      </c>
      <c r="G110" s="1422" t="s">
        <v>2214</v>
      </c>
      <c r="H110" s="1400"/>
      <c r="I110" s="1402"/>
      <c r="J110" s="2056"/>
      <c r="K110" s="1435">
        <f>K14*K52*K$96*K62*K$97*K72*K$92*K$95</f>
        <v>10066.89014929332</v>
      </c>
      <c r="L110" s="1422" t="s">
        <v>2214</v>
      </c>
      <c r="M110" s="1400"/>
      <c r="N110" s="1402"/>
    </row>
    <row r="111" spans="1:14" s="1422" customFormat="1" ht="13.5" x14ac:dyDescent="0.25">
      <c r="A111" s="1402" t="s">
        <v>916</v>
      </c>
      <c r="B111" s="1436">
        <f>SUM(B102:B110)</f>
        <v>3222349.3276900277</v>
      </c>
      <c r="C111" s="1396" t="s">
        <v>2211</v>
      </c>
      <c r="D111" s="1434"/>
      <c r="E111" s="1399"/>
      <c r="F111" s="1436">
        <f>SUM(F102:F110)</f>
        <v>3238291.398644526</v>
      </c>
      <c r="G111" s="1396" t="s">
        <v>2211</v>
      </c>
      <c r="H111" s="1400"/>
      <c r="I111" s="1402"/>
      <c r="J111" s="2056"/>
      <c r="K111" s="1436">
        <f>SUM(K102:K110)</f>
        <v>2161510.6850862931</v>
      </c>
      <c r="L111" s="1396" t="s">
        <v>2211</v>
      </c>
      <c r="M111" s="1400"/>
      <c r="N111" s="1402"/>
    </row>
    <row r="112" spans="1:14" s="1422" customFormat="1" ht="13.5" x14ac:dyDescent="0.2">
      <c r="A112" s="1402" t="s">
        <v>917</v>
      </c>
      <c r="B112" s="1417">
        <f>B111/1000</f>
        <v>3222.3493276900276</v>
      </c>
      <c r="C112" s="1418" t="s">
        <v>2212</v>
      </c>
      <c r="D112" s="1434"/>
      <c r="E112" s="1399"/>
      <c r="F112" s="1417">
        <f>F111/1000</f>
        <v>3238.291398644526</v>
      </c>
      <c r="G112" s="1418" t="s">
        <v>2212</v>
      </c>
      <c r="H112" s="1400"/>
      <c r="I112" s="1402"/>
      <c r="J112" s="2056"/>
      <c r="K112" s="1417">
        <f>K111/1000</f>
        <v>2161.5106850862931</v>
      </c>
      <c r="L112" s="1418" t="s">
        <v>2212</v>
      </c>
      <c r="M112" s="1400"/>
      <c r="N112" s="1402"/>
    </row>
    <row r="113" spans="1:14" x14ac:dyDescent="0.2">
      <c r="J113" s="2058"/>
      <c r="M113" s="1444"/>
    </row>
    <row r="114" spans="1:14" s="2410" customFormat="1" x14ac:dyDescent="0.2">
      <c r="A114" s="1428" t="s">
        <v>885</v>
      </c>
      <c r="B114" s="2408"/>
      <c r="C114" s="2409"/>
      <c r="D114" s="2404"/>
      <c r="E114" s="2405"/>
      <c r="F114" s="2408"/>
      <c r="G114" s="2409"/>
      <c r="H114" s="2409"/>
      <c r="I114" s="2405"/>
      <c r="J114" s="2407"/>
      <c r="K114" s="2408"/>
      <c r="L114" s="2409"/>
      <c r="M114" s="2409"/>
      <c r="N114" s="2405"/>
    </row>
    <row r="115" spans="1:14" x14ac:dyDescent="0.2">
      <c r="A115" s="1481" t="s">
        <v>119</v>
      </c>
      <c r="J115" s="2058"/>
      <c r="M115" s="1444"/>
      <c r="N115" s="1399"/>
    </row>
    <row r="116" spans="1:14" x14ac:dyDescent="0.2">
      <c r="A116" s="1402" t="s">
        <v>920</v>
      </c>
      <c r="B116" s="1421"/>
      <c r="C116" s="1422"/>
      <c r="D116" s="1400"/>
      <c r="E116" s="1399"/>
      <c r="F116" s="1421"/>
      <c r="G116" s="1422"/>
      <c r="H116" s="1400"/>
      <c r="I116" s="1399"/>
      <c r="J116" s="2058"/>
      <c r="K116" s="1421"/>
      <c r="L116" s="1422"/>
      <c r="M116" s="1400"/>
      <c r="N116" s="1399"/>
    </row>
    <row r="117" spans="1:14" ht="13.5" x14ac:dyDescent="0.2">
      <c r="A117" s="1402" t="s">
        <v>900</v>
      </c>
      <c r="B117" s="1425">
        <v>0.02</v>
      </c>
      <c r="C117" s="1398" t="s">
        <v>1533</v>
      </c>
      <c r="D117" s="1400" t="s">
        <v>1749</v>
      </c>
      <c r="E117" s="1399" t="s">
        <v>2362</v>
      </c>
      <c r="F117" s="1425">
        <v>0.02</v>
      </c>
      <c r="G117" s="1398" t="s">
        <v>1533</v>
      </c>
      <c r="H117" s="1400" t="s">
        <v>1749</v>
      </c>
      <c r="I117" s="1399" t="s">
        <v>2362</v>
      </c>
      <c r="J117" s="2058"/>
      <c r="K117" s="1426">
        <v>0.02</v>
      </c>
      <c r="L117" s="1398" t="s">
        <v>1533</v>
      </c>
      <c r="M117" s="1400" t="s">
        <v>1749</v>
      </c>
      <c r="N117" s="1399" t="s">
        <v>2362</v>
      </c>
    </row>
    <row r="118" spans="1:14" ht="13.5" x14ac:dyDescent="0.2">
      <c r="A118" s="1405" t="s">
        <v>901</v>
      </c>
      <c r="B118" s="1441">
        <v>5.0000000000000001E-3</v>
      </c>
      <c r="C118" s="1418" t="s">
        <v>1534</v>
      </c>
      <c r="D118" s="1400" t="s">
        <v>1749</v>
      </c>
      <c r="E118" s="1399" t="s">
        <v>2362</v>
      </c>
      <c r="F118" s="1441">
        <v>5.0000000000000001E-3</v>
      </c>
      <c r="G118" s="1418" t="s">
        <v>1534</v>
      </c>
      <c r="H118" s="1400" t="s">
        <v>1749</v>
      </c>
      <c r="I118" s="1399" t="s">
        <v>2362</v>
      </c>
      <c r="J118" s="2056"/>
      <c r="K118" s="1442">
        <v>5.0000000000000001E-3</v>
      </c>
      <c r="L118" s="1418" t="s">
        <v>1534</v>
      </c>
      <c r="M118" s="1400" t="s">
        <v>1749</v>
      </c>
      <c r="N118" s="1399" t="s">
        <v>2362</v>
      </c>
    </row>
    <row r="119" spans="1:14" ht="13.5" x14ac:dyDescent="0.2">
      <c r="A119" s="1402" t="s">
        <v>902</v>
      </c>
      <c r="B119" s="1441">
        <v>1E-3</v>
      </c>
      <c r="C119" s="1418" t="s">
        <v>1534</v>
      </c>
      <c r="D119" s="1400" t="s">
        <v>1749</v>
      </c>
      <c r="E119" s="1399" t="s">
        <v>2362</v>
      </c>
      <c r="F119" s="1441">
        <v>1E-3</v>
      </c>
      <c r="G119" s="1418" t="s">
        <v>1534</v>
      </c>
      <c r="H119" s="1400" t="s">
        <v>1749</v>
      </c>
      <c r="I119" s="1399" t="s">
        <v>2362</v>
      </c>
      <c r="J119" s="2058"/>
      <c r="K119" s="1442">
        <v>1E-3</v>
      </c>
      <c r="L119" s="1418" t="s">
        <v>1534</v>
      </c>
      <c r="M119" s="1400" t="s">
        <v>1749</v>
      </c>
      <c r="N119" s="1399" t="s">
        <v>2362</v>
      </c>
    </row>
    <row r="120" spans="1:14" x14ac:dyDescent="0.2">
      <c r="A120" s="1402" t="s">
        <v>2374</v>
      </c>
      <c r="B120" s="2482">
        <v>0.26</v>
      </c>
      <c r="C120" s="1418"/>
      <c r="D120" s="1400"/>
      <c r="E120" s="1399"/>
      <c r="F120" s="2482">
        <v>0.26</v>
      </c>
      <c r="G120" s="1418"/>
      <c r="H120" s="1400"/>
      <c r="I120" s="1399"/>
      <c r="J120" s="2058"/>
      <c r="K120" s="2482">
        <v>0.26</v>
      </c>
      <c r="L120" s="1418"/>
      <c r="M120" s="1400"/>
      <c r="N120" s="1399"/>
    </row>
    <row r="121" spans="1:14" x14ac:dyDescent="0.2">
      <c r="A121" s="1402" t="s">
        <v>2375</v>
      </c>
      <c r="B121" s="2482">
        <v>0.34</v>
      </c>
      <c r="C121" s="1418"/>
      <c r="D121" s="1400"/>
      <c r="E121" s="1399"/>
      <c r="F121" s="2482">
        <v>0.34</v>
      </c>
      <c r="G121" s="1418"/>
      <c r="H121" s="1400"/>
      <c r="I121" s="1399"/>
      <c r="J121" s="2058"/>
      <c r="K121" s="2482">
        <v>0.34</v>
      </c>
      <c r="L121" s="1418"/>
      <c r="M121" s="1400"/>
      <c r="N121" s="1399"/>
    </row>
    <row r="122" spans="1:14" x14ac:dyDescent="0.2">
      <c r="A122" s="1402" t="s">
        <v>2376</v>
      </c>
      <c r="B122" s="2484">
        <f>0.8/3</f>
        <v>0.26666666666666666</v>
      </c>
      <c r="C122" s="1440"/>
      <c r="D122" s="1400"/>
      <c r="E122" s="1399"/>
      <c r="F122" s="2483">
        <f>0.8/3</f>
        <v>0.26666666666666666</v>
      </c>
      <c r="G122" s="1418"/>
      <c r="H122" s="1400"/>
      <c r="I122" s="1399"/>
      <c r="J122" s="2058"/>
      <c r="K122" s="2483">
        <f>0.8/3</f>
        <v>0.26666666666666666</v>
      </c>
      <c r="L122" s="1418"/>
      <c r="M122" s="1400"/>
      <c r="N122" s="1399"/>
    </row>
    <row r="123" spans="1:14" x14ac:dyDescent="0.2">
      <c r="A123" s="1402" t="s">
        <v>2377</v>
      </c>
      <c r="B123" s="2484">
        <v>0</v>
      </c>
      <c r="C123" s="1440"/>
      <c r="D123" s="1400"/>
      <c r="E123" s="1399"/>
      <c r="F123" s="2483">
        <v>0</v>
      </c>
      <c r="G123" s="1418"/>
      <c r="H123" s="1400"/>
      <c r="I123" s="1399"/>
      <c r="J123" s="2058"/>
      <c r="K123" s="2483">
        <v>0</v>
      </c>
      <c r="L123" s="1418"/>
      <c r="M123" s="1400"/>
      <c r="N123" s="1399"/>
    </row>
    <row r="124" spans="1:14" x14ac:dyDescent="0.2">
      <c r="A124" s="1402" t="s">
        <v>919</v>
      </c>
      <c r="B124" s="1425">
        <f>44/28</f>
        <v>1.5714285714285714</v>
      </c>
      <c r="C124" s="1403" t="s">
        <v>886</v>
      </c>
      <c r="D124" s="1400" t="s">
        <v>1749</v>
      </c>
      <c r="E124" s="1399" t="s">
        <v>2362</v>
      </c>
      <c r="F124" s="1425">
        <f>44/28</f>
        <v>1.5714285714285714</v>
      </c>
      <c r="G124" s="1403" t="s">
        <v>886</v>
      </c>
      <c r="H124" s="1400" t="s">
        <v>1749</v>
      </c>
      <c r="I124" s="1399" t="s">
        <v>2362</v>
      </c>
      <c r="J124" s="2058"/>
      <c r="K124" s="1425">
        <f>44/28</f>
        <v>1.5714285714285714</v>
      </c>
      <c r="L124" s="1403" t="s">
        <v>886</v>
      </c>
      <c r="M124" s="1400" t="s">
        <v>1749</v>
      </c>
      <c r="N124" s="1399" t="s">
        <v>2362</v>
      </c>
    </row>
    <row r="125" spans="1:14" x14ac:dyDescent="0.2">
      <c r="A125" s="1402" t="s">
        <v>910</v>
      </c>
      <c r="B125" s="1433">
        <f>1/1000</f>
        <v>1E-3</v>
      </c>
      <c r="C125" s="1398" t="s">
        <v>912</v>
      </c>
      <c r="D125" s="1400"/>
      <c r="E125" s="1399"/>
      <c r="F125" s="1433">
        <f>1/1000</f>
        <v>1E-3</v>
      </c>
      <c r="G125" s="1398" t="s">
        <v>912</v>
      </c>
      <c r="H125" s="1400"/>
      <c r="I125" s="1399"/>
      <c r="J125" s="2058"/>
      <c r="K125" s="1433">
        <f>1/1000</f>
        <v>1E-3</v>
      </c>
      <c r="L125" s="1398" t="s">
        <v>912</v>
      </c>
      <c r="M125" s="1400"/>
      <c r="N125" s="1399"/>
    </row>
    <row r="126" spans="1:14" x14ac:dyDescent="0.2">
      <c r="A126" s="1402" t="s">
        <v>911</v>
      </c>
      <c r="B126" s="1433">
        <v>365</v>
      </c>
      <c r="C126" s="1398" t="s">
        <v>913</v>
      </c>
      <c r="D126" s="1400"/>
      <c r="E126" s="1399"/>
      <c r="F126" s="1433">
        <v>365</v>
      </c>
      <c r="G126" s="1398" t="s">
        <v>913</v>
      </c>
      <c r="H126" s="1400"/>
      <c r="I126" s="1399"/>
      <c r="J126" s="2058"/>
      <c r="K126" s="1433">
        <v>365</v>
      </c>
      <c r="L126" s="1398" t="s">
        <v>913</v>
      </c>
      <c r="M126" s="1400"/>
      <c r="N126" s="1399"/>
    </row>
    <row r="127" spans="1:14" x14ac:dyDescent="0.2">
      <c r="A127" s="1409" t="s">
        <v>152</v>
      </c>
      <c r="B127" s="1425"/>
      <c r="C127" s="1398"/>
      <c r="D127" s="1398"/>
      <c r="E127" s="1399"/>
      <c r="J127" s="2058"/>
      <c r="N127" s="1399"/>
    </row>
    <row r="128" spans="1:14" x14ac:dyDescent="0.2">
      <c r="A128" s="1405" t="s">
        <v>922</v>
      </c>
      <c r="B128" s="1443"/>
      <c r="C128" s="1444"/>
      <c r="D128" s="1398"/>
      <c r="E128" s="1399"/>
      <c r="F128" s="1443"/>
      <c r="G128" s="1444"/>
      <c r="J128" s="2058"/>
      <c r="K128" s="1443"/>
      <c r="L128" s="1444"/>
    </row>
    <row r="129" spans="1:14" ht="13.5" x14ac:dyDescent="0.2">
      <c r="A129" s="1402" t="s">
        <v>863</v>
      </c>
      <c r="B129" s="1445">
        <f t="shared" ref="B129:B136" si="3">B6*B44*$B$125*B74*$B$126*$B$118*$B$124</f>
        <v>5820.9613392857145</v>
      </c>
      <c r="C129" s="1444" t="s">
        <v>2208</v>
      </c>
      <c r="D129" s="1398"/>
      <c r="E129" s="1399"/>
      <c r="F129" s="1445">
        <f t="shared" ref="F129:F136" si="4">F6*F44*$F$125*F74*$F$126*$F$118*$F$124</f>
        <v>7661.265267857144</v>
      </c>
      <c r="G129" s="1444" t="s">
        <v>2208</v>
      </c>
      <c r="J129" s="2058"/>
      <c r="K129" s="1445">
        <f>K6*K44*$K$125*K74*$K$118*$K$124</f>
        <v>4946.2669221428578</v>
      </c>
      <c r="L129" s="1444" t="s">
        <v>2208</v>
      </c>
    </row>
    <row r="130" spans="1:14" ht="13.5" x14ac:dyDescent="0.2">
      <c r="A130" s="1405" t="s">
        <v>862</v>
      </c>
      <c r="B130" s="1445">
        <f t="shared" si="3"/>
        <v>1198.5194854285714</v>
      </c>
      <c r="C130" s="1444" t="s">
        <v>2208</v>
      </c>
      <c r="D130" s="1398"/>
      <c r="E130" s="1399"/>
      <c r="F130" s="1445">
        <f t="shared" si="4"/>
        <v>1517.8220251071427</v>
      </c>
      <c r="G130" s="1444" t="s">
        <v>2208</v>
      </c>
      <c r="J130" s="2058"/>
      <c r="K130" s="1445">
        <f>K7*K45*$K$125*K75*$K$118*$K$124</f>
        <v>833.88990142857131</v>
      </c>
      <c r="L130" s="1444" t="s">
        <v>2208</v>
      </c>
    </row>
    <row r="131" spans="1:14" ht="13.5" x14ac:dyDescent="0.2">
      <c r="A131" s="1402" t="s">
        <v>861</v>
      </c>
      <c r="B131" s="1445">
        <f t="shared" si="3"/>
        <v>8706.1732622857144</v>
      </c>
      <c r="C131" s="1444" t="s">
        <v>2208</v>
      </c>
      <c r="D131" s="1398"/>
      <c r="E131" s="1399"/>
      <c r="F131" s="1445">
        <f t="shared" si="4"/>
        <v>7640.6711857142864</v>
      </c>
      <c r="G131" s="1444" t="s">
        <v>2208</v>
      </c>
      <c r="J131" s="2058"/>
      <c r="K131" s="1445">
        <f>K8*K46*$K$125*K76*$K$118*$K$124</f>
        <v>6879.8902857142857</v>
      </c>
      <c r="L131" s="1444" t="s">
        <v>2208</v>
      </c>
    </row>
    <row r="132" spans="1:14" ht="13.5" x14ac:dyDescent="0.2">
      <c r="A132" s="1399" t="s">
        <v>864</v>
      </c>
      <c r="B132" s="1445">
        <f t="shared" si="3"/>
        <v>2023.6890535714285</v>
      </c>
      <c r="C132" s="1444" t="s">
        <v>2208</v>
      </c>
      <c r="D132" s="1398"/>
      <c r="E132" s="1399"/>
      <c r="F132" s="1445">
        <f t="shared" si="4"/>
        <v>2687.2825178571429</v>
      </c>
      <c r="G132" s="1444" t="s">
        <v>2208</v>
      </c>
      <c r="J132" s="2058"/>
      <c r="K132" s="1445">
        <f>K9*K47*$K$125*K77*$K$126*$K$118*$K$124</f>
        <v>1846.1113392857144</v>
      </c>
      <c r="L132" s="1444" t="s">
        <v>2208</v>
      </c>
    </row>
    <row r="133" spans="1:14" ht="13.5" x14ac:dyDescent="0.2">
      <c r="A133" s="1402" t="s">
        <v>865</v>
      </c>
      <c r="B133" s="1445">
        <f t="shared" si="3"/>
        <v>171.52079999999998</v>
      </c>
      <c r="C133" s="1444" t="s">
        <v>2208</v>
      </c>
      <c r="D133" s="1398"/>
      <c r="E133" s="1399"/>
      <c r="F133" s="1445">
        <f t="shared" si="4"/>
        <v>168.72636000000003</v>
      </c>
      <c r="G133" s="1444" t="s">
        <v>2208</v>
      </c>
      <c r="J133" s="2058"/>
      <c r="K133" s="1445">
        <f>K10*K48*$K$125*K78*$K$126*$K$118*$K$124</f>
        <v>162.19452857142858</v>
      </c>
      <c r="L133" s="1444" t="s">
        <v>2208</v>
      </c>
    </row>
    <row r="134" spans="1:14" ht="13.5" x14ac:dyDescent="0.2">
      <c r="A134" s="1402" t="s">
        <v>866</v>
      </c>
      <c r="B134" s="1445">
        <f t="shared" si="3"/>
        <v>45.785454000000001</v>
      </c>
      <c r="C134" s="1444" t="s">
        <v>2208</v>
      </c>
      <c r="D134" s="1398"/>
      <c r="E134" s="1399"/>
      <c r="F134" s="1445">
        <f t="shared" si="4"/>
        <v>65.360988000000006</v>
      </c>
      <c r="G134" s="1444" t="s">
        <v>2208</v>
      </c>
      <c r="J134" s="2058"/>
      <c r="K134" s="1445">
        <f>K11*K49*$K$125*K79*$K$126*$K$118*$K$124</f>
        <v>69.292476000000008</v>
      </c>
      <c r="L134" s="1444" t="s">
        <v>2208</v>
      </c>
    </row>
    <row r="135" spans="1:14" ht="13.5" x14ac:dyDescent="0.2">
      <c r="A135" s="1402" t="s">
        <v>867</v>
      </c>
      <c r="B135" s="1445">
        <f t="shared" si="3"/>
        <v>13.628057142857145</v>
      </c>
      <c r="C135" s="1444" t="s">
        <v>2208</v>
      </c>
      <c r="D135" s="1398"/>
      <c r="E135" s="1399"/>
      <c r="F135" s="1445">
        <f t="shared" si="4"/>
        <v>23.86974857142857</v>
      </c>
      <c r="G135" s="1444" t="s">
        <v>2208</v>
      </c>
      <c r="J135" s="2058"/>
      <c r="K135" s="1445">
        <f>K12*K50*$K$125*K80*$K$126*$K$118*$K$124</f>
        <v>98.534982857142865</v>
      </c>
      <c r="L135" s="1444" t="s">
        <v>2208</v>
      </c>
    </row>
    <row r="136" spans="1:14" ht="13.5" x14ac:dyDescent="0.2">
      <c r="A136" s="1402" t="s">
        <v>868</v>
      </c>
      <c r="B136" s="1445">
        <f t="shared" si="3"/>
        <v>7.6709442857142847</v>
      </c>
      <c r="C136" s="1444" t="s">
        <v>2208</v>
      </c>
      <c r="D136" s="1400"/>
      <c r="E136" s="1399"/>
      <c r="F136" s="1445">
        <f t="shared" si="4"/>
        <v>10.062433813960697</v>
      </c>
      <c r="G136" s="1444" t="s">
        <v>2208</v>
      </c>
      <c r="J136" s="2058"/>
      <c r="K136" s="1445">
        <f>K13*K51*$K$125*K81*$K$126*$K$118*$K$124</f>
        <v>19.468653061224487</v>
      </c>
      <c r="L136" s="1444" t="s">
        <v>2208</v>
      </c>
    </row>
    <row r="137" spans="1:14" ht="13.5" x14ac:dyDescent="0.2">
      <c r="A137" s="1402" t="s">
        <v>889</v>
      </c>
      <c r="B137" s="1445">
        <f>B14*B52*$B$125*B82*$B$126*$B$119*$B$124</f>
        <v>5.1008682214285725</v>
      </c>
      <c r="C137" s="1444" t="s">
        <v>2208</v>
      </c>
      <c r="D137" s="1400"/>
      <c r="E137" s="1399"/>
      <c r="F137" s="1445">
        <f>F14*F52*$F$125*F82*$F$126*$F$119*$F$124</f>
        <v>7.2961210928571436</v>
      </c>
      <c r="G137" s="1444" t="s">
        <v>2208</v>
      </c>
      <c r="J137" s="2058"/>
      <c r="K137" s="1445">
        <f>K14*K52*$K$125*K82*$K$126*$K$119*$K$124</f>
        <v>7.0419887999999995</v>
      </c>
      <c r="L137" s="1444" t="s">
        <v>2208</v>
      </c>
    </row>
    <row r="138" spans="1:14" ht="13.5" x14ac:dyDescent="0.2">
      <c r="A138" s="1402" t="s">
        <v>923</v>
      </c>
      <c r="B138" s="1417">
        <f>SUM(B129:B137)</f>
        <v>17993.049264221427</v>
      </c>
      <c r="C138" s="1446" t="s">
        <v>2209</v>
      </c>
      <c r="D138" s="1400"/>
      <c r="E138" s="1399"/>
      <c r="F138" s="1417">
        <f>SUM(F129:F137)</f>
        <v>19782.356648013967</v>
      </c>
      <c r="G138" s="1446" t="s">
        <v>2209</v>
      </c>
      <c r="J138" s="2058"/>
      <c r="K138" s="1417">
        <f>SUM(K129:K137)</f>
        <v>14862.691077861227</v>
      </c>
      <c r="L138" s="1446" t="s">
        <v>2209</v>
      </c>
    </row>
    <row r="139" spans="1:14" ht="13.5" x14ac:dyDescent="0.2">
      <c r="A139" s="1402" t="s">
        <v>924</v>
      </c>
      <c r="B139" s="1417">
        <f>B138/1000</f>
        <v>17.993049264221426</v>
      </c>
      <c r="C139" s="1418" t="s">
        <v>2210</v>
      </c>
      <c r="D139" s="1400"/>
      <c r="E139" s="1399"/>
      <c r="F139" s="1417">
        <f>F138/1000</f>
        <v>19.782356648013966</v>
      </c>
      <c r="G139" s="1418" t="s">
        <v>2210</v>
      </c>
      <c r="J139" s="2058"/>
      <c r="K139" s="1417">
        <f>K138/1000</f>
        <v>14.862691077861227</v>
      </c>
      <c r="L139" s="1418" t="s">
        <v>2210</v>
      </c>
    </row>
    <row r="140" spans="1:14" s="1422" customFormat="1" x14ac:dyDescent="0.2">
      <c r="A140" s="1402"/>
      <c r="B140" s="1421"/>
      <c r="C140" s="1398"/>
      <c r="D140" s="1398"/>
      <c r="E140" s="1399"/>
      <c r="F140" s="1421"/>
      <c r="G140" s="1398"/>
      <c r="H140" s="1400"/>
      <c r="I140" s="1402"/>
      <c r="J140" s="2056"/>
      <c r="K140" s="1421"/>
      <c r="L140" s="1398"/>
      <c r="M140" s="1400"/>
      <c r="N140" s="1402"/>
    </row>
    <row r="141" spans="1:14" ht="13.5" x14ac:dyDescent="0.2">
      <c r="A141" s="1401" t="s">
        <v>887</v>
      </c>
      <c r="B141" s="1526">
        <f>B112*GWPCH4+B139*GWPN2O</f>
        <v>73247.18115339923</v>
      </c>
      <c r="C141" s="1447" t="s">
        <v>2207</v>
      </c>
      <c r="F141" s="1526">
        <f>F112*GWPCH4+F139*GWPN2O</f>
        <v>74136.649932419386</v>
      </c>
      <c r="G141" s="1447" t="s">
        <v>2207</v>
      </c>
      <c r="J141" s="2058"/>
      <c r="K141" s="1526">
        <f>K112*GWPCH4+K139*GWPN2O</f>
        <v>49999.158620949129</v>
      </c>
      <c r="L141" s="1447" t="s">
        <v>2207</v>
      </c>
      <c r="N141" s="1399"/>
    </row>
    <row r="142" spans="1:14" x14ac:dyDescent="0.2">
      <c r="A142" s="1401"/>
      <c r="B142" s="1420"/>
      <c r="C142" s="2472"/>
      <c r="D142" s="1398"/>
      <c r="E142" s="1399"/>
      <c r="F142" s="1420"/>
      <c r="G142" s="1447"/>
      <c r="J142" s="2058"/>
      <c r="K142" s="1526"/>
      <c r="L142" s="1447"/>
      <c r="N142" s="1399"/>
    </row>
    <row r="143" spans="1:14" s="2410" customFormat="1" x14ac:dyDescent="0.2">
      <c r="A143" s="1428" t="s">
        <v>2381</v>
      </c>
      <c r="B143" s="2474"/>
      <c r="C143" s="2475"/>
      <c r="D143" s="2404"/>
      <c r="E143" s="2405"/>
      <c r="F143" s="2474"/>
      <c r="G143" s="2475"/>
      <c r="H143" s="2409"/>
      <c r="I143" s="2405"/>
      <c r="J143" s="2407"/>
      <c r="K143" s="2474"/>
      <c r="L143" s="2475"/>
      <c r="M143" s="2409"/>
      <c r="N143" s="2405"/>
    </row>
    <row r="144" spans="1:14" ht="13.5" x14ac:dyDescent="0.2">
      <c r="A144" s="1402" t="s">
        <v>863</v>
      </c>
      <c r="B144" s="1415">
        <f t="shared" ref="B144:B151" si="5">B129*B6*0.01*0.0075*$B$120*$B$122*$B$124/1000*GWPN2O</f>
        <v>128.72670155250157</v>
      </c>
      <c r="C144" s="1438" t="s">
        <v>2378</v>
      </c>
      <c r="D144" s="1398"/>
      <c r="E144" s="1399"/>
      <c r="F144" s="1415">
        <f t="shared" ref="F144:F151" si="6">F129*F6*0.01*0.0075*$F$120*$F$122*$F$124/1000*GWPN2O</f>
        <v>222.98734219051383</v>
      </c>
      <c r="G144" s="1438" t="s">
        <v>2378</v>
      </c>
      <c r="J144" s="2476">
        <f t="shared" ref="J144:J151" si="7">K129*K6*0.01*0.0075*$K$120*$K$122*$K$124/1000*GWPN2O</f>
        <v>137.5624863416395</v>
      </c>
      <c r="K144" s="2477" t="s">
        <v>2378</v>
      </c>
      <c r="L144" s="1447"/>
      <c r="N144" s="1399"/>
    </row>
    <row r="145" spans="1:14" ht="13.5" x14ac:dyDescent="0.2">
      <c r="A145" s="1399" t="s">
        <v>862</v>
      </c>
      <c r="B145" s="1415">
        <f t="shared" si="5"/>
        <v>7.2135860710159667</v>
      </c>
      <c r="C145" s="1438" t="s">
        <v>2378</v>
      </c>
      <c r="D145" s="1398"/>
      <c r="E145" s="1399"/>
      <c r="F145" s="1415">
        <f t="shared" si="6"/>
        <v>11.569183804134623</v>
      </c>
      <c r="G145" s="1438" t="s">
        <v>2378</v>
      </c>
      <c r="J145" s="2476">
        <f t="shared" si="7"/>
        <v>6.8588402174615357</v>
      </c>
      <c r="K145" s="2477" t="s">
        <v>2378</v>
      </c>
      <c r="L145" s="1447"/>
      <c r="N145" s="1399"/>
    </row>
    <row r="146" spans="1:14" ht="13.5" x14ac:dyDescent="0.2">
      <c r="A146" s="1402" t="s">
        <v>861</v>
      </c>
      <c r="B146" s="1415">
        <f t="shared" si="5"/>
        <v>251.92262053552727</v>
      </c>
      <c r="C146" s="1438" t="s">
        <v>2378</v>
      </c>
      <c r="D146" s="1398"/>
      <c r="E146" s="1399"/>
      <c r="F146" s="1415">
        <f t="shared" si="6"/>
        <v>194.03298916964062</v>
      </c>
      <c r="G146" s="1438" t="s">
        <v>2378</v>
      </c>
      <c r="J146" s="2476">
        <f t="shared" si="7"/>
        <v>140.25849123835818</v>
      </c>
      <c r="K146" s="2477" t="s">
        <v>2378</v>
      </c>
      <c r="L146" s="1447"/>
      <c r="N146" s="1399"/>
    </row>
    <row r="147" spans="1:14" ht="13.5" x14ac:dyDescent="0.2">
      <c r="A147" s="1399" t="s">
        <v>864</v>
      </c>
      <c r="B147" s="1415">
        <f t="shared" si="5"/>
        <v>26.795135973610382</v>
      </c>
      <c r="C147" s="1438" t="s">
        <v>2378</v>
      </c>
      <c r="D147" s="1398"/>
      <c r="E147" s="1399"/>
      <c r="F147" s="1415">
        <f t="shared" si="6"/>
        <v>47.249264646244008</v>
      </c>
      <c r="G147" s="1438" t="s">
        <v>2378</v>
      </c>
      <c r="J147" s="2476">
        <f t="shared" si="7"/>
        <v>26.758725592388878</v>
      </c>
      <c r="K147" s="2477" t="s">
        <v>2378</v>
      </c>
      <c r="L147" s="1447"/>
      <c r="N147" s="1399"/>
    </row>
    <row r="148" spans="1:14" ht="13.5" x14ac:dyDescent="0.2">
      <c r="A148" s="1402" t="s">
        <v>865</v>
      </c>
      <c r="B148" s="1415">
        <f t="shared" si="5"/>
        <v>0.77338630708114287</v>
      </c>
      <c r="C148" s="1438" t="s">
        <v>2378</v>
      </c>
      <c r="D148" s="1398"/>
      <c r="E148" s="1399"/>
      <c r="F148" s="1415">
        <f t="shared" si="6"/>
        <v>0.74839136185364585</v>
      </c>
      <c r="G148" s="1438" t="s">
        <v>2378</v>
      </c>
      <c r="J148" s="2476">
        <f t="shared" si="7"/>
        <v>0.64546406299535519</v>
      </c>
      <c r="K148" s="2477" t="s">
        <v>2378</v>
      </c>
      <c r="L148" s="1447"/>
      <c r="N148" s="1399"/>
    </row>
    <row r="149" spans="1:14" ht="13.5" x14ac:dyDescent="0.2">
      <c r="A149" s="1402" t="s">
        <v>866</v>
      </c>
      <c r="B149" s="1415">
        <f t="shared" si="5"/>
        <v>6.4833432530478866E-2</v>
      </c>
      <c r="C149" s="1438" t="s">
        <v>2378</v>
      </c>
      <c r="D149" s="1398"/>
      <c r="E149" s="1399"/>
      <c r="F149" s="1415">
        <f t="shared" si="6"/>
        <v>0.13212383847062403</v>
      </c>
      <c r="G149" s="1438" t="s">
        <v>2378</v>
      </c>
      <c r="J149" s="2476">
        <f t="shared" si="7"/>
        <v>0.11549725333660804</v>
      </c>
      <c r="K149" s="2477" t="s">
        <v>2378</v>
      </c>
      <c r="L149" s="1447"/>
      <c r="N149" s="1399"/>
    </row>
    <row r="150" spans="1:14" ht="13.5" x14ac:dyDescent="0.2">
      <c r="A150" s="1402" t="s">
        <v>867</v>
      </c>
      <c r="B150" s="1415">
        <f t="shared" si="5"/>
        <v>5.6960995753469398E-3</v>
      </c>
      <c r="C150" s="1438" t="s">
        <v>2378</v>
      </c>
      <c r="D150" s="1398"/>
      <c r="E150" s="1399"/>
      <c r="F150" s="1415">
        <f t="shared" si="6"/>
        <v>1.7474524614602447E-2</v>
      </c>
      <c r="G150" s="1438" t="s">
        <v>2378</v>
      </c>
      <c r="J150" s="2476">
        <f t="shared" si="7"/>
        <v>0.29777660328789546</v>
      </c>
      <c r="K150" s="2477" t="s">
        <v>2378</v>
      </c>
      <c r="L150" s="1447"/>
      <c r="N150" s="1399"/>
    </row>
    <row r="151" spans="1:14" ht="13.5" x14ac:dyDescent="0.2">
      <c r="A151" s="1402" t="s">
        <v>868</v>
      </c>
      <c r="B151" s="1415">
        <f t="shared" si="5"/>
        <v>5.7750708438396733E-2</v>
      </c>
      <c r="C151" s="1438" t="s">
        <v>2378</v>
      </c>
      <c r="D151" s="1398"/>
      <c r="E151" s="1399"/>
      <c r="F151" s="1415">
        <f t="shared" si="6"/>
        <v>9.9372389471943656E-2</v>
      </c>
      <c r="G151" s="1438" t="s">
        <v>2378</v>
      </c>
      <c r="J151" s="2476">
        <f t="shared" si="7"/>
        <v>0.37199017634918768</v>
      </c>
      <c r="K151" s="2477" t="s">
        <v>2378</v>
      </c>
      <c r="L151" s="1447"/>
      <c r="N151" s="1399"/>
    </row>
    <row r="152" spans="1:14" ht="13.5" x14ac:dyDescent="0.2">
      <c r="A152" s="1402" t="s">
        <v>889</v>
      </c>
      <c r="B152" s="1415">
        <f>B137*B14*0.01*0.0075*$B$121*$B$122*$B$125/1000*GWPN2O</f>
        <v>9.6590877183359784E-5</v>
      </c>
      <c r="C152" s="1438" t="s">
        <v>2378</v>
      </c>
      <c r="D152" s="1398"/>
      <c r="E152" s="1399"/>
      <c r="F152" s="1415">
        <f>F137*F14*0.01*0.0075*$F$121*$F$122*$F$125/1000*GWPN2O</f>
        <v>1.9762048871583199E-4</v>
      </c>
      <c r="G152" s="1438" t="s">
        <v>2378</v>
      </c>
      <c r="J152" s="2476">
        <f>K137*K14*0.01*0.0075*$K$121*$K$122*$K$125/1000*GWPN2O</f>
        <v>2.1094052106758406E-4</v>
      </c>
      <c r="K152" s="2477" t="s">
        <v>2378</v>
      </c>
      <c r="L152" s="1447"/>
      <c r="N152" s="1399"/>
    </row>
    <row r="153" spans="1:14" ht="13.5" x14ac:dyDescent="0.2">
      <c r="A153" s="1402" t="s">
        <v>923</v>
      </c>
      <c r="B153">
        <f>SUM(B144:B152)</f>
        <v>415.55980727115769</v>
      </c>
      <c r="C153" s="1438" t="s">
        <v>2378</v>
      </c>
      <c r="D153" s="1398"/>
      <c r="E153" s="1399"/>
      <c r="F153" s="1420">
        <f>SUM(F144:F152)</f>
        <v>476.83633954543268</v>
      </c>
      <c r="G153" s="1438" t="s">
        <v>2378</v>
      </c>
      <c r="J153" s="2478">
        <f>SUM(J144:J152)</f>
        <v>312.86948242633827</v>
      </c>
      <c r="K153" s="2477" t="s">
        <v>2378</v>
      </c>
      <c r="L153" s="1447"/>
      <c r="N153" s="1399"/>
    </row>
    <row r="154" spans="1:14" ht="13.5" x14ac:dyDescent="0.2">
      <c r="A154" s="1402" t="s">
        <v>924</v>
      </c>
      <c r="B154" s="2473">
        <f>B153/1000</f>
        <v>0.41555980727115771</v>
      </c>
      <c r="C154" s="2495" t="s">
        <v>2379</v>
      </c>
      <c r="D154" s="1398"/>
      <c r="E154" s="1399"/>
      <c r="F154" s="2473">
        <f>F153/1000</f>
        <v>0.4768363395454327</v>
      </c>
      <c r="G154" s="2495" t="s">
        <v>2379</v>
      </c>
      <c r="J154" s="2479">
        <f>J153/1000</f>
        <v>0.31286948242633827</v>
      </c>
      <c r="K154" s="2480" t="s">
        <v>2379</v>
      </c>
      <c r="L154" s="1447"/>
      <c r="N154" s="1399"/>
    </row>
    <row r="155" spans="1:14" x14ac:dyDescent="0.2">
      <c r="A155" s="1401"/>
      <c r="B155" s="1420"/>
      <c r="C155" s="2472"/>
      <c r="D155" s="1398"/>
      <c r="E155" s="1399"/>
      <c r="F155" s="1420"/>
      <c r="G155" s="1447"/>
      <c r="J155" s="2478"/>
      <c r="K155" s="2481"/>
      <c r="L155" s="1447"/>
      <c r="N155" s="1399"/>
    </row>
    <row r="156" spans="1:14" ht="13.5" x14ac:dyDescent="0.2">
      <c r="A156" s="1401"/>
      <c r="B156" s="1526">
        <f>B127*GWPCH4+B154*GWPN2O</f>
        <v>128.82354025405888</v>
      </c>
      <c r="C156" s="2472" t="s">
        <v>2380</v>
      </c>
      <c r="D156" s="1398"/>
      <c r="E156" s="1399"/>
      <c r="F156" s="1526">
        <f>F127*GWPCH4+F154*GWPN2O</f>
        <v>147.81926525908415</v>
      </c>
      <c r="G156" s="1447" t="s">
        <v>2380</v>
      </c>
      <c r="J156" s="1526">
        <f>J127*GWPCH4+J154*GWPN2O</f>
        <v>96.989539552164871</v>
      </c>
      <c r="K156" s="2481" t="s">
        <v>2380</v>
      </c>
      <c r="L156" s="1447"/>
      <c r="N156" s="1399"/>
    </row>
    <row r="157" spans="1:14" x14ac:dyDescent="0.2">
      <c r="J157" s="2058"/>
      <c r="N157" s="1399"/>
    </row>
    <row r="158" spans="1:14" s="2413" customFormat="1" x14ac:dyDescent="0.2">
      <c r="A158" s="1448" t="s">
        <v>883</v>
      </c>
      <c r="B158" s="2411"/>
      <c r="C158" s="2412"/>
      <c r="D158" s="2397"/>
      <c r="E158" s="2398"/>
      <c r="F158" s="2411"/>
      <c r="G158" s="2412"/>
      <c r="H158" s="2412"/>
      <c r="I158" s="2398"/>
      <c r="J158" s="2400"/>
      <c r="K158" s="2411"/>
      <c r="L158" s="2412"/>
      <c r="M158" s="2412"/>
      <c r="N158" s="2398"/>
    </row>
    <row r="159" spans="1:14" x14ac:dyDescent="0.2">
      <c r="A159" s="1481" t="s">
        <v>119</v>
      </c>
      <c r="J159" s="2058"/>
      <c r="N159" s="1399"/>
    </row>
    <row r="160" spans="1:14" x14ac:dyDescent="0.2">
      <c r="A160" s="1405" t="s">
        <v>1097</v>
      </c>
      <c r="J160" s="2058"/>
      <c r="K160" s="1443"/>
      <c r="N160" s="1399"/>
    </row>
    <row r="161" spans="1:14" x14ac:dyDescent="0.2">
      <c r="A161" s="1405" t="s">
        <v>926</v>
      </c>
      <c r="B161" s="1445">
        <v>22312</v>
      </c>
      <c r="C161" s="1444" t="s">
        <v>925</v>
      </c>
      <c r="D161" s="1400" t="s">
        <v>2243</v>
      </c>
      <c r="E161" s="1399" t="s">
        <v>1095</v>
      </c>
      <c r="F161" s="1445">
        <v>17963</v>
      </c>
      <c r="G161" s="1444" t="s">
        <v>925</v>
      </c>
      <c r="H161" s="1400" t="s">
        <v>2243</v>
      </c>
      <c r="I161" s="1405" t="s">
        <v>1095</v>
      </c>
      <c r="J161" s="2055" t="s">
        <v>880</v>
      </c>
      <c r="K161" s="1445">
        <v>19654</v>
      </c>
      <c r="L161" s="1444" t="s">
        <v>925</v>
      </c>
      <c r="M161" s="1400" t="s">
        <v>1747</v>
      </c>
      <c r="N161" s="1399" t="s">
        <v>2382</v>
      </c>
    </row>
    <row r="162" spans="1:14" x14ac:dyDescent="0.2">
      <c r="A162" s="1405" t="s">
        <v>927</v>
      </c>
      <c r="B162" s="1449">
        <v>434164946</v>
      </c>
      <c r="C162" s="1438" t="s">
        <v>925</v>
      </c>
      <c r="D162" s="1439" t="s">
        <v>2244</v>
      </c>
      <c r="E162" s="1405" t="s">
        <v>1096</v>
      </c>
      <c r="F162" s="1449">
        <v>406424909</v>
      </c>
      <c r="G162" s="1438" t="s">
        <v>925</v>
      </c>
      <c r="H162" s="1439" t="s">
        <v>2244</v>
      </c>
      <c r="I162" s="1405" t="s">
        <v>1096</v>
      </c>
      <c r="J162" s="2056"/>
      <c r="K162" s="1445">
        <v>389690414</v>
      </c>
      <c r="L162" s="1438" t="s">
        <v>925</v>
      </c>
      <c r="M162" s="1429" t="s">
        <v>1748</v>
      </c>
      <c r="N162" s="1399" t="s">
        <v>2354</v>
      </c>
    </row>
    <row r="163" spans="1:14" x14ac:dyDescent="0.2">
      <c r="A163" s="1450" t="s">
        <v>930</v>
      </c>
      <c r="B163" s="1451"/>
      <c r="E163" s="1452"/>
      <c r="F163" s="1451"/>
      <c r="H163" s="1439"/>
      <c r="I163" s="1452"/>
      <c r="J163" s="2056"/>
      <c r="K163" s="2386"/>
      <c r="M163" s="1398"/>
      <c r="N163" s="1768"/>
    </row>
    <row r="164" spans="1:14" ht="13.5" x14ac:dyDescent="0.2">
      <c r="A164" s="1405" t="s">
        <v>928</v>
      </c>
      <c r="B164" s="1453">
        <v>153.9</v>
      </c>
      <c r="C164" s="1438" t="s">
        <v>2355</v>
      </c>
      <c r="D164" s="1439" t="s">
        <v>2245</v>
      </c>
      <c r="E164" s="1405" t="s">
        <v>2352</v>
      </c>
      <c r="F164" s="1453">
        <v>153.9</v>
      </c>
      <c r="G164" s="1438" t="s">
        <v>2355</v>
      </c>
      <c r="H164" s="1439" t="s">
        <v>2245</v>
      </c>
      <c r="I164" s="1405" t="s">
        <v>2352</v>
      </c>
      <c r="J164" s="2056"/>
      <c r="K164" s="2387">
        <v>154.6</v>
      </c>
      <c r="L164" s="1438" t="s">
        <v>2355</v>
      </c>
      <c r="M164" s="1398" t="s">
        <v>1749</v>
      </c>
      <c r="N164" s="1399" t="s">
        <v>1750</v>
      </c>
    </row>
    <row r="165" spans="1:14" x14ac:dyDescent="0.2">
      <c r="A165" s="1450" t="s">
        <v>929</v>
      </c>
      <c r="B165" s="1451"/>
      <c r="E165" s="1452"/>
      <c r="F165" s="1451"/>
      <c r="H165" s="1439"/>
      <c r="I165" s="1452"/>
      <c r="J165" s="2056"/>
      <c r="K165" s="2386"/>
      <c r="M165" s="1398"/>
      <c r="N165" s="1768"/>
    </row>
    <row r="166" spans="1:14" ht="13.5" x14ac:dyDescent="0.2">
      <c r="A166" s="1405" t="s">
        <v>928</v>
      </c>
      <c r="B166" s="1453">
        <v>34.4</v>
      </c>
      <c r="C166" s="1438" t="s">
        <v>2355</v>
      </c>
      <c r="D166" s="1439" t="s">
        <v>2246</v>
      </c>
      <c r="E166" s="1405" t="s">
        <v>2353</v>
      </c>
      <c r="F166" s="1453">
        <v>34.4</v>
      </c>
      <c r="G166" s="1438" t="s">
        <v>2355</v>
      </c>
      <c r="H166" s="1439" t="s">
        <v>2246</v>
      </c>
      <c r="I166" s="1405" t="s">
        <v>2353</v>
      </c>
      <c r="J166" s="2056"/>
      <c r="K166" s="2387">
        <v>31.1</v>
      </c>
      <c r="L166" s="1438" t="s">
        <v>2355</v>
      </c>
      <c r="M166" s="1398" t="s">
        <v>1749</v>
      </c>
      <c r="N166" s="1399" t="s">
        <v>1751</v>
      </c>
    </row>
    <row r="167" spans="1:14" ht="13.5" x14ac:dyDescent="0.2">
      <c r="A167" s="1405" t="s">
        <v>931</v>
      </c>
      <c r="B167" s="1453">
        <v>13</v>
      </c>
      <c r="C167" s="1438" t="s">
        <v>2355</v>
      </c>
      <c r="D167" s="1439" t="s">
        <v>2246</v>
      </c>
      <c r="E167" s="1405" t="s">
        <v>2353</v>
      </c>
      <c r="F167" s="1453">
        <v>13</v>
      </c>
      <c r="G167" s="1438" t="s">
        <v>2355</v>
      </c>
      <c r="H167" s="1439" t="s">
        <v>2246</v>
      </c>
      <c r="I167" s="1405" t="s">
        <v>2353</v>
      </c>
      <c r="J167" s="2058"/>
      <c r="K167" s="2387">
        <v>12.7</v>
      </c>
      <c r="L167" s="1438" t="s">
        <v>2355</v>
      </c>
      <c r="M167" s="1398" t="s">
        <v>1749</v>
      </c>
      <c r="N167" s="1399" t="s">
        <v>1751</v>
      </c>
    </row>
    <row r="168" spans="1:14" ht="13.5" x14ac:dyDescent="0.2">
      <c r="A168" s="1405" t="s">
        <v>932</v>
      </c>
      <c r="B168" s="1453">
        <v>21.4</v>
      </c>
      <c r="C168" s="1438" t="s">
        <v>2355</v>
      </c>
      <c r="D168" s="1439" t="s">
        <v>2246</v>
      </c>
      <c r="E168" s="1405" t="s">
        <v>2353</v>
      </c>
      <c r="F168" s="1453">
        <v>21.4</v>
      </c>
      <c r="G168" s="1438" t="s">
        <v>2355</v>
      </c>
      <c r="H168" s="1439" t="s">
        <v>2246</v>
      </c>
      <c r="I168" s="1405" t="s">
        <v>2353</v>
      </c>
      <c r="J168" s="2058"/>
      <c r="K168" s="2387">
        <v>18.399999999999999</v>
      </c>
      <c r="L168" s="1438" t="s">
        <v>2355</v>
      </c>
      <c r="M168" s="1398" t="s">
        <v>1749</v>
      </c>
      <c r="N168" s="1399" t="s">
        <v>1751</v>
      </c>
    </row>
    <row r="169" spans="1:14" x14ac:dyDescent="0.2">
      <c r="A169" s="1409" t="s">
        <v>152</v>
      </c>
      <c r="J169" s="2058"/>
      <c r="K169" s="1443"/>
      <c r="M169" s="1444"/>
      <c r="N169" s="1399"/>
    </row>
    <row r="170" spans="1:14" x14ac:dyDescent="0.2">
      <c r="A170" s="1405" t="s">
        <v>1098</v>
      </c>
      <c r="B170" s="1454">
        <f>B161/B162</f>
        <v>5.1390606739586938E-5</v>
      </c>
      <c r="F170" s="1455">
        <f>F161/F162</f>
        <v>4.4197586324611811E-5</v>
      </c>
      <c r="J170" s="2058"/>
      <c r="K170" s="1454">
        <f>K161/K162</f>
        <v>5.0434907541759549E-5</v>
      </c>
      <c r="M170" s="1444"/>
      <c r="N170" s="1399"/>
    </row>
    <row r="171" spans="1:14" ht="13.5" x14ac:dyDescent="0.2">
      <c r="A171" s="1405" t="s">
        <v>1099</v>
      </c>
      <c r="B171" s="1456">
        <f>B170*B164</f>
        <v>7.9090143772224293E-3</v>
      </c>
      <c r="C171" s="1438" t="s">
        <v>2355</v>
      </c>
      <c r="F171" s="1456">
        <f>F170*F164</f>
        <v>6.8020085353577581E-3</v>
      </c>
      <c r="G171" s="1438" t="s">
        <v>2355</v>
      </c>
      <c r="J171" s="2058"/>
      <c r="K171" s="1456">
        <f>K170*K164</f>
        <v>7.7972367059560262E-3</v>
      </c>
      <c r="L171" s="1438" t="s">
        <v>2355</v>
      </c>
      <c r="M171" s="1444"/>
    </row>
    <row r="172" spans="1:14" ht="13.5" x14ac:dyDescent="0.2">
      <c r="A172" s="1405" t="s">
        <v>1100</v>
      </c>
      <c r="B172" s="1456">
        <f>B170*B166</f>
        <v>1.7678368718417907E-3</v>
      </c>
      <c r="C172" s="1438" t="s">
        <v>2355</v>
      </c>
      <c r="F172" s="1456">
        <f>F170*F166</f>
        <v>1.5203969695666462E-3</v>
      </c>
      <c r="G172" s="1438" t="s">
        <v>2355</v>
      </c>
      <c r="J172" s="2058"/>
      <c r="K172" s="1456">
        <f>K170*K166</f>
        <v>1.5685256245487221E-3</v>
      </c>
      <c r="L172" s="1438" t="s">
        <v>2355</v>
      </c>
    </row>
    <row r="173" spans="1:14" ht="13.5" x14ac:dyDescent="0.2">
      <c r="A173" s="1405" t="s">
        <v>1101</v>
      </c>
      <c r="B173" s="1456">
        <f>SUM(B171:B172)</f>
        <v>9.6768512490642208E-3</v>
      </c>
      <c r="C173" s="1438" t="s">
        <v>2355</v>
      </c>
      <c r="F173" s="1456">
        <f>SUM(F171:F172)</f>
        <v>8.3224055049244041E-3</v>
      </c>
      <c r="G173" s="1438" t="s">
        <v>2355</v>
      </c>
      <c r="J173" s="2058"/>
      <c r="K173" s="1456">
        <f>SUM(K171:K172)</f>
        <v>9.3657623305047483E-3</v>
      </c>
      <c r="L173" s="1438" t="s">
        <v>2355</v>
      </c>
    </row>
    <row r="174" spans="1:14" ht="13.5" x14ac:dyDescent="0.2">
      <c r="A174" s="1399" t="s">
        <v>1102</v>
      </c>
      <c r="B174" s="1526">
        <f>B173*1000000</f>
        <v>9676.8512490642206</v>
      </c>
      <c r="C174" s="1447" t="s">
        <v>2207</v>
      </c>
      <c r="F174" s="1526">
        <f>F173*1000000</f>
        <v>8322.4055049244034</v>
      </c>
      <c r="G174" s="1447" t="s">
        <v>2207</v>
      </c>
      <c r="J174" s="2058"/>
      <c r="K174" s="1526">
        <f>K173*1000000</f>
        <v>9365.7623305047491</v>
      </c>
      <c r="L174" s="1447" t="s">
        <v>2207</v>
      </c>
    </row>
    <row r="175" spans="1:14" x14ac:dyDescent="0.2">
      <c r="J175" s="2058"/>
    </row>
    <row r="176" spans="1:14" x14ac:dyDescent="0.2">
      <c r="J176" s="2058"/>
    </row>
    <row r="177" spans="1:14" ht="13.5" x14ac:dyDescent="0.2">
      <c r="A177" s="1503" t="s">
        <v>21</v>
      </c>
      <c r="B177" s="1457">
        <f>SUM(B39,B141,B174,B156)</f>
        <v>135467.23684271751</v>
      </c>
      <c r="C177" s="1458" t="s">
        <v>2205</v>
      </c>
      <c r="D177" s="1459"/>
      <c r="E177" s="1460"/>
      <c r="F177" s="1457">
        <f>SUM(F39,F141,F174,F156)</f>
        <v>139221.59337505099</v>
      </c>
      <c r="G177" s="1458" t="s">
        <v>2205</v>
      </c>
      <c r="H177" s="1461"/>
      <c r="I177" s="1459"/>
      <c r="J177" s="1459"/>
      <c r="K177" s="1457">
        <f>SUM(K39,K141,K174,K156)</f>
        <v>118362.51295145387</v>
      </c>
      <c r="L177" s="1458" t="s">
        <v>2205</v>
      </c>
      <c r="M177" s="1461"/>
      <c r="N177" s="1460"/>
    </row>
    <row r="179" spans="1:14" x14ac:dyDescent="0.2">
      <c r="B179" s="1462"/>
      <c r="F179" s="1462"/>
      <c r="K179" s="1462"/>
    </row>
  </sheetData>
  <customSheetViews>
    <customSheetView guid="{9BEC6399-AE85-4D88-8FBA-3674E2F30307}" topLeftCell="A150">
      <selection activeCell="L169" sqref="A167:L169"/>
      <pageMargins left="0.7" right="0.7" top="0.75" bottom="0.75" header="0.3" footer="0.3"/>
      <pageSetup orientation="portrait" r:id="rId1"/>
    </customSheetView>
    <customSheetView guid="{0347A67A-6027-4907-965C-6EA2A8295536}">
      <selection activeCell="F26" sqref="F26"/>
      <pageMargins left="0.7" right="0.7" top="0.75" bottom="0.75" header="0.3" footer="0.3"/>
      <pageSetup orientation="portrait" r:id="rId2"/>
    </customSheetView>
    <customSheetView guid="{15CC7F3D-99AB-49C1-AC00-E04D3FE3FBC1}" topLeftCell="B1">
      <selection activeCell="A157" sqref="A157:XFD157"/>
      <pageMargins left="0.7" right="0.7" top="0.75" bottom="0.75" header="0.3" footer="0.3"/>
      <pageSetup orientation="portrait" r:id="rId3"/>
    </customSheetView>
  </customSheetViews>
  <mergeCells count="3">
    <mergeCell ref="B1:E1"/>
    <mergeCell ref="F1:I1"/>
    <mergeCell ref="K1:N1"/>
  </mergeCells>
  <pageMargins left="0.7" right="0.7" top="0.75" bottom="0.75" header="0.3" footer="0.3"/>
  <pageSetup orientation="portrait" r:id="rId4"/>
  <legacy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sheetPr>
  <dimension ref="A1:M77"/>
  <sheetViews>
    <sheetView workbookViewId="0">
      <selection activeCell="A35" sqref="A35"/>
    </sheetView>
  </sheetViews>
  <sheetFormatPr defaultColWidth="8.85546875" defaultRowHeight="12" x14ac:dyDescent="0.2"/>
  <cols>
    <col min="1" max="1" width="52.28515625" style="1" customWidth="1"/>
    <col min="2" max="2" width="14.5703125" style="5" customWidth="1"/>
    <col min="3" max="3" width="15.7109375" customWidth="1"/>
    <col min="4" max="4" width="9.5703125" style="344" bestFit="1" customWidth="1"/>
    <col min="5" max="5" width="9.42578125" style="327" customWidth="1"/>
    <col min="6" max="6" width="14.7109375" style="219" customWidth="1"/>
    <col min="7" max="7" width="14.5703125" customWidth="1"/>
    <col min="8" max="8" width="9.42578125" customWidth="1"/>
    <col min="9" max="9" width="15.85546875" style="327" customWidth="1"/>
    <col min="10" max="10" width="14.7109375" style="219" customWidth="1"/>
    <col min="11" max="11" width="14.5703125" customWidth="1"/>
    <col min="12" max="12" width="9.42578125" customWidth="1"/>
    <col min="13" max="13" width="9.42578125" style="327" customWidth="1"/>
  </cols>
  <sheetData>
    <row r="1" spans="1:13" x14ac:dyDescent="0.2">
      <c r="A1" s="114"/>
      <c r="B1" s="2561" t="s">
        <v>857</v>
      </c>
      <c r="C1" s="2562"/>
      <c r="D1" s="2562"/>
      <c r="E1" s="2565"/>
      <c r="F1" s="2543">
        <v>2008</v>
      </c>
      <c r="G1" s="2544"/>
      <c r="H1" s="2544"/>
      <c r="I1" s="2545"/>
      <c r="J1" s="2543">
        <v>2015</v>
      </c>
      <c r="K1" s="2544"/>
      <c r="L1" s="2544"/>
      <c r="M1" s="2545"/>
    </row>
    <row r="2" spans="1:13" x14ac:dyDescent="0.2">
      <c r="A2" s="114" t="s">
        <v>604</v>
      </c>
      <c r="B2" s="209" t="s">
        <v>602</v>
      </c>
      <c r="C2" s="1165" t="s">
        <v>601</v>
      </c>
      <c r="D2" s="1165" t="s">
        <v>603</v>
      </c>
      <c r="E2" s="1273" t="s">
        <v>420</v>
      </c>
      <c r="F2" s="209" t="s">
        <v>602</v>
      </c>
      <c r="G2" s="1165" t="s">
        <v>601</v>
      </c>
      <c r="H2" s="633" t="s">
        <v>603</v>
      </c>
      <c r="I2" s="666" t="s">
        <v>420</v>
      </c>
      <c r="J2" s="209" t="s">
        <v>602</v>
      </c>
      <c r="K2" s="1366" t="s">
        <v>601</v>
      </c>
      <c r="L2" s="633" t="s">
        <v>603</v>
      </c>
      <c r="M2" s="666" t="s">
        <v>420</v>
      </c>
    </row>
    <row r="3" spans="1:13" x14ac:dyDescent="0.2">
      <c r="A3" s="1467" t="s">
        <v>1252</v>
      </c>
      <c r="B3" s="1468"/>
      <c r="C3" s="1468"/>
      <c r="D3" s="1469"/>
      <c r="E3" s="1470"/>
      <c r="F3" s="1471"/>
      <c r="G3" s="1468"/>
      <c r="H3" s="1468"/>
      <c r="I3" s="1470"/>
      <c r="J3" s="1471"/>
      <c r="K3" s="1468"/>
      <c r="L3" s="1468"/>
      <c r="M3" s="1470"/>
    </row>
    <row r="4" spans="1:13" x14ac:dyDescent="0.2">
      <c r="A4" s="1483" t="s">
        <v>119</v>
      </c>
      <c r="B4" s="1286"/>
      <c r="C4" s="94"/>
      <c r="D4" s="343"/>
      <c r="E4" s="1299"/>
      <c r="F4" s="1294"/>
      <c r="G4" s="94"/>
      <c r="H4" s="338"/>
      <c r="I4" s="871"/>
      <c r="J4" s="1294"/>
      <c r="K4" s="94"/>
      <c r="L4" s="338"/>
      <c r="M4" s="871"/>
    </row>
    <row r="5" spans="1:13" x14ac:dyDescent="0.2">
      <c r="A5" s="177"/>
      <c r="B5" s="1287"/>
      <c r="C5" s="94"/>
      <c r="D5" s="343"/>
      <c r="E5" s="1299"/>
      <c r="F5" s="1295"/>
      <c r="G5" s="94"/>
      <c r="H5" s="338"/>
      <c r="I5" s="871"/>
      <c r="J5" s="1295"/>
      <c r="K5" s="94"/>
      <c r="L5" s="338"/>
      <c r="M5" s="871"/>
    </row>
    <row r="6" spans="1:13" x14ac:dyDescent="0.2">
      <c r="A6" s="614" t="s">
        <v>1253</v>
      </c>
      <c r="B6" s="1287"/>
      <c r="C6" s="94"/>
      <c r="D6" s="343"/>
      <c r="E6" s="1299"/>
      <c r="F6" s="1295"/>
      <c r="G6" s="94"/>
      <c r="H6" s="338"/>
      <c r="I6" s="871"/>
      <c r="J6" s="1295"/>
      <c r="K6" s="94"/>
      <c r="L6" s="338"/>
      <c r="M6" s="871"/>
    </row>
    <row r="7" spans="1:13" x14ac:dyDescent="0.2">
      <c r="A7" s="749" t="s">
        <v>1254</v>
      </c>
      <c r="B7" s="289">
        <v>6713</v>
      </c>
      <c r="C7" s="94"/>
      <c r="D7" s="343"/>
      <c r="E7" s="871"/>
      <c r="F7" s="289">
        <f>SUM(F8:F10)</f>
        <v>5564</v>
      </c>
      <c r="G7" s="94"/>
      <c r="H7" s="343"/>
      <c r="I7" s="871"/>
      <c r="J7" s="1472">
        <v>4290</v>
      </c>
      <c r="K7" s="94"/>
      <c r="L7" s="338"/>
      <c r="M7" s="871"/>
    </row>
    <row r="8" spans="1:13" x14ac:dyDescent="0.2">
      <c r="A8" s="1292" t="s">
        <v>1268</v>
      </c>
      <c r="B8" s="289">
        <v>6392</v>
      </c>
      <c r="C8" s="94"/>
      <c r="D8" s="338" t="s">
        <v>2071</v>
      </c>
      <c r="E8" s="871"/>
      <c r="F8" s="289">
        <v>4770</v>
      </c>
      <c r="G8" s="94"/>
      <c r="H8" s="338" t="s">
        <v>2071</v>
      </c>
      <c r="I8" s="871"/>
      <c r="J8" s="1472">
        <v>3689</v>
      </c>
      <c r="K8" s="94"/>
      <c r="L8" s="338" t="s">
        <v>2071</v>
      </c>
      <c r="M8" s="871"/>
    </row>
    <row r="9" spans="1:13" x14ac:dyDescent="0.2">
      <c r="A9" s="1292" t="s">
        <v>1270</v>
      </c>
      <c r="B9" s="289">
        <v>712</v>
      </c>
      <c r="C9" s="94"/>
      <c r="D9" s="338" t="s">
        <v>2071</v>
      </c>
      <c r="E9" s="871"/>
      <c r="F9" s="289">
        <v>457</v>
      </c>
      <c r="G9" s="94"/>
      <c r="H9" s="338" t="s">
        <v>2071</v>
      </c>
      <c r="I9" s="871"/>
      <c r="J9" s="1472">
        <v>424</v>
      </c>
      <c r="K9" s="94"/>
      <c r="L9" s="338" t="s">
        <v>2071</v>
      </c>
      <c r="M9" s="871"/>
    </row>
    <row r="10" spans="1:13" x14ac:dyDescent="0.2">
      <c r="A10" s="1292" t="s">
        <v>1271</v>
      </c>
      <c r="B10" s="289">
        <v>365</v>
      </c>
      <c r="C10" s="94"/>
      <c r="D10" s="338" t="s">
        <v>2071</v>
      </c>
      <c r="E10" s="871"/>
      <c r="F10" s="289">
        <v>337</v>
      </c>
      <c r="G10" s="94"/>
      <c r="H10" s="338" t="s">
        <v>2071</v>
      </c>
      <c r="I10" s="871"/>
      <c r="J10" s="1472">
        <v>177</v>
      </c>
      <c r="K10" s="94"/>
      <c r="L10" s="338" t="s">
        <v>2071</v>
      </c>
      <c r="M10" s="871"/>
    </row>
    <row r="11" spans="1:13" x14ac:dyDescent="0.2">
      <c r="A11" s="1293" t="s">
        <v>1269</v>
      </c>
      <c r="B11" s="289">
        <f>SUM(B12:B14)</f>
        <v>3384</v>
      </c>
      <c r="C11" s="370" t="s">
        <v>925</v>
      </c>
      <c r="D11" s="338"/>
      <c r="E11" s="871"/>
      <c r="F11" s="289">
        <f>SUM(F12:F14)</f>
        <v>2263</v>
      </c>
      <c r="G11" s="370" t="s">
        <v>925</v>
      </c>
      <c r="H11" s="338"/>
      <c r="I11" s="871"/>
      <c r="J11" s="1472">
        <f>SUM(J12:J14)</f>
        <v>1367.72</v>
      </c>
      <c r="K11" s="370" t="s">
        <v>925</v>
      </c>
      <c r="L11" s="338"/>
      <c r="M11" s="1305"/>
    </row>
    <row r="12" spans="1:13" x14ac:dyDescent="0.2">
      <c r="A12" s="1292" t="s">
        <v>1268</v>
      </c>
      <c r="B12" s="289">
        <v>804</v>
      </c>
      <c r="C12" s="370" t="s">
        <v>925</v>
      </c>
      <c r="D12" s="338" t="s">
        <v>2071</v>
      </c>
      <c r="F12" s="289">
        <v>432</v>
      </c>
      <c r="G12" s="370" t="s">
        <v>925</v>
      </c>
      <c r="H12" s="338" t="s">
        <v>2071</v>
      </c>
      <c r="I12" s="871"/>
      <c r="J12" s="1472">
        <v>405.57</v>
      </c>
      <c r="K12" s="370" t="s">
        <v>925</v>
      </c>
      <c r="L12" s="338" t="s">
        <v>2071</v>
      </c>
    </row>
    <row r="13" spans="1:13" x14ac:dyDescent="0.2">
      <c r="A13" s="1292" t="s">
        <v>1270</v>
      </c>
      <c r="B13" s="289">
        <v>319</v>
      </c>
      <c r="C13" s="370" t="s">
        <v>925</v>
      </c>
      <c r="D13" s="338" t="s">
        <v>2071</v>
      </c>
      <c r="F13" s="289">
        <v>203</v>
      </c>
      <c r="G13" s="370" t="s">
        <v>925</v>
      </c>
      <c r="H13" s="338" t="s">
        <v>2071</v>
      </c>
      <c r="I13" s="871"/>
      <c r="J13" s="1472">
        <v>177.89</v>
      </c>
      <c r="K13" s="370" t="s">
        <v>925</v>
      </c>
      <c r="L13" s="338" t="s">
        <v>2071</v>
      </c>
    </row>
    <row r="14" spans="1:13" x14ac:dyDescent="0.2">
      <c r="A14" s="1292" t="s">
        <v>1271</v>
      </c>
      <c r="B14" s="289">
        <v>2261</v>
      </c>
      <c r="C14" s="94" t="s">
        <v>925</v>
      </c>
      <c r="D14" s="338" t="s">
        <v>2071</v>
      </c>
      <c r="F14" s="289">
        <v>1628</v>
      </c>
      <c r="G14" s="94" t="s">
        <v>925</v>
      </c>
      <c r="H14" s="338" t="s">
        <v>2071</v>
      </c>
      <c r="I14" s="871"/>
      <c r="J14" s="1472">
        <v>784.26</v>
      </c>
      <c r="K14" s="94" t="s">
        <v>925</v>
      </c>
      <c r="L14" s="338" t="s">
        <v>2071</v>
      </c>
    </row>
    <row r="15" spans="1:13" x14ac:dyDescent="0.2">
      <c r="A15" s="1293" t="s">
        <v>1272</v>
      </c>
      <c r="B15" s="289"/>
      <c r="C15" s="370"/>
      <c r="D15" s="2039"/>
      <c r="E15" s="1300"/>
      <c r="F15" s="289"/>
      <c r="G15" s="370"/>
      <c r="H15" s="338"/>
      <c r="I15" s="1305"/>
      <c r="J15" s="1472"/>
      <c r="K15" s="370"/>
      <c r="L15" s="338"/>
      <c r="M15" s="1305"/>
    </row>
    <row r="16" spans="1:13" x14ac:dyDescent="0.2">
      <c r="A16" s="1292" t="s">
        <v>1268</v>
      </c>
      <c r="B16" s="289">
        <v>804</v>
      </c>
      <c r="C16" s="94" t="s">
        <v>925</v>
      </c>
      <c r="D16" s="2039" t="s">
        <v>2071</v>
      </c>
      <c r="E16" s="635" t="s">
        <v>2251</v>
      </c>
      <c r="F16" s="289">
        <v>432</v>
      </c>
      <c r="G16" s="94" t="s">
        <v>925</v>
      </c>
      <c r="H16" s="338" t="s">
        <v>2071</v>
      </c>
      <c r="I16" s="635" t="s">
        <v>2251</v>
      </c>
      <c r="J16" s="1472">
        <v>405.57</v>
      </c>
      <c r="K16" s="94" t="s">
        <v>925</v>
      </c>
      <c r="L16" s="338" t="s">
        <v>2071</v>
      </c>
      <c r="M16" s="635" t="s">
        <v>2251</v>
      </c>
    </row>
    <row r="17" spans="1:13" x14ac:dyDescent="0.2">
      <c r="A17" s="1292" t="s">
        <v>1270</v>
      </c>
      <c r="B17" s="289">
        <v>159</v>
      </c>
      <c r="C17" s="94" t="s">
        <v>925</v>
      </c>
      <c r="D17" s="2039" t="s">
        <v>2071</v>
      </c>
      <c r="E17" s="635" t="s">
        <v>2252</v>
      </c>
      <c r="F17" s="289">
        <v>101</v>
      </c>
      <c r="G17" s="94" t="s">
        <v>925</v>
      </c>
      <c r="H17" s="338" t="s">
        <v>2071</v>
      </c>
      <c r="I17" s="635" t="s">
        <v>2252</v>
      </c>
      <c r="J17" s="1472">
        <v>88.94</v>
      </c>
      <c r="K17" s="94" t="s">
        <v>925</v>
      </c>
      <c r="L17" s="338" t="s">
        <v>2071</v>
      </c>
      <c r="M17" s="635" t="s">
        <v>2252</v>
      </c>
    </row>
    <row r="18" spans="1:13" x14ac:dyDescent="0.2">
      <c r="A18" s="1292" t="s">
        <v>1271</v>
      </c>
      <c r="B18" s="289">
        <v>136</v>
      </c>
      <c r="C18" s="94" t="s">
        <v>925</v>
      </c>
      <c r="D18" s="2039" t="s">
        <v>2071</v>
      </c>
      <c r="E18" s="635" t="s">
        <v>2253</v>
      </c>
      <c r="F18" s="289">
        <v>98</v>
      </c>
      <c r="G18" s="94" t="s">
        <v>925</v>
      </c>
      <c r="H18" s="338" t="s">
        <v>2071</v>
      </c>
      <c r="I18" s="635" t="s">
        <v>2253</v>
      </c>
      <c r="J18" s="1472">
        <v>47.05</v>
      </c>
      <c r="K18" s="94" t="s">
        <v>925</v>
      </c>
      <c r="L18" s="338" t="s">
        <v>2071</v>
      </c>
      <c r="M18" s="635" t="s">
        <v>2253</v>
      </c>
    </row>
    <row r="19" spans="1:13" x14ac:dyDescent="0.2">
      <c r="A19" s="1292"/>
      <c r="B19" s="289"/>
      <c r="C19" s="94"/>
      <c r="D19" s="341"/>
      <c r="E19" s="1300"/>
      <c r="F19" s="289"/>
      <c r="G19" s="94"/>
      <c r="H19" s="338"/>
      <c r="I19" s="1305"/>
      <c r="J19" s="1472"/>
      <c r="K19" s="94"/>
      <c r="L19" s="338"/>
      <c r="M19" s="1641"/>
    </row>
    <row r="20" spans="1:13" x14ac:dyDescent="0.2">
      <c r="A20" s="834" t="s">
        <v>1257</v>
      </c>
      <c r="B20" s="1288"/>
      <c r="C20" s="370"/>
      <c r="D20" s="341"/>
      <c r="E20" s="1301"/>
      <c r="F20" s="1296"/>
      <c r="G20" s="370"/>
      <c r="H20" s="94"/>
      <c r="I20" s="1299"/>
      <c r="J20" s="1473"/>
      <c r="K20" s="370"/>
      <c r="L20" s="94"/>
      <c r="M20" s="1299"/>
    </row>
    <row r="21" spans="1:13" x14ac:dyDescent="0.2">
      <c r="A21" s="1293" t="s">
        <v>1258</v>
      </c>
      <c r="B21" s="1289">
        <v>0.41</v>
      </c>
      <c r="C21" s="370"/>
      <c r="D21" s="341" t="s">
        <v>1255</v>
      </c>
      <c r="E21" s="1300"/>
      <c r="F21" s="1289">
        <v>0.41</v>
      </c>
      <c r="G21" s="370"/>
      <c r="H21" s="338" t="s">
        <v>1255</v>
      </c>
      <c r="I21" s="1299"/>
      <c r="J21" s="1474">
        <v>0.41</v>
      </c>
      <c r="K21" s="370"/>
      <c r="L21" s="338"/>
      <c r="M21" s="1299"/>
    </row>
    <row r="22" spans="1:13" x14ac:dyDescent="0.2">
      <c r="A22" s="1293" t="s">
        <v>1259</v>
      </c>
      <c r="B22" s="1288">
        <v>56</v>
      </c>
      <c r="C22" s="370" t="s">
        <v>1256</v>
      </c>
      <c r="D22" s="341" t="s">
        <v>1255</v>
      </c>
      <c r="E22" s="1300"/>
      <c r="F22" s="1288">
        <v>56</v>
      </c>
      <c r="G22" s="370" t="s">
        <v>1256</v>
      </c>
      <c r="H22" s="338" t="s">
        <v>1255</v>
      </c>
      <c r="I22" s="635" t="s">
        <v>1276</v>
      </c>
      <c r="J22" s="1475">
        <v>56</v>
      </c>
      <c r="K22" s="370" t="s">
        <v>1256</v>
      </c>
      <c r="L22" s="338" t="s">
        <v>2072</v>
      </c>
      <c r="M22" s="635" t="s">
        <v>1276</v>
      </c>
    </row>
    <row r="23" spans="1:13" x14ac:dyDescent="0.2">
      <c r="A23" s="1293"/>
      <c r="B23" s="1288"/>
      <c r="C23" s="370"/>
      <c r="D23" s="341"/>
      <c r="E23" s="1300"/>
      <c r="F23" s="1288"/>
      <c r="G23" s="370"/>
      <c r="H23" s="338"/>
      <c r="I23" s="871"/>
      <c r="J23" s="1475"/>
      <c r="K23" s="370"/>
      <c r="L23" s="338"/>
      <c r="M23" s="871"/>
    </row>
    <row r="24" spans="1:13" s="196" customFormat="1" x14ac:dyDescent="0.2">
      <c r="A24" s="834" t="s">
        <v>1277</v>
      </c>
      <c r="B24" s="1289">
        <v>0.21</v>
      </c>
      <c r="C24" s="370"/>
      <c r="D24" s="306" t="s">
        <v>1278</v>
      </c>
      <c r="E24" s="614"/>
      <c r="F24" s="1289">
        <v>0.21</v>
      </c>
      <c r="G24" s="94"/>
      <c r="H24" s="691" t="s">
        <v>1278</v>
      </c>
      <c r="I24" s="336"/>
      <c r="J24" s="1474">
        <v>0.21</v>
      </c>
      <c r="K24" s="94"/>
      <c r="L24" s="338" t="s">
        <v>2072</v>
      </c>
      <c r="M24" s="336"/>
    </row>
    <row r="25" spans="1:13" s="91" customFormat="1" x14ac:dyDescent="0.2">
      <c r="A25" s="1292"/>
      <c r="B25" s="1288"/>
      <c r="C25" s="370"/>
      <c r="D25" s="306"/>
      <c r="E25" s="336"/>
      <c r="F25" s="1294"/>
      <c r="G25" s="94"/>
      <c r="H25" s="225"/>
      <c r="I25" s="336"/>
      <c r="J25" s="1294"/>
      <c r="K25" s="94"/>
      <c r="L25" s="225"/>
      <c r="M25" s="336"/>
    </row>
    <row r="26" spans="1:13" x14ac:dyDescent="0.2">
      <c r="A26" s="185"/>
      <c r="B26" s="1288"/>
      <c r="C26" s="236"/>
      <c r="D26" s="307"/>
      <c r="E26" s="333"/>
      <c r="F26" s="1288"/>
      <c r="G26" s="236"/>
      <c r="H26" s="215"/>
      <c r="I26" s="333"/>
      <c r="J26" s="1288"/>
      <c r="K26" s="236"/>
      <c r="L26" s="215"/>
      <c r="M26" s="333"/>
    </row>
    <row r="27" spans="1:13" x14ac:dyDescent="0.2">
      <c r="A27" s="1476" t="s">
        <v>120</v>
      </c>
      <c r="B27" s="217"/>
      <c r="C27" s="215"/>
      <c r="D27" s="307"/>
      <c r="E27" s="333"/>
      <c r="F27" s="217"/>
      <c r="G27" s="215"/>
      <c r="H27" s="215"/>
      <c r="I27" s="333"/>
      <c r="J27" s="217"/>
      <c r="K27" s="215"/>
      <c r="L27" s="215"/>
      <c r="M27" s="333"/>
    </row>
    <row r="28" spans="1:13" s="91" customFormat="1" x14ac:dyDescent="0.2">
      <c r="A28" s="216"/>
      <c r="B28" s="217"/>
      <c r="C28" s="215"/>
      <c r="D28" s="307"/>
      <c r="E28" s="333"/>
      <c r="F28" s="217"/>
      <c r="G28" s="215"/>
      <c r="H28" s="215"/>
      <c r="I28" s="333"/>
      <c r="J28" s="217"/>
      <c r="K28" s="215"/>
      <c r="L28" s="215"/>
      <c r="M28" s="333"/>
    </row>
    <row r="29" spans="1:13" s="91" customFormat="1" x14ac:dyDescent="0.2">
      <c r="A29" s="614" t="s">
        <v>1273</v>
      </c>
      <c r="B29" s="217"/>
      <c r="C29" s="215"/>
      <c r="D29" s="307"/>
      <c r="E29" s="333"/>
      <c r="F29" s="217"/>
      <c r="G29" s="215"/>
      <c r="H29" s="215"/>
      <c r="I29" s="333"/>
      <c r="J29" s="217"/>
      <c r="K29" s="215"/>
      <c r="L29" s="215"/>
      <c r="M29" s="333"/>
    </row>
    <row r="30" spans="1:13" s="91" customFormat="1" x14ac:dyDescent="0.2">
      <c r="A30" s="749" t="s">
        <v>1260</v>
      </c>
      <c r="B30" s="218">
        <f>SUM(B16:B18)</f>
        <v>1099</v>
      </c>
      <c r="C30" s="215"/>
      <c r="D30" s="307"/>
      <c r="E30" s="1300"/>
      <c r="F30" s="218">
        <f>SUM(F16:F18)</f>
        <v>631</v>
      </c>
      <c r="G30" s="215"/>
      <c r="H30" s="338"/>
      <c r="I30" s="333"/>
      <c r="J30" s="218">
        <f>SUM(J16:J18)</f>
        <v>541.55999999999995</v>
      </c>
      <c r="K30" s="215"/>
      <c r="L30" s="338"/>
      <c r="M30" s="333"/>
    </row>
    <row r="31" spans="1:13" s="91" customFormat="1" x14ac:dyDescent="0.2">
      <c r="A31" s="614" t="s">
        <v>1274</v>
      </c>
      <c r="B31" s="218"/>
      <c r="C31" s="215"/>
      <c r="D31" s="307"/>
      <c r="E31" s="333"/>
      <c r="F31" s="218"/>
      <c r="G31" s="215"/>
      <c r="H31" s="215"/>
      <c r="I31" s="333"/>
      <c r="J31" s="218"/>
      <c r="K31" s="215"/>
      <c r="L31" s="215"/>
      <c r="M31" s="333"/>
    </row>
    <row r="32" spans="1:13" s="91" customFormat="1" x14ac:dyDescent="0.2">
      <c r="A32" s="749" t="s">
        <v>1279</v>
      </c>
      <c r="B32" s="218">
        <f>B22</f>
        <v>56</v>
      </c>
      <c r="C32" s="215"/>
      <c r="D32" s="307"/>
      <c r="E32" s="333"/>
      <c r="F32" s="218">
        <f>F22</f>
        <v>56</v>
      </c>
      <c r="G32" s="215"/>
      <c r="H32" s="215"/>
      <c r="I32" s="333"/>
      <c r="J32" s="218">
        <f>J22</f>
        <v>56</v>
      </c>
      <c r="K32" s="215"/>
      <c r="L32" s="215"/>
      <c r="M32" s="333"/>
    </row>
    <row r="33" spans="1:13" s="91" customFormat="1" x14ac:dyDescent="0.2">
      <c r="A33" s="749" t="s">
        <v>1281</v>
      </c>
      <c r="B33" s="218">
        <f>B32*(1+B24)</f>
        <v>67.759999999999991</v>
      </c>
      <c r="C33" s="215"/>
      <c r="D33" s="307"/>
      <c r="E33" s="333"/>
      <c r="F33" s="218">
        <f>F32*(1+F24)</f>
        <v>67.759999999999991</v>
      </c>
      <c r="G33" s="215"/>
      <c r="H33" s="215"/>
      <c r="I33" s="333"/>
      <c r="J33" s="218">
        <f>J32*(1+J24)</f>
        <v>67.759999999999991</v>
      </c>
      <c r="K33" s="215"/>
      <c r="L33" s="215"/>
      <c r="M33" s="333"/>
    </row>
    <row r="34" spans="1:13" s="91" customFormat="1" x14ac:dyDescent="0.2">
      <c r="A34" s="749" t="s">
        <v>1280</v>
      </c>
      <c r="B34" s="218">
        <f>B33/2.47</f>
        <v>27.433198380566797</v>
      </c>
      <c r="C34" s="215"/>
      <c r="D34" s="307"/>
      <c r="E34" s="333"/>
      <c r="F34" s="218">
        <f>F33/2.47</f>
        <v>27.433198380566797</v>
      </c>
      <c r="G34" s="215"/>
      <c r="H34" s="215"/>
      <c r="I34" s="333"/>
      <c r="J34" s="218">
        <f>J33/2.47</f>
        <v>27.433198380566797</v>
      </c>
      <c r="K34" s="215"/>
      <c r="L34" s="215"/>
      <c r="M34" s="333"/>
    </row>
    <row r="35" spans="1:13" s="91" customFormat="1" x14ac:dyDescent="0.2">
      <c r="A35" s="614" t="s">
        <v>1275</v>
      </c>
      <c r="B35" s="218"/>
      <c r="C35" s="215"/>
      <c r="D35" s="307"/>
      <c r="E35" s="333"/>
      <c r="F35" s="218"/>
      <c r="G35" s="215"/>
      <c r="H35" s="215"/>
      <c r="I35" s="333"/>
      <c r="J35" s="218"/>
      <c r="K35" s="215"/>
      <c r="L35" s="215"/>
      <c r="M35" s="333"/>
    </row>
    <row r="36" spans="1:13" s="91" customFormat="1" x14ac:dyDescent="0.2">
      <c r="A36" s="749" t="s">
        <v>1261</v>
      </c>
      <c r="B36" s="218">
        <f>B34*B30</f>
        <v>30149.08502024291</v>
      </c>
      <c r="C36" s="691" t="s">
        <v>2254</v>
      </c>
      <c r="D36" s="307"/>
      <c r="E36" s="333"/>
      <c r="F36" s="218">
        <f>F34*F30</f>
        <v>17310.34817813765</v>
      </c>
      <c r="G36" s="691" t="s">
        <v>2254</v>
      </c>
      <c r="H36" s="215"/>
      <c r="I36" s="333"/>
      <c r="J36" s="218">
        <f>J34*J30</f>
        <v>14856.722914979753</v>
      </c>
      <c r="K36" s="691" t="s">
        <v>2254</v>
      </c>
      <c r="L36" s="215"/>
      <c r="M36" s="333"/>
    </row>
    <row r="37" spans="1:13" s="91" customFormat="1" ht="13.5" x14ac:dyDescent="0.25">
      <c r="A37" s="749" t="s">
        <v>1262</v>
      </c>
      <c r="B37" s="218">
        <f>B36*CO2.C</f>
        <v>110468.99957844499</v>
      </c>
      <c r="C37" s="691" t="s">
        <v>279</v>
      </c>
      <c r="D37" s="307"/>
      <c r="E37" s="333"/>
      <c r="F37" s="218">
        <f>F36*CO2.C</f>
        <v>63426.695845312825</v>
      </c>
      <c r="G37" s="691" t="s">
        <v>279</v>
      </c>
      <c r="H37" s="215"/>
      <c r="I37" s="333"/>
      <c r="J37" s="218">
        <f>J36*CO2.C</f>
        <v>54436.388909647554</v>
      </c>
      <c r="K37" s="691" t="s">
        <v>279</v>
      </c>
      <c r="L37" s="215"/>
      <c r="M37" s="333"/>
    </row>
    <row r="38" spans="1:13" s="91" customFormat="1" x14ac:dyDescent="0.2">
      <c r="A38" s="749"/>
      <c r="B38" s="218"/>
      <c r="C38" s="215"/>
      <c r="D38" s="307"/>
      <c r="E38" s="333"/>
      <c r="F38" s="218"/>
      <c r="G38" s="215"/>
      <c r="H38" s="215"/>
      <c r="I38" s="333"/>
      <c r="J38" s="218"/>
      <c r="K38" s="215"/>
      <c r="L38" s="215"/>
      <c r="M38" s="333"/>
    </row>
    <row r="39" spans="1:13" ht="13.5" x14ac:dyDescent="0.25">
      <c r="A39" s="1503" t="s">
        <v>21</v>
      </c>
      <c r="B39" s="1520">
        <f>B37</f>
        <v>110468.99957844499</v>
      </c>
      <c r="C39" s="1521" t="s">
        <v>207</v>
      </c>
      <c r="D39" s="1522"/>
      <c r="E39" s="1523"/>
      <c r="F39" s="1520">
        <f>F37</f>
        <v>63426.695845312825</v>
      </c>
      <c r="G39" s="1521" t="s">
        <v>207</v>
      </c>
      <c r="H39" s="1524"/>
      <c r="I39" s="1525"/>
      <c r="J39" s="1520">
        <f>J37</f>
        <v>54436.388909647554</v>
      </c>
      <c r="K39" s="1521" t="s">
        <v>207</v>
      </c>
      <c r="L39" s="1524"/>
      <c r="M39" s="1525"/>
    </row>
    <row r="40" spans="1:13" x14ac:dyDescent="0.2">
      <c r="B40" s="370"/>
      <c r="C40" s="634"/>
      <c r="D40" s="1166"/>
      <c r="E40" s="1302"/>
      <c r="F40" s="1296"/>
      <c r="G40" s="634"/>
      <c r="H40" s="370"/>
      <c r="I40" s="1302"/>
      <c r="J40" s="1296"/>
      <c r="K40" s="634"/>
      <c r="L40" s="370"/>
      <c r="M40" s="1302"/>
    </row>
    <row r="41" spans="1:13" x14ac:dyDescent="0.2">
      <c r="B41" s="370"/>
      <c r="C41" s="634"/>
      <c r="D41" s="1166"/>
      <c r="E41" s="1302"/>
      <c r="F41" s="1296"/>
      <c r="G41" s="634"/>
      <c r="H41" s="370"/>
      <c r="I41" s="1302"/>
      <c r="J41" s="1296"/>
      <c r="K41" s="634"/>
      <c r="L41" s="370"/>
      <c r="M41" s="1302"/>
    </row>
    <row r="42" spans="1:13" x14ac:dyDescent="0.2">
      <c r="A42" s="177"/>
      <c r="B42" s="1290"/>
      <c r="C42" s="92"/>
      <c r="D42" s="274"/>
      <c r="E42" s="1303"/>
      <c r="F42" s="1294"/>
      <c r="G42" s="92"/>
      <c r="H42" s="274"/>
      <c r="I42" s="1303"/>
      <c r="J42" s="1294"/>
      <c r="K42" s="92"/>
      <c r="L42" s="274"/>
      <c r="M42" s="1303"/>
    </row>
    <row r="43" spans="1:13" x14ac:dyDescent="0.2">
      <c r="A43" s="177"/>
      <c r="B43" s="284"/>
      <c r="C43" s="91"/>
      <c r="D43" s="200"/>
      <c r="E43" s="330"/>
      <c r="F43" s="210"/>
      <c r="G43" s="91"/>
      <c r="H43" s="200"/>
      <c r="I43" s="330"/>
      <c r="J43" s="210"/>
      <c r="K43" s="91"/>
      <c r="L43" s="200"/>
      <c r="M43" s="330"/>
    </row>
    <row r="44" spans="1:13" ht="12" customHeight="1" x14ac:dyDescent="0.2">
      <c r="A44" s="260"/>
      <c r="B44" s="142"/>
      <c r="C44" s="193"/>
      <c r="D44" s="254"/>
      <c r="E44" s="330"/>
      <c r="F44" s="210"/>
      <c r="G44" s="193"/>
      <c r="H44" s="254"/>
      <c r="I44" s="330"/>
      <c r="J44" s="210"/>
      <c r="K44" s="193"/>
      <c r="L44" s="254"/>
      <c r="M44" s="330"/>
    </row>
    <row r="45" spans="1:13" s="91" customFormat="1" x14ac:dyDescent="0.2">
      <c r="A45" s="216"/>
      <c r="B45" s="67"/>
      <c r="D45" s="287"/>
      <c r="E45" s="329"/>
      <c r="F45" s="822"/>
      <c r="G45" s="254"/>
      <c r="H45" s="215"/>
      <c r="I45" s="333"/>
      <c r="J45" s="822"/>
      <c r="K45" s="254"/>
      <c r="L45" s="215"/>
      <c r="M45" s="333"/>
    </row>
    <row r="46" spans="1:13" s="91" customFormat="1" x14ac:dyDescent="0.2">
      <c r="A46" s="216"/>
      <c r="B46" s="142"/>
      <c r="C46" s="193"/>
      <c r="D46" s="254"/>
      <c r="E46" s="330"/>
      <c r="F46" s="822"/>
      <c r="G46" s="254"/>
      <c r="H46" s="215"/>
      <c r="I46" s="333"/>
      <c r="J46" s="822"/>
      <c r="K46" s="254"/>
      <c r="L46" s="215"/>
      <c r="M46" s="333"/>
    </row>
    <row r="47" spans="1:13" x14ac:dyDescent="0.2">
      <c r="A47" s="216"/>
      <c r="B47" s="217"/>
      <c r="C47" s="215"/>
      <c r="D47" s="307"/>
      <c r="E47" s="333"/>
      <c r="F47" s="217"/>
      <c r="G47" s="215"/>
      <c r="H47" s="215"/>
      <c r="I47" s="333"/>
      <c r="J47" s="217"/>
      <c r="K47" s="215"/>
      <c r="L47" s="215"/>
      <c r="M47" s="333"/>
    </row>
    <row r="48" spans="1:13" x14ac:dyDescent="0.2">
      <c r="A48" s="216"/>
      <c r="B48" s="210"/>
      <c r="C48" s="193"/>
      <c r="D48" s="200"/>
      <c r="E48" s="330"/>
      <c r="F48" s="210"/>
      <c r="G48" s="193"/>
      <c r="H48" s="249"/>
      <c r="I48" s="337"/>
      <c r="J48" s="210"/>
      <c r="K48" s="193"/>
      <c r="L48" s="249"/>
      <c r="M48" s="337"/>
    </row>
    <row r="49" spans="1:13" x14ac:dyDescent="0.2">
      <c r="A49" s="177"/>
      <c r="B49" s="262"/>
      <c r="C49" s="193"/>
      <c r="D49" s="200"/>
      <c r="E49" s="330"/>
      <c r="F49" s="210"/>
      <c r="G49" s="193"/>
      <c r="H49" s="249"/>
      <c r="I49" s="337"/>
      <c r="J49" s="210"/>
      <c r="K49" s="193"/>
      <c r="L49" s="249"/>
      <c r="M49" s="337"/>
    </row>
    <row r="50" spans="1:13" x14ac:dyDescent="0.2">
      <c r="A50" s="177"/>
      <c r="B50" s="262"/>
      <c r="C50" s="193"/>
      <c r="D50" s="200"/>
      <c r="E50" s="330"/>
      <c r="F50" s="210"/>
      <c r="G50" s="193"/>
      <c r="H50" s="249"/>
      <c r="I50" s="337"/>
      <c r="J50" s="210"/>
      <c r="K50" s="193"/>
      <c r="L50" s="249"/>
      <c r="M50" s="337"/>
    </row>
    <row r="51" spans="1:13" x14ac:dyDescent="0.2">
      <c r="A51" s="177"/>
      <c r="B51" s="262"/>
      <c r="C51" s="193"/>
      <c r="D51" s="200"/>
      <c r="E51" s="330"/>
      <c r="F51" s="210"/>
      <c r="G51" s="193"/>
      <c r="H51" s="249"/>
      <c r="I51" s="337"/>
      <c r="J51" s="210"/>
      <c r="K51" s="193"/>
      <c r="L51" s="249"/>
      <c r="M51" s="337"/>
    </row>
    <row r="52" spans="1:13" x14ac:dyDescent="0.2">
      <c r="A52" s="177"/>
      <c r="B52" s="210"/>
      <c r="C52" s="67"/>
      <c r="D52" s="200"/>
      <c r="E52" s="330"/>
      <c r="F52" s="210"/>
      <c r="G52" s="67"/>
      <c r="H52" s="249"/>
      <c r="I52" s="337"/>
      <c r="J52" s="210"/>
      <c r="K52" s="67"/>
      <c r="L52" s="249"/>
      <c r="M52" s="337"/>
    </row>
    <row r="53" spans="1:13" x14ac:dyDescent="0.2">
      <c r="A53" s="177"/>
      <c r="B53" s="142"/>
      <c r="C53" s="67"/>
      <c r="D53" s="287"/>
      <c r="E53" s="329"/>
      <c r="F53" s="210"/>
      <c r="G53" s="67"/>
      <c r="H53" s="249"/>
      <c r="I53" s="337"/>
      <c r="J53" s="210"/>
      <c r="K53" s="67"/>
      <c r="L53" s="249"/>
      <c r="M53" s="337"/>
    </row>
    <row r="54" spans="1:13" x14ac:dyDescent="0.2">
      <c r="A54" s="260"/>
      <c r="B54" s="142"/>
      <c r="C54" s="67"/>
      <c r="D54" s="287"/>
      <c r="E54" s="329"/>
      <c r="F54" s="210"/>
      <c r="G54" s="67"/>
      <c r="H54" s="249"/>
      <c r="I54" s="337"/>
      <c r="J54" s="210"/>
      <c r="K54" s="67"/>
      <c r="L54" s="249"/>
      <c r="M54" s="337"/>
    </row>
    <row r="55" spans="1:13" x14ac:dyDescent="0.2">
      <c r="A55" s="216"/>
      <c r="B55" s="142"/>
      <c r="C55" s="67"/>
      <c r="D55" s="287"/>
      <c r="E55" s="329"/>
      <c r="F55" s="210"/>
      <c r="G55" s="67"/>
      <c r="H55" s="254"/>
      <c r="I55" s="330"/>
      <c r="J55" s="210"/>
      <c r="K55" s="67"/>
      <c r="L55" s="254"/>
      <c r="M55" s="330"/>
    </row>
    <row r="56" spans="1:13" x14ac:dyDescent="0.2">
      <c r="A56" s="195"/>
      <c r="B56" s="142"/>
      <c r="C56" s="206"/>
      <c r="D56" s="200"/>
      <c r="E56" s="330"/>
      <c r="F56" s="1297"/>
      <c r="G56" s="206"/>
      <c r="H56" s="200"/>
      <c r="I56" s="330"/>
      <c r="J56" s="1297"/>
      <c r="K56" s="206"/>
      <c r="L56" s="200"/>
      <c r="M56" s="330"/>
    </row>
    <row r="57" spans="1:13" x14ac:dyDescent="0.2">
      <c r="A57" s="194"/>
      <c r="B57" s="1291"/>
      <c r="C57" s="67"/>
      <c r="D57" s="254"/>
      <c r="E57" s="328"/>
      <c r="F57" s="822"/>
      <c r="G57" s="67"/>
      <c r="H57" s="221"/>
      <c r="I57" s="353"/>
      <c r="J57" s="822"/>
      <c r="K57" s="67"/>
      <c r="L57" s="221"/>
      <c r="M57" s="353"/>
    </row>
    <row r="58" spans="1:13" x14ac:dyDescent="0.2">
      <c r="A58" s="194"/>
      <c r="B58" s="142"/>
      <c r="C58" s="193"/>
      <c r="D58" s="254"/>
      <c r="E58" s="330"/>
      <c r="F58" s="1298"/>
      <c r="G58" s="193"/>
      <c r="H58" s="254"/>
      <c r="I58" s="330"/>
      <c r="J58" s="1298"/>
      <c r="K58" s="193"/>
      <c r="L58" s="254"/>
      <c r="M58" s="330"/>
    </row>
    <row r="59" spans="1:13" x14ac:dyDescent="0.2">
      <c r="A59" s="117"/>
      <c r="B59" s="142"/>
      <c r="C59" s="142"/>
      <c r="D59" s="200"/>
      <c r="E59" s="330"/>
      <c r="F59" s="1124"/>
      <c r="G59" s="214"/>
      <c r="H59" s="67"/>
      <c r="I59" s="329"/>
      <c r="J59" s="1124"/>
      <c r="K59" s="214"/>
      <c r="L59" s="67"/>
      <c r="M59" s="329"/>
    </row>
    <row r="60" spans="1:13" x14ac:dyDescent="0.2">
      <c r="A60" s="216"/>
      <c r="B60" s="217"/>
      <c r="C60" s="215"/>
      <c r="D60" s="307"/>
      <c r="E60" s="333"/>
      <c r="F60" s="217"/>
      <c r="G60" s="215"/>
      <c r="H60" s="215"/>
      <c r="I60" s="333"/>
      <c r="J60" s="217"/>
      <c r="K60" s="215"/>
      <c r="L60" s="215"/>
      <c r="M60" s="333"/>
    </row>
    <row r="61" spans="1:13" s="91" customFormat="1" x14ac:dyDescent="0.2">
      <c r="A61" s="177"/>
      <c r="B61" s="218"/>
      <c r="C61" s="193"/>
      <c r="D61" s="307"/>
      <c r="E61" s="333"/>
      <c r="F61" s="217"/>
      <c r="G61" s="215"/>
      <c r="H61" s="215"/>
      <c r="I61" s="333"/>
      <c r="J61" s="217"/>
      <c r="K61" s="215"/>
      <c r="L61" s="215"/>
      <c r="M61" s="333"/>
    </row>
    <row r="62" spans="1:13" x14ac:dyDescent="0.2">
      <c r="A62" s="195"/>
      <c r="B62" s="294"/>
      <c r="C62" s="193"/>
      <c r="D62" s="200"/>
      <c r="E62" s="330"/>
      <c r="F62" s="210"/>
      <c r="G62" s="67"/>
      <c r="H62" s="200"/>
      <c r="I62" s="330"/>
      <c r="J62" s="210"/>
      <c r="K62" s="67"/>
      <c r="L62" s="200"/>
      <c r="M62" s="330"/>
    </row>
    <row r="63" spans="1:13" x14ac:dyDescent="0.2">
      <c r="A63" s="252"/>
      <c r="B63" s="211"/>
      <c r="C63" s="193"/>
      <c r="D63" s="200"/>
      <c r="E63" s="330"/>
      <c r="F63" s="210"/>
      <c r="G63" s="206"/>
      <c r="H63" s="200"/>
      <c r="I63" s="330"/>
      <c r="J63" s="210"/>
      <c r="K63" s="206"/>
      <c r="L63" s="200"/>
      <c r="M63" s="330"/>
    </row>
    <row r="64" spans="1:13" x14ac:dyDescent="0.2">
      <c r="A64" s="252"/>
      <c r="B64" s="211"/>
      <c r="C64" s="193"/>
      <c r="D64" s="200"/>
      <c r="E64" s="330"/>
      <c r="F64" s="210"/>
      <c r="G64" s="206"/>
      <c r="H64" s="200"/>
      <c r="I64" s="330"/>
      <c r="J64" s="210"/>
      <c r="K64" s="206"/>
      <c r="L64" s="200"/>
      <c r="M64" s="330"/>
    </row>
    <row r="65" spans="1:13" x14ac:dyDescent="0.2">
      <c r="A65" s="252"/>
      <c r="B65" s="211"/>
      <c r="C65" s="193"/>
      <c r="D65" s="200"/>
      <c r="E65" s="330"/>
      <c r="F65" s="210"/>
      <c r="G65" s="206"/>
      <c r="H65" s="200"/>
      <c r="I65" s="330"/>
      <c r="J65" s="210"/>
      <c r="K65" s="206"/>
      <c r="L65" s="200"/>
      <c r="M65" s="330"/>
    </row>
    <row r="66" spans="1:13" x14ac:dyDescent="0.2">
      <c r="A66" s="252"/>
      <c r="B66" s="210"/>
      <c r="C66" s="67"/>
      <c r="D66" s="200"/>
      <c r="E66" s="330"/>
      <c r="F66" s="210"/>
      <c r="G66" s="193"/>
      <c r="H66" s="200"/>
      <c r="I66" s="330"/>
      <c r="J66" s="210"/>
      <c r="K66" s="193"/>
      <c r="L66" s="200"/>
      <c r="M66" s="330"/>
    </row>
    <row r="67" spans="1:13" x14ac:dyDescent="0.2">
      <c r="A67" s="612"/>
      <c r="B67" s="210"/>
      <c r="C67" s="193"/>
      <c r="D67" s="200"/>
      <c r="E67" s="330"/>
      <c r="F67" s="210"/>
      <c r="G67" s="193"/>
      <c r="H67" s="200"/>
      <c r="I67" s="330"/>
      <c r="J67" s="210"/>
      <c r="K67" s="193"/>
      <c r="L67" s="200"/>
      <c r="M67" s="330"/>
    </row>
    <row r="68" spans="1:13" x14ac:dyDescent="0.2">
      <c r="A68" s="612"/>
      <c r="B68" s="210"/>
      <c r="C68" s="206"/>
      <c r="D68" s="200"/>
      <c r="E68" s="330"/>
      <c r="F68" s="210"/>
      <c r="G68" s="206"/>
      <c r="H68" s="570"/>
      <c r="I68" s="331"/>
      <c r="J68" s="210"/>
      <c r="K68" s="206"/>
      <c r="L68" s="570"/>
      <c r="M68" s="331"/>
    </row>
    <row r="69" spans="1:13" x14ac:dyDescent="0.2">
      <c r="A69" s="252"/>
      <c r="B69" s="250"/>
      <c r="C69" s="257"/>
      <c r="D69" s="570"/>
      <c r="E69" s="331"/>
      <c r="F69" s="821"/>
      <c r="G69" s="257"/>
      <c r="H69" s="200"/>
      <c r="I69" s="330"/>
      <c r="J69" s="821"/>
      <c r="K69" s="257"/>
      <c r="L69" s="200"/>
      <c r="M69" s="330"/>
    </row>
    <row r="70" spans="1:13" x14ac:dyDescent="0.2">
      <c r="A70" s="256"/>
      <c r="B70" s="220"/>
      <c r="C70" s="206"/>
      <c r="D70" s="200"/>
      <c r="E70" s="330"/>
      <c r="F70" s="210"/>
      <c r="G70" s="206"/>
      <c r="H70" s="67"/>
      <c r="I70" s="329"/>
      <c r="J70" s="210"/>
      <c r="K70" s="206"/>
      <c r="L70" s="67"/>
      <c r="M70" s="329"/>
    </row>
    <row r="71" spans="1:13" x14ac:dyDescent="0.2">
      <c r="A71" s="194"/>
      <c r="B71" s="142"/>
      <c r="C71" s="193"/>
      <c r="D71" s="287"/>
      <c r="E71" s="329"/>
      <c r="F71" s="210"/>
      <c r="G71" s="200"/>
      <c r="H71" s="67"/>
      <c r="I71" s="329"/>
      <c r="J71" s="210"/>
      <c r="K71" s="200"/>
      <c r="L71" s="67"/>
      <c r="M71" s="329"/>
    </row>
    <row r="72" spans="1:13" x14ac:dyDescent="0.2">
      <c r="A72" s="194"/>
      <c r="B72" s="142"/>
      <c r="C72" s="193"/>
      <c r="D72" s="340"/>
      <c r="E72" s="1304"/>
      <c r="F72" s="210"/>
      <c r="G72" s="200"/>
      <c r="H72" s="67"/>
      <c r="I72" s="329"/>
      <c r="J72" s="210"/>
      <c r="K72" s="200"/>
      <c r="L72" s="67"/>
      <c r="M72" s="329"/>
    </row>
    <row r="73" spans="1:13" x14ac:dyDescent="0.2">
      <c r="A73" s="655"/>
      <c r="B73" s="142"/>
      <c r="C73" s="193"/>
      <c r="D73" s="340"/>
      <c r="E73" s="1304"/>
      <c r="F73" s="210"/>
      <c r="G73" s="200"/>
      <c r="H73" s="67"/>
      <c r="I73" s="329"/>
      <c r="J73" s="210"/>
      <c r="K73" s="200"/>
      <c r="L73" s="67"/>
      <c r="M73" s="329"/>
    </row>
    <row r="74" spans="1:13" x14ac:dyDescent="0.2">
      <c r="A74" s="194"/>
      <c r="B74" s="142"/>
      <c r="C74" s="67"/>
      <c r="D74" s="287"/>
      <c r="E74" s="329"/>
      <c r="F74" s="210"/>
      <c r="G74" s="200"/>
      <c r="H74" s="67"/>
      <c r="I74" s="329"/>
      <c r="J74" s="210"/>
      <c r="K74" s="200"/>
      <c r="L74" s="67"/>
      <c r="M74" s="329"/>
    </row>
    <row r="75" spans="1:13" x14ac:dyDescent="0.2">
      <c r="A75" s="122"/>
      <c r="B75" s="142"/>
      <c r="C75" s="67"/>
      <c r="D75" s="287"/>
      <c r="E75" s="329"/>
      <c r="F75" s="210"/>
      <c r="G75" s="200"/>
      <c r="H75" s="5"/>
      <c r="J75" s="210"/>
      <c r="K75" s="200"/>
      <c r="L75" s="5"/>
    </row>
    <row r="76" spans="1:13" x14ac:dyDescent="0.2">
      <c r="A76" s="122"/>
      <c r="C76" s="5"/>
      <c r="D76" s="310"/>
      <c r="G76" s="5"/>
      <c r="H76" s="5"/>
      <c r="K76" s="5"/>
      <c r="L76" s="5"/>
    </row>
    <row r="77" spans="1:13" x14ac:dyDescent="0.2">
      <c r="A77" s="117"/>
      <c r="C77" s="5"/>
      <c r="D77" s="310"/>
      <c r="G77" s="5"/>
      <c r="H77" s="5"/>
      <c r="K77" s="5"/>
      <c r="L77" s="5"/>
    </row>
  </sheetData>
  <customSheetViews>
    <customSheetView guid="{9BEC6399-AE85-4D88-8FBA-3674E2F30307}">
      <selection activeCell="A35" sqref="A35"/>
      <pageMargins left="0.7" right="0.7" top="0.75" bottom="0.75" header="0.3" footer="0.3"/>
      <pageSetup orientation="portrait" r:id="rId1"/>
    </customSheetView>
    <customSheetView guid="{0347A67A-6027-4907-965C-6EA2A8295536}">
      <selection activeCell="A35" sqref="A35"/>
      <pageMargins left="0.7" right="0.7" top="0.75" bottom="0.75" header="0.3" footer="0.3"/>
      <pageSetup orientation="portrait" r:id="rId2"/>
    </customSheetView>
    <customSheetView guid="{15CC7F3D-99AB-49C1-AC00-E04D3FE3FBC1}">
      <selection activeCell="J7" sqref="J7:J11"/>
      <pageMargins left="0.7" right="0.7" top="0.75" bottom="0.75" header="0.3" footer="0.3"/>
      <pageSetup orientation="portrait" r:id="rId3"/>
    </customSheetView>
  </customSheetViews>
  <mergeCells count="3">
    <mergeCell ref="B1:E1"/>
    <mergeCell ref="F1:I1"/>
    <mergeCell ref="J1:M1"/>
  </mergeCells>
  <pageMargins left="0.7" right="0.7" top="0.75" bottom="0.75" header="0.3" footer="0.3"/>
  <pageSetup orientation="portrait" r:id="rId4"/>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L518"/>
  <sheetViews>
    <sheetView workbookViewId="0">
      <selection activeCell="G7" sqref="G7"/>
    </sheetView>
  </sheetViews>
  <sheetFormatPr defaultColWidth="8.85546875" defaultRowHeight="12" x14ac:dyDescent="0.2"/>
  <cols>
    <col min="1" max="1" width="37.28515625" style="116" customWidth="1"/>
    <col min="2" max="2" width="12.7109375" style="132" customWidth="1"/>
    <col min="3" max="3" width="10.7109375" customWidth="1"/>
    <col min="4" max="4" width="11.7109375" style="1" bestFit="1" customWidth="1"/>
    <col min="5" max="5" width="10.7109375" customWidth="1"/>
    <col min="6" max="6" width="10.7109375" style="138" customWidth="1"/>
    <col min="7" max="7" width="16.5703125" style="59" customWidth="1"/>
    <col min="8" max="8" width="147.140625" style="1" bestFit="1" customWidth="1"/>
  </cols>
  <sheetData>
    <row r="1" spans="1:12" s="16" customFormat="1" ht="27.75" customHeight="1" x14ac:dyDescent="0.2">
      <c r="A1" s="66" t="s">
        <v>516</v>
      </c>
      <c r="B1" s="128"/>
      <c r="C1" s="69"/>
      <c r="D1" s="2273"/>
      <c r="E1" s="69"/>
      <c r="F1" s="69"/>
      <c r="G1" s="123"/>
    </row>
    <row r="2" spans="1:12" s="9" customFormat="1" x14ac:dyDescent="0.2">
      <c r="A2" s="114"/>
      <c r="B2" s="133" t="s">
        <v>422</v>
      </c>
      <c r="C2" s="2"/>
      <c r="D2" s="3"/>
      <c r="E2" s="2" t="s">
        <v>605</v>
      </c>
      <c r="F2" s="6"/>
      <c r="G2" s="124"/>
      <c r="H2" s="8"/>
    </row>
    <row r="3" spans="1:12" s="9" customFormat="1" x14ac:dyDescent="0.2">
      <c r="A3" s="114" t="s">
        <v>604</v>
      </c>
      <c r="B3" s="134" t="s">
        <v>398</v>
      </c>
      <c r="C3" s="2" t="s">
        <v>602</v>
      </c>
      <c r="D3" s="3" t="s">
        <v>601</v>
      </c>
      <c r="E3" s="2" t="s">
        <v>602</v>
      </c>
      <c r="F3" s="6" t="s">
        <v>601</v>
      </c>
      <c r="G3" s="125" t="s">
        <v>603</v>
      </c>
      <c r="H3" s="4" t="s">
        <v>600</v>
      </c>
    </row>
    <row r="4" spans="1:12" s="13" customFormat="1" ht="12" customHeight="1" x14ac:dyDescent="0.2">
      <c r="A4" s="115" t="s">
        <v>530</v>
      </c>
      <c r="B4" s="129"/>
      <c r="C4" s="10"/>
      <c r="D4" s="11"/>
      <c r="E4" s="10"/>
      <c r="F4" s="12"/>
      <c r="G4" s="126"/>
      <c r="H4" s="11"/>
      <c r="J4" s="58"/>
      <c r="K4" s="68"/>
      <c r="L4" s="58"/>
    </row>
    <row r="5" spans="1:12" s="77" customFormat="1" x14ac:dyDescent="0.2">
      <c r="A5" s="831" t="s">
        <v>349</v>
      </c>
      <c r="B5" s="187"/>
      <c r="C5" s="1718"/>
      <c r="D5" s="189"/>
      <c r="E5" s="188"/>
      <c r="F5" s="191"/>
      <c r="G5" s="159"/>
      <c r="H5" s="160"/>
    </row>
    <row r="6" spans="1:12" s="77" customFormat="1" x14ac:dyDescent="0.2">
      <c r="A6" s="167" t="s">
        <v>363</v>
      </c>
      <c r="B6" s="187" t="s">
        <v>269</v>
      </c>
      <c r="C6" s="1718">
        <f>E6*BtuTOJ/bblTOL</f>
        <v>34.830611975333802</v>
      </c>
      <c r="D6" s="189" t="s">
        <v>515</v>
      </c>
      <c r="E6" s="1719">
        <v>5.2530000000000001</v>
      </c>
      <c r="F6" s="191" t="s">
        <v>357</v>
      </c>
      <c r="G6" s="159" t="s">
        <v>1468</v>
      </c>
      <c r="H6" s="672" t="s">
        <v>1467</v>
      </c>
    </row>
    <row r="7" spans="1:12" s="77" customFormat="1" x14ac:dyDescent="0.2">
      <c r="A7" s="167" t="s">
        <v>364</v>
      </c>
      <c r="B7" s="187"/>
      <c r="C7" s="1719">
        <f>E7</f>
        <v>1</v>
      </c>
      <c r="D7" s="189"/>
      <c r="E7" s="1718">
        <v>1</v>
      </c>
      <c r="F7" s="191"/>
      <c r="G7" s="159" t="s">
        <v>1468</v>
      </c>
      <c r="H7" s="672" t="s">
        <v>1469</v>
      </c>
    </row>
    <row r="8" spans="1:12" s="77" customFormat="1" x14ac:dyDescent="0.2">
      <c r="A8" s="167" t="s">
        <v>339</v>
      </c>
      <c r="B8" s="187"/>
      <c r="C8" s="190"/>
      <c r="D8" s="189"/>
      <c r="E8" s="2268"/>
      <c r="F8" s="191"/>
      <c r="G8" s="159"/>
      <c r="H8" s="160"/>
    </row>
    <row r="9" spans="1:12" s="77" customFormat="1" x14ac:dyDescent="0.2">
      <c r="A9" s="167" t="s">
        <v>1535</v>
      </c>
      <c r="B9" s="187"/>
      <c r="C9" s="190">
        <v>18.459894532698485</v>
      </c>
      <c r="D9" s="189" t="s">
        <v>356</v>
      </c>
      <c r="E9" s="2268">
        <v>19.46</v>
      </c>
      <c r="F9" s="191" t="s">
        <v>1559</v>
      </c>
      <c r="G9" s="90" t="s">
        <v>1593</v>
      </c>
      <c r="H9" s="160"/>
    </row>
    <row r="10" spans="1:12" s="77" customFormat="1" x14ac:dyDescent="0.2">
      <c r="A10" s="167" t="s">
        <v>1560</v>
      </c>
      <c r="B10" s="187"/>
      <c r="C10" s="190">
        <v>18.459894532698485</v>
      </c>
      <c r="D10" s="189" t="s">
        <v>356</v>
      </c>
      <c r="E10" s="2268">
        <v>19.46</v>
      </c>
      <c r="F10" s="191" t="s">
        <v>1559</v>
      </c>
      <c r="G10" s="90" t="s">
        <v>1593</v>
      </c>
      <c r="H10" s="160"/>
    </row>
    <row r="11" spans="1:12" s="77" customFormat="1" x14ac:dyDescent="0.2">
      <c r="A11" s="167" t="s">
        <v>1561</v>
      </c>
      <c r="B11" s="187"/>
      <c r="C11" s="190">
        <v>18.459894532698485</v>
      </c>
      <c r="D11" s="189" t="s">
        <v>356</v>
      </c>
      <c r="E11" s="2268">
        <v>19.46</v>
      </c>
      <c r="F11" s="191" t="s">
        <v>1559</v>
      </c>
      <c r="G11" s="90" t="s">
        <v>1593</v>
      </c>
      <c r="H11" s="160"/>
    </row>
    <row r="12" spans="1:12" s="77" customFormat="1" x14ac:dyDescent="0.2">
      <c r="A12" s="167" t="s">
        <v>1562</v>
      </c>
      <c r="B12" s="187"/>
      <c r="C12" s="190">
        <v>18.459894532698485</v>
      </c>
      <c r="D12" s="189" t="s">
        <v>356</v>
      </c>
      <c r="E12" s="2268">
        <v>19.46</v>
      </c>
      <c r="F12" s="191" t="s">
        <v>1559</v>
      </c>
      <c r="G12" s="90" t="s">
        <v>1593</v>
      </c>
      <c r="H12" s="160"/>
    </row>
    <row r="13" spans="1:12" s="77" customFormat="1" x14ac:dyDescent="0.2">
      <c r="A13" s="167" t="s">
        <v>1410</v>
      </c>
      <c r="B13" s="187"/>
      <c r="C13" s="190">
        <v>18.459894532698485</v>
      </c>
      <c r="D13" s="189" t="s">
        <v>356</v>
      </c>
      <c r="E13" s="2268">
        <v>19.46</v>
      </c>
      <c r="F13" s="191" t="s">
        <v>1559</v>
      </c>
      <c r="G13" s="90" t="s">
        <v>1593</v>
      </c>
      <c r="H13" s="160"/>
    </row>
    <row r="14" spans="1:12" s="77" customFormat="1" x14ac:dyDescent="0.2">
      <c r="A14" s="167" t="s">
        <v>1401</v>
      </c>
      <c r="B14" s="187"/>
      <c r="C14" s="190">
        <v>18.459894532698485</v>
      </c>
      <c r="D14" s="189" t="s">
        <v>356</v>
      </c>
      <c r="E14" s="2268">
        <v>19.46</v>
      </c>
      <c r="F14" s="191" t="s">
        <v>1559</v>
      </c>
      <c r="G14" s="90" t="s">
        <v>1873</v>
      </c>
      <c r="H14" s="160"/>
    </row>
    <row r="15" spans="1:12" s="77" customFormat="1" x14ac:dyDescent="0.2">
      <c r="A15" s="117" t="s">
        <v>1369</v>
      </c>
      <c r="B15" s="187"/>
      <c r="C15" s="95">
        <f>E15/quadTOEJ</f>
        <v>18.459894532698485</v>
      </c>
      <c r="D15" s="88" t="s">
        <v>356</v>
      </c>
      <c r="E15" s="1718">
        <v>19.46</v>
      </c>
      <c r="F15" s="191" t="s">
        <v>355</v>
      </c>
      <c r="G15" s="90" t="s">
        <v>2114</v>
      </c>
      <c r="H15" s="672"/>
    </row>
    <row r="16" spans="1:12" s="77" customFormat="1" x14ac:dyDescent="0.2">
      <c r="A16" s="739" t="s">
        <v>205</v>
      </c>
      <c r="B16" s="187"/>
      <c r="C16" s="95">
        <f t="shared" ref="C16:C25" si="0">E16/quadTOEJ</f>
        <v>18.459894532698485</v>
      </c>
      <c r="D16" s="88" t="s">
        <v>356</v>
      </c>
      <c r="E16" s="1718">
        <v>19.46</v>
      </c>
      <c r="F16" s="191" t="s">
        <v>355</v>
      </c>
      <c r="G16" s="90" t="s">
        <v>2124</v>
      </c>
      <c r="H16" s="672"/>
    </row>
    <row r="17" spans="1:8" s="77" customFormat="1" x14ac:dyDescent="0.2">
      <c r="A17" s="117" t="s">
        <v>939</v>
      </c>
      <c r="B17" s="187"/>
      <c r="C17" s="95">
        <f t="shared" si="0"/>
        <v>18.554755244582854</v>
      </c>
      <c r="D17" s="88" t="s">
        <v>356</v>
      </c>
      <c r="E17" s="1718">
        <v>19.559999999999999</v>
      </c>
      <c r="F17" s="191"/>
      <c r="G17" s="90" t="s">
        <v>2125</v>
      </c>
      <c r="H17" s="672"/>
    </row>
    <row r="18" spans="1:8" s="77" customFormat="1" x14ac:dyDescent="0.2">
      <c r="A18" s="739" t="s">
        <v>938</v>
      </c>
      <c r="B18" s="187"/>
      <c r="C18" s="95">
        <f t="shared" si="0"/>
        <v>18.450408461510047</v>
      </c>
      <c r="D18" s="88" t="s">
        <v>356</v>
      </c>
      <c r="E18" s="1718">
        <v>19.45</v>
      </c>
      <c r="F18" s="191"/>
      <c r="G18" s="90" t="s">
        <v>2126</v>
      </c>
      <c r="H18" s="672"/>
    </row>
    <row r="19" spans="1:8" s="91" customFormat="1" x14ac:dyDescent="0.2">
      <c r="A19" s="117" t="s">
        <v>596</v>
      </c>
      <c r="B19" s="130"/>
      <c r="C19" s="95">
        <f t="shared" si="0"/>
        <v>18.365033820814116</v>
      </c>
      <c r="D19" s="88" t="s">
        <v>356</v>
      </c>
      <c r="E19" s="1718">
        <v>19.36</v>
      </c>
      <c r="F19" s="191" t="s">
        <v>355</v>
      </c>
      <c r="G19" s="90" t="s">
        <v>2127</v>
      </c>
      <c r="H19" s="672"/>
    </row>
    <row r="20" spans="1:8" s="91" customFormat="1" x14ac:dyDescent="0.2">
      <c r="A20" s="739" t="s">
        <v>937</v>
      </c>
      <c r="B20" s="130"/>
      <c r="C20" s="95">
        <f t="shared" si="0"/>
        <v>18.384005963190987</v>
      </c>
      <c r="D20" s="88" t="s">
        <v>356</v>
      </c>
      <c r="E20" s="1718">
        <v>19.38</v>
      </c>
      <c r="F20" s="191"/>
      <c r="G20" s="90" t="s">
        <v>2128</v>
      </c>
      <c r="H20" s="672"/>
    </row>
    <row r="21" spans="1:8" s="91" customFormat="1" x14ac:dyDescent="0.2">
      <c r="A21" s="117" t="s">
        <v>857</v>
      </c>
      <c r="B21" s="130"/>
      <c r="C21" s="95">
        <f t="shared" si="0"/>
        <v>18.365033820814116</v>
      </c>
      <c r="D21" s="88" t="s">
        <v>356</v>
      </c>
      <c r="E21" s="1718">
        <v>19.36</v>
      </c>
      <c r="F21" s="191" t="s">
        <v>355</v>
      </c>
      <c r="G21" s="90" t="s">
        <v>2129</v>
      </c>
      <c r="H21" s="672"/>
    </row>
    <row r="22" spans="1:8" s="91" customFormat="1" x14ac:dyDescent="0.2">
      <c r="A22" s="739" t="s">
        <v>936</v>
      </c>
      <c r="B22" s="130"/>
      <c r="C22" s="95">
        <f t="shared" si="0"/>
        <v>18.384005963190987</v>
      </c>
      <c r="D22" s="88" t="s">
        <v>356</v>
      </c>
      <c r="E22" s="1718">
        <v>19.38</v>
      </c>
      <c r="F22" s="191"/>
      <c r="G22" s="90" t="s">
        <v>2130</v>
      </c>
      <c r="H22" s="672"/>
    </row>
    <row r="23" spans="1:8" s="91" customFormat="1" x14ac:dyDescent="0.2">
      <c r="A23" s="117" t="s">
        <v>935</v>
      </c>
      <c r="B23" s="130"/>
      <c r="C23" s="95">
        <f t="shared" si="0"/>
        <v>18.346061678437241</v>
      </c>
      <c r="D23" s="88" t="s">
        <v>356</v>
      </c>
      <c r="E23" s="1718">
        <v>19.34</v>
      </c>
      <c r="F23" s="191"/>
      <c r="G23" s="90" t="s">
        <v>2131</v>
      </c>
      <c r="H23" s="672"/>
    </row>
    <row r="24" spans="1:8" s="77" customFormat="1" x14ac:dyDescent="0.2">
      <c r="A24" s="739" t="s">
        <v>595</v>
      </c>
      <c r="B24" s="187"/>
      <c r="C24" s="95">
        <f t="shared" si="0"/>
        <v>18.3365756072488</v>
      </c>
      <c r="D24" s="88" t="s">
        <v>356</v>
      </c>
      <c r="E24" s="1718">
        <v>19.329999999999998</v>
      </c>
      <c r="F24" s="191" t="s">
        <v>355</v>
      </c>
      <c r="G24" s="90" t="s">
        <v>2132</v>
      </c>
      <c r="H24" s="672"/>
    </row>
    <row r="25" spans="1:8" s="77" customFormat="1" x14ac:dyDescent="0.2">
      <c r="A25" s="739">
        <v>1990</v>
      </c>
      <c r="B25" s="187"/>
      <c r="C25" s="95">
        <f t="shared" si="0"/>
        <v>18.421950247944739</v>
      </c>
      <c r="D25" s="88" t="s">
        <v>356</v>
      </c>
      <c r="E25" s="1718">
        <v>19.420000000000002</v>
      </c>
      <c r="F25" s="191" t="s">
        <v>355</v>
      </c>
      <c r="G25" s="90" t="s">
        <v>2133</v>
      </c>
      <c r="H25" s="672"/>
    </row>
    <row r="26" spans="1:8" s="77" customFormat="1" x14ac:dyDescent="0.2">
      <c r="A26" s="167" t="s">
        <v>339</v>
      </c>
      <c r="B26" s="187"/>
      <c r="C26" s="190"/>
      <c r="D26" s="189"/>
      <c r="E26" s="2268"/>
      <c r="F26" s="191"/>
      <c r="G26" s="159"/>
      <c r="H26" s="160"/>
    </row>
    <row r="27" spans="1:8" s="77" customFormat="1" x14ac:dyDescent="0.2">
      <c r="A27" s="2269" t="s">
        <v>1535</v>
      </c>
      <c r="B27" s="187"/>
      <c r="C27" s="104">
        <f>C9*$C$6</f>
        <v>642.96942357400678</v>
      </c>
      <c r="D27" s="88" t="s">
        <v>362</v>
      </c>
      <c r="E27" s="2268"/>
      <c r="F27" s="191"/>
      <c r="G27" s="159"/>
      <c r="H27" s="160"/>
    </row>
    <row r="28" spans="1:8" s="77" customFormat="1" x14ac:dyDescent="0.2">
      <c r="A28" s="2269" t="s">
        <v>1560</v>
      </c>
      <c r="B28" s="187"/>
      <c r="C28" s="104">
        <f t="shared" ref="C28:C32" si="1">C10*$C$6</f>
        <v>642.96942357400678</v>
      </c>
      <c r="D28" s="88" t="s">
        <v>362</v>
      </c>
      <c r="E28" s="2268"/>
      <c r="F28" s="191"/>
      <c r="G28" s="159"/>
      <c r="H28" s="160"/>
    </row>
    <row r="29" spans="1:8" s="77" customFormat="1" x14ac:dyDescent="0.2">
      <c r="A29" s="2269" t="s">
        <v>1561</v>
      </c>
      <c r="B29" s="187"/>
      <c r="C29" s="104">
        <f t="shared" si="1"/>
        <v>642.96942357400678</v>
      </c>
      <c r="D29" s="88" t="s">
        <v>362</v>
      </c>
      <c r="E29" s="2268"/>
      <c r="F29" s="191"/>
      <c r="G29" s="159"/>
      <c r="H29" s="160"/>
    </row>
    <row r="30" spans="1:8" s="77" customFormat="1" x14ac:dyDescent="0.2">
      <c r="A30" s="2269" t="s">
        <v>1562</v>
      </c>
      <c r="B30" s="187"/>
      <c r="C30" s="104">
        <f>C12*$C$6</f>
        <v>642.96942357400678</v>
      </c>
      <c r="D30" s="88" t="s">
        <v>362</v>
      </c>
      <c r="E30" s="2268"/>
      <c r="F30" s="191"/>
      <c r="G30" s="159"/>
      <c r="H30" s="160"/>
    </row>
    <row r="31" spans="1:8" s="77" customFormat="1" x14ac:dyDescent="0.2">
      <c r="A31" s="2269" t="s">
        <v>1410</v>
      </c>
      <c r="B31" s="187"/>
      <c r="C31" s="104">
        <f t="shared" si="1"/>
        <v>642.96942357400678</v>
      </c>
      <c r="D31" s="88" t="s">
        <v>362</v>
      </c>
      <c r="E31" s="2268"/>
      <c r="F31" s="191"/>
      <c r="G31" s="159"/>
      <c r="H31" s="160"/>
    </row>
    <row r="32" spans="1:8" s="77" customFormat="1" x14ac:dyDescent="0.2">
      <c r="A32" s="176" t="s">
        <v>1401</v>
      </c>
      <c r="B32" s="187"/>
      <c r="C32" s="104">
        <f t="shared" si="1"/>
        <v>642.96942357400678</v>
      </c>
      <c r="D32" s="88" t="s">
        <v>362</v>
      </c>
      <c r="E32" s="2268"/>
      <c r="F32" s="191"/>
      <c r="G32" s="159"/>
      <c r="H32" s="160"/>
    </row>
    <row r="33" spans="1:8" s="77" customFormat="1" x14ac:dyDescent="0.2">
      <c r="A33" s="117" t="s">
        <v>1369</v>
      </c>
      <c r="B33" s="187"/>
      <c r="C33" s="104">
        <f t="shared" ref="C33:C43" si="2">C15*$C$6</f>
        <v>642.96942357400678</v>
      </c>
      <c r="D33" s="88" t="s">
        <v>362</v>
      </c>
      <c r="E33" s="2268"/>
      <c r="F33" s="191"/>
      <c r="G33" s="159"/>
      <c r="H33" s="160"/>
    </row>
    <row r="34" spans="1:8" s="77" customFormat="1" x14ac:dyDescent="0.2">
      <c r="A34" s="739" t="s">
        <v>205</v>
      </c>
      <c r="B34" s="187"/>
      <c r="C34" s="104">
        <f t="shared" si="2"/>
        <v>642.96942357400678</v>
      </c>
      <c r="D34" s="88" t="s">
        <v>362</v>
      </c>
      <c r="E34" s="2268"/>
      <c r="F34" s="191"/>
      <c r="G34" s="159"/>
      <c r="H34" s="160"/>
    </row>
    <row r="35" spans="1:8" s="77" customFormat="1" x14ac:dyDescent="0.2">
      <c r="A35" s="117" t="s">
        <v>939</v>
      </c>
      <c r="B35" s="187"/>
      <c r="C35" s="104">
        <f t="shared" si="2"/>
        <v>646.27348022135527</v>
      </c>
      <c r="D35" s="88" t="s">
        <v>362</v>
      </c>
      <c r="E35" s="2268"/>
      <c r="F35" s="191"/>
      <c r="G35" s="159"/>
      <c r="H35" s="160"/>
    </row>
    <row r="36" spans="1:8" s="77" customFormat="1" x14ac:dyDescent="0.2">
      <c r="A36" s="739" t="s">
        <v>938</v>
      </c>
      <c r="B36" s="187"/>
      <c r="C36" s="104">
        <f t="shared" si="2"/>
        <v>642.63901790927196</v>
      </c>
      <c r="D36" s="88" t="s">
        <v>362</v>
      </c>
      <c r="E36" s="2268"/>
      <c r="F36" s="191"/>
      <c r="G36" s="159"/>
      <c r="H36" s="160"/>
    </row>
    <row r="37" spans="1:8" s="91" customFormat="1" x14ac:dyDescent="0.2">
      <c r="A37" s="117" t="s">
        <v>596</v>
      </c>
      <c r="B37" s="130"/>
      <c r="C37" s="104">
        <f t="shared" si="2"/>
        <v>639.66536692665841</v>
      </c>
      <c r="D37" s="88" t="s">
        <v>362</v>
      </c>
      <c r="E37" s="1718"/>
      <c r="F37" s="191"/>
      <c r="G37" s="159"/>
      <c r="H37" s="160"/>
    </row>
    <row r="38" spans="1:8" s="91" customFormat="1" x14ac:dyDescent="0.2">
      <c r="A38" s="739" t="s">
        <v>937</v>
      </c>
      <c r="B38" s="130"/>
      <c r="C38" s="104">
        <f t="shared" si="2"/>
        <v>640.32617825612806</v>
      </c>
      <c r="D38" s="88" t="s">
        <v>362</v>
      </c>
      <c r="E38" s="1718"/>
      <c r="F38" s="191"/>
      <c r="G38" s="159"/>
      <c r="H38" s="160"/>
    </row>
    <row r="39" spans="1:8" s="91" customFormat="1" x14ac:dyDescent="0.2">
      <c r="A39" s="117" t="s">
        <v>857</v>
      </c>
      <c r="B39" s="130"/>
      <c r="C39" s="104">
        <f t="shared" si="2"/>
        <v>639.66536692665841</v>
      </c>
      <c r="D39" s="88" t="s">
        <v>362</v>
      </c>
      <c r="E39" s="1718"/>
      <c r="F39" s="191"/>
      <c r="G39" s="159"/>
      <c r="H39" s="160"/>
    </row>
    <row r="40" spans="1:8" s="91" customFormat="1" x14ac:dyDescent="0.2">
      <c r="A40" s="739" t="s">
        <v>936</v>
      </c>
      <c r="B40" s="130"/>
      <c r="C40" s="104">
        <f t="shared" si="2"/>
        <v>640.32617825612806</v>
      </c>
      <c r="D40" s="88" t="s">
        <v>362</v>
      </c>
      <c r="E40" s="1718"/>
      <c r="F40" s="191"/>
      <c r="G40" s="159"/>
      <c r="H40" s="160"/>
    </row>
    <row r="41" spans="1:8" s="91" customFormat="1" x14ac:dyDescent="0.2">
      <c r="A41" s="117" t="s">
        <v>935</v>
      </c>
      <c r="B41" s="130"/>
      <c r="C41" s="104">
        <f t="shared" si="2"/>
        <v>639.00455559718876</v>
      </c>
      <c r="D41" s="88" t="s">
        <v>362</v>
      </c>
      <c r="E41" s="1718"/>
      <c r="F41" s="191"/>
      <c r="G41" s="159"/>
      <c r="H41" s="160"/>
    </row>
    <row r="42" spans="1:8" s="77" customFormat="1" x14ac:dyDescent="0.2">
      <c r="A42" s="739" t="s">
        <v>595</v>
      </c>
      <c r="B42" s="130"/>
      <c r="C42" s="104">
        <f t="shared" si="2"/>
        <v>638.6741499324537</v>
      </c>
      <c r="D42" s="88" t="s">
        <v>362</v>
      </c>
      <c r="E42" s="1718"/>
      <c r="F42" s="191"/>
      <c r="G42" s="159"/>
      <c r="H42" s="160"/>
    </row>
    <row r="43" spans="1:8" s="77" customFormat="1" x14ac:dyDescent="0.2">
      <c r="A43" s="739">
        <v>1990</v>
      </c>
      <c r="B43" s="130"/>
      <c r="C43" s="104">
        <f t="shared" si="2"/>
        <v>641.64780091506759</v>
      </c>
      <c r="D43" s="88" t="s">
        <v>362</v>
      </c>
      <c r="E43" s="1718"/>
      <c r="F43" s="191"/>
      <c r="G43" s="159"/>
      <c r="H43" s="160"/>
    </row>
    <row r="44" spans="1:8" s="77" customFormat="1" x14ac:dyDescent="0.2">
      <c r="A44" s="167" t="s">
        <v>373</v>
      </c>
      <c r="B44" s="130"/>
      <c r="C44" s="104"/>
      <c r="D44" s="88"/>
      <c r="E44" s="1718"/>
      <c r="F44" s="191"/>
      <c r="G44" s="159"/>
      <c r="H44" s="160"/>
    </row>
    <row r="45" spans="1:8" s="77" customFormat="1" ht="13.5" x14ac:dyDescent="0.2">
      <c r="A45" s="2269" t="s">
        <v>1535</v>
      </c>
      <c r="B45" s="130" t="s">
        <v>1564</v>
      </c>
      <c r="C45" s="104">
        <v>2355.8986594140329</v>
      </c>
      <c r="D45" s="88" t="s">
        <v>552</v>
      </c>
      <c r="E45" s="1718"/>
      <c r="F45" s="191"/>
      <c r="G45" s="159"/>
      <c r="H45" s="160"/>
    </row>
    <row r="46" spans="1:8" s="77" customFormat="1" ht="13.5" x14ac:dyDescent="0.2">
      <c r="A46" s="2269" t="s">
        <v>1560</v>
      </c>
      <c r="B46" s="130" t="s">
        <v>1565</v>
      </c>
      <c r="C46" s="104">
        <v>2355.8986594140329</v>
      </c>
      <c r="D46" s="88" t="s">
        <v>552</v>
      </c>
      <c r="E46" s="1718"/>
      <c r="F46" s="191"/>
      <c r="G46" s="159"/>
      <c r="H46" s="160"/>
    </row>
    <row r="47" spans="1:8" s="77" customFormat="1" ht="13.5" x14ac:dyDescent="0.2">
      <c r="A47" s="2269" t="s">
        <v>1561</v>
      </c>
      <c r="B47" s="130" t="s">
        <v>1566</v>
      </c>
      <c r="C47" s="104">
        <v>2355.8986594140329</v>
      </c>
      <c r="D47" s="88" t="s">
        <v>552</v>
      </c>
      <c r="E47" s="1718"/>
      <c r="F47" s="191"/>
      <c r="G47" s="159"/>
      <c r="H47" s="160"/>
    </row>
    <row r="48" spans="1:8" s="77" customFormat="1" ht="13.5" x14ac:dyDescent="0.2">
      <c r="A48" s="2269" t="s">
        <v>1562</v>
      </c>
      <c r="B48" s="130" t="s">
        <v>1567</v>
      </c>
      <c r="C48" s="104">
        <v>2355.8986594140329</v>
      </c>
      <c r="D48" s="88" t="s">
        <v>552</v>
      </c>
      <c r="E48" s="1718"/>
      <c r="F48" s="191"/>
      <c r="G48" s="159"/>
      <c r="H48" s="160"/>
    </row>
    <row r="49" spans="1:8" s="77" customFormat="1" ht="13.5" x14ac:dyDescent="0.2">
      <c r="A49" s="2269" t="s">
        <v>1410</v>
      </c>
      <c r="B49" s="130" t="s">
        <v>1568</v>
      </c>
      <c r="C49" s="104">
        <v>2355.8986594140329</v>
      </c>
      <c r="D49" s="88" t="s">
        <v>552</v>
      </c>
      <c r="E49" s="1718"/>
      <c r="F49" s="191"/>
      <c r="G49" s="159"/>
      <c r="H49" s="160"/>
    </row>
    <row r="50" spans="1:8" s="77" customFormat="1" ht="13.5" x14ac:dyDescent="0.2">
      <c r="A50" s="2269" t="s">
        <v>1401</v>
      </c>
      <c r="B50" s="130" t="s">
        <v>1569</v>
      </c>
      <c r="C50" s="104">
        <v>2355.8986594140329</v>
      </c>
      <c r="D50" s="88" t="s">
        <v>552</v>
      </c>
      <c r="E50" s="1718"/>
      <c r="F50" s="191"/>
      <c r="G50" s="159"/>
      <c r="H50" s="160"/>
    </row>
    <row r="51" spans="1:8" s="77" customFormat="1" ht="13.5" x14ac:dyDescent="0.2">
      <c r="A51" s="117" t="s">
        <v>1369</v>
      </c>
      <c r="B51" s="130" t="s">
        <v>1470</v>
      </c>
      <c r="C51" s="104">
        <f t="shared" ref="C51:C60" si="3">C33*CO2.C*$C$7</f>
        <v>2355.8986594140329</v>
      </c>
      <c r="D51" s="88" t="s">
        <v>552</v>
      </c>
      <c r="E51" s="1718"/>
      <c r="F51" s="191"/>
      <c r="G51" s="159"/>
      <c r="H51" s="160"/>
    </row>
    <row r="52" spans="1:8" s="77" customFormat="1" ht="13.5" x14ac:dyDescent="0.2">
      <c r="A52" s="739" t="s">
        <v>205</v>
      </c>
      <c r="B52" s="130" t="s">
        <v>1465</v>
      </c>
      <c r="C52" s="104">
        <f t="shared" si="3"/>
        <v>2355.8986594140329</v>
      </c>
      <c r="D52" s="88" t="s">
        <v>552</v>
      </c>
      <c r="E52" s="1718"/>
      <c r="F52" s="191"/>
      <c r="G52" s="159"/>
      <c r="H52" s="160"/>
    </row>
    <row r="53" spans="1:8" s="77" customFormat="1" ht="13.5" x14ac:dyDescent="0.2">
      <c r="A53" s="117" t="s">
        <v>939</v>
      </c>
      <c r="B53" s="130" t="s">
        <v>1496</v>
      </c>
      <c r="C53" s="104">
        <f t="shared" si="3"/>
        <v>2368.0050245703233</v>
      </c>
      <c r="D53" s="88" t="s">
        <v>552</v>
      </c>
      <c r="E53" s="1718"/>
      <c r="F53" s="191"/>
      <c r="G53" s="159"/>
      <c r="H53" s="160"/>
    </row>
    <row r="54" spans="1:8" s="77" customFormat="1" ht="13.5" x14ac:dyDescent="0.2">
      <c r="A54" s="739" t="s">
        <v>938</v>
      </c>
      <c r="B54" s="130" t="s">
        <v>1497</v>
      </c>
      <c r="C54" s="104">
        <f t="shared" si="3"/>
        <v>2354.6880228984041</v>
      </c>
      <c r="D54" s="88" t="s">
        <v>552</v>
      </c>
      <c r="E54" s="1718"/>
      <c r="F54" s="191"/>
      <c r="G54" s="159"/>
      <c r="H54" s="160"/>
    </row>
    <row r="55" spans="1:8" s="77" customFormat="1" ht="13.5" x14ac:dyDescent="0.2">
      <c r="A55" s="117" t="s">
        <v>596</v>
      </c>
      <c r="B55" s="130" t="s">
        <v>374</v>
      </c>
      <c r="C55" s="104">
        <f t="shared" si="3"/>
        <v>2343.7922942577429</v>
      </c>
      <c r="D55" s="88" t="s">
        <v>552</v>
      </c>
      <c r="E55" s="1718"/>
      <c r="F55" s="191"/>
      <c r="G55" s="159"/>
      <c r="H55" s="160"/>
    </row>
    <row r="56" spans="1:8" s="77" customFormat="1" ht="13.5" x14ac:dyDescent="0.2">
      <c r="A56" s="739" t="s">
        <v>937</v>
      </c>
      <c r="B56" s="130" t="s">
        <v>1498</v>
      </c>
      <c r="C56" s="104">
        <f t="shared" si="3"/>
        <v>2346.2135672890008</v>
      </c>
      <c r="D56" s="88" t="s">
        <v>552</v>
      </c>
      <c r="E56" s="1718"/>
      <c r="F56" s="191"/>
      <c r="G56" s="159"/>
      <c r="H56" s="160"/>
    </row>
    <row r="57" spans="1:8" s="77" customFormat="1" ht="13.5" x14ac:dyDescent="0.2">
      <c r="A57" s="117" t="s">
        <v>857</v>
      </c>
      <c r="B57" s="130" t="s">
        <v>1466</v>
      </c>
      <c r="C57" s="104">
        <f t="shared" si="3"/>
        <v>2343.7922942577429</v>
      </c>
      <c r="D57" s="88" t="s">
        <v>552</v>
      </c>
      <c r="E57" s="1718"/>
      <c r="F57" s="191"/>
      <c r="G57" s="159"/>
      <c r="H57" s="160"/>
    </row>
    <row r="58" spans="1:8" s="77" customFormat="1" ht="13.5" x14ac:dyDescent="0.2">
      <c r="A58" s="739" t="s">
        <v>936</v>
      </c>
      <c r="B58" s="130" t="s">
        <v>1499</v>
      </c>
      <c r="C58" s="104">
        <f t="shared" si="3"/>
        <v>2346.2135672890008</v>
      </c>
      <c r="D58" s="88" t="s">
        <v>552</v>
      </c>
      <c r="E58" s="1718"/>
      <c r="F58" s="191"/>
      <c r="G58" s="159"/>
      <c r="H58" s="160"/>
    </row>
    <row r="59" spans="1:8" s="77" customFormat="1" ht="13.5" x14ac:dyDescent="0.2">
      <c r="A59" s="117" t="s">
        <v>935</v>
      </c>
      <c r="B59" s="130" t="s">
        <v>1500</v>
      </c>
      <c r="C59" s="104">
        <f t="shared" si="3"/>
        <v>2341.371021226485</v>
      </c>
      <c r="D59" s="88" t="s">
        <v>552</v>
      </c>
      <c r="E59" s="1718"/>
      <c r="F59" s="191"/>
      <c r="G59" s="159"/>
      <c r="H59" s="160"/>
    </row>
    <row r="60" spans="1:8" s="77" customFormat="1" ht="13.5" x14ac:dyDescent="0.2">
      <c r="A60" s="739" t="s">
        <v>595</v>
      </c>
      <c r="B60" s="130" t="s">
        <v>375</v>
      </c>
      <c r="C60" s="104">
        <f t="shared" si="3"/>
        <v>2340.1603847108554</v>
      </c>
      <c r="D60" s="88" t="s">
        <v>552</v>
      </c>
      <c r="E60" s="1718"/>
      <c r="F60" s="191"/>
      <c r="G60" s="159"/>
      <c r="H60" s="160"/>
    </row>
    <row r="61" spans="1:8" s="77" customFormat="1" ht="13.5" x14ac:dyDescent="0.2">
      <c r="A61" s="739">
        <v>1990</v>
      </c>
      <c r="B61" s="130" t="s">
        <v>376</v>
      </c>
      <c r="C61" s="104">
        <f>C43*CO2.C*$C$7</f>
        <v>2351.0561133515175</v>
      </c>
      <c r="D61" s="88" t="s">
        <v>552</v>
      </c>
      <c r="E61" s="1718"/>
      <c r="F61" s="191"/>
      <c r="G61" s="159"/>
      <c r="H61" s="160"/>
    </row>
    <row r="62" spans="1:8" s="77" customFormat="1" x14ac:dyDescent="0.2">
      <c r="A62" s="739"/>
      <c r="B62" s="130"/>
      <c r="C62" s="104"/>
      <c r="D62" s="88"/>
      <c r="E62" s="1718"/>
      <c r="F62" s="191"/>
      <c r="G62" s="159"/>
      <c r="H62" s="160"/>
    </row>
    <row r="63" spans="1:8" s="77" customFormat="1" ht="13.5" x14ac:dyDescent="0.2">
      <c r="A63" s="739" t="s">
        <v>1535</v>
      </c>
      <c r="B63" s="130" t="s">
        <v>1570</v>
      </c>
      <c r="C63" s="104">
        <v>8918.018785345881</v>
      </c>
      <c r="D63" s="88" t="s">
        <v>1571</v>
      </c>
      <c r="E63" s="1718"/>
      <c r="F63" s="191"/>
      <c r="G63" s="159"/>
      <c r="H63" s="160"/>
    </row>
    <row r="64" spans="1:8" s="77" customFormat="1" ht="13.5" x14ac:dyDescent="0.2">
      <c r="A64" s="739" t="s">
        <v>1560</v>
      </c>
      <c r="B64" s="130" t="s">
        <v>1572</v>
      </c>
      <c r="C64" s="104">
        <v>8918.018785345881</v>
      </c>
      <c r="D64" s="88" t="s">
        <v>1571</v>
      </c>
      <c r="E64" s="1718"/>
      <c r="F64" s="191"/>
      <c r="G64" s="159"/>
      <c r="H64" s="160"/>
    </row>
    <row r="65" spans="1:8" s="77" customFormat="1" ht="13.5" x14ac:dyDescent="0.2">
      <c r="A65" s="739" t="s">
        <v>1561</v>
      </c>
      <c r="B65" s="130" t="s">
        <v>1573</v>
      </c>
      <c r="C65" s="104">
        <v>8918.018785345881</v>
      </c>
      <c r="D65" s="88" t="s">
        <v>1571</v>
      </c>
      <c r="E65" s="1718"/>
      <c r="F65" s="191"/>
      <c r="G65" s="159"/>
      <c r="H65" s="160"/>
    </row>
    <row r="66" spans="1:8" s="77" customFormat="1" ht="13.5" x14ac:dyDescent="0.2">
      <c r="A66" s="739" t="s">
        <v>1562</v>
      </c>
      <c r="B66" s="130" t="s">
        <v>1574</v>
      </c>
      <c r="C66" s="104">
        <v>8918.018785345881</v>
      </c>
      <c r="D66" s="88" t="s">
        <v>1571</v>
      </c>
      <c r="E66" s="1718"/>
      <c r="F66" s="191"/>
      <c r="G66" s="159"/>
      <c r="H66" s="160"/>
    </row>
    <row r="67" spans="1:8" s="77" customFormat="1" ht="13.5" x14ac:dyDescent="0.2">
      <c r="A67" s="739" t="s">
        <v>1410</v>
      </c>
      <c r="B67" s="130" t="s">
        <v>1575</v>
      </c>
      <c r="C67" s="104">
        <v>8918.018785345881</v>
      </c>
      <c r="D67" s="88" t="s">
        <v>1571</v>
      </c>
      <c r="E67" s="1718"/>
      <c r="F67" s="191"/>
      <c r="G67" s="159"/>
      <c r="H67" s="160"/>
    </row>
    <row r="68" spans="1:8" s="77" customFormat="1" ht="13.5" x14ac:dyDescent="0.2">
      <c r="A68" s="739" t="s">
        <v>1401</v>
      </c>
      <c r="B68" s="130" t="s">
        <v>1576</v>
      </c>
      <c r="C68" s="104">
        <v>8918.018785345881</v>
      </c>
      <c r="D68" s="88" t="s">
        <v>1571</v>
      </c>
      <c r="E68" s="1718"/>
      <c r="F68" s="191"/>
      <c r="G68" s="159"/>
      <c r="H68" s="160"/>
    </row>
    <row r="69" spans="1:8" s="77" customFormat="1" ht="13.5" x14ac:dyDescent="0.2">
      <c r="A69" s="739" t="s">
        <v>1369</v>
      </c>
      <c r="B69" s="130" t="s">
        <v>1577</v>
      </c>
      <c r="C69" s="104">
        <v>8918.018785345881</v>
      </c>
      <c r="D69" s="88" t="s">
        <v>1571</v>
      </c>
      <c r="E69" s="1718"/>
      <c r="F69" s="191"/>
      <c r="G69" s="159"/>
      <c r="H69" s="160"/>
    </row>
    <row r="70" spans="1:8" s="77" customFormat="1" ht="13.5" x14ac:dyDescent="0.2">
      <c r="A70" s="739" t="s">
        <v>205</v>
      </c>
      <c r="B70" s="130" t="s">
        <v>1578</v>
      </c>
      <c r="C70" s="104">
        <v>8918.018785345881</v>
      </c>
      <c r="D70" s="88" t="s">
        <v>1571</v>
      </c>
      <c r="E70" s="1718"/>
      <c r="F70" s="191"/>
      <c r="G70" s="159"/>
      <c r="H70" s="160"/>
    </row>
    <row r="71" spans="1:8" s="77" customFormat="1" ht="13.5" x14ac:dyDescent="0.2">
      <c r="A71" s="739" t="s">
        <v>939</v>
      </c>
      <c r="B71" s="130" t="s">
        <v>1579</v>
      </c>
      <c r="C71" s="104">
        <v>8963.8462200085014</v>
      </c>
      <c r="D71" s="88" t="s">
        <v>1571</v>
      </c>
      <c r="E71" s="1718"/>
      <c r="F71" s="191"/>
      <c r="G71" s="159"/>
      <c r="H71" s="160"/>
    </row>
    <row r="72" spans="1:8" s="77" customFormat="1" ht="13.5" x14ac:dyDescent="0.2">
      <c r="A72" s="739" t="s">
        <v>938</v>
      </c>
      <c r="B72" s="130" t="s">
        <v>1580</v>
      </c>
      <c r="C72" s="104">
        <v>8913.4360418796186</v>
      </c>
      <c r="D72" s="88" t="s">
        <v>1571</v>
      </c>
      <c r="E72" s="1718"/>
      <c r="F72" s="191"/>
      <c r="G72" s="159"/>
      <c r="H72" s="160"/>
    </row>
    <row r="73" spans="1:8" s="77" customFormat="1" ht="13.5" x14ac:dyDescent="0.2">
      <c r="A73" s="739" t="s">
        <v>596</v>
      </c>
      <c r="B73" s="130" t="s">
        <v>1581</v>
      </c>
      <c r="C73" s="104">
        <v>8872.1913506832607</v>
      </c>
      <c r="D73" s="88" t="s">
        <v>1571</v>
      </c>
      <c r="E73" s="1718"/>
      <c r="F73" s="191"/>
      <c r="G73" s="159"/>
      <c r="H73" s="160"/>
    </row>
    <row r="74" spans="1:8" s="77" customFormat="1" ht="13.5" x14ac:dyDescent="0.2">
      <c r="A74" s="739" t="s">
        <v>937</v>
      </c>
      <c r="B74" s="130" t="s">
        <v>1582</v>
      </c>
      <c r="C74" s="104">
        <v>8881.3568376157837</v>
      </c>
      <c r="D74" s="88" t="s">
        <v>1571</v>
      </c>
      <c r="E74" s="1718"/>
      <c r="F74" s="191"/>
      <c r="G74" s="159"/>
      <c r="H74" s="160"/>
    </row>
    <row r="75" spans="1:8" s="77" customFormat="1" ht="13.5" x14ac:dyDescent="0.2">
      <c r="A75" s="739" t="s">
        <v>857</v>
      </c>
      <c r="B75" s="130" t="s">
        <v>1583</v>
      </c>
      <c r="C75" s="104">
        <v>8872.1913506832607</v>
      </c>
      <c r="D75" s="88" t="s">
        <v>1571</v>
      </c>
      <c r="E75" s="1718"/>
      <c r="F75" s="191"/>
      <c r="G75" s="159"/>
      <c r="H75" s="160"/>
    </row>
    <row r="76" spans="1:8" s="77" customFormat="1" ht="13.5" x14ac:dyDescent="0.2">
      <c r="A76" s="739" t="s">
        <v>936</v>
      </c>
      <c r="B76" s="130" t="s">
        <v>1584</v>
      </c>
      <c r="C76" s="104">
        <v>8881.3568376157837</v>
      </c>
      <c r="D76" s="88" t="s">
        <v>1571</v>
      </c>
      <c r="E76" s="1718"/>
      <c r="F76" s="191"/>
      <c r="G76" s="159"/>
      <c r="H76" s="160"/>
    </row>
    <row r="77" spans="1:8" s="77" customFormat="1" ht="13.5" x14ac:dyDescent="0.2">
      <c r="A77" s="739" t="s">
        <v>935</v>
      </c>
      <c r="B77" s="130" t="s">
        <v>1585</v>
      </c>
      <c r="C77" s="104">
        <v>8863.0258637507359</v>
      </c>
      <c r="D77" s="88" t="s">
        <v>1571</v>
      </c>
      <c r="E77" s="1718"/>
      <c r="F77" s="191"/>
      <c r="G77" s="159"/>
      <c r="H77" s="160"/>
    </row>
    <row r="78" spans="1:8" s="77" customFormat="1" ht="13.5" x14ac:dyDescent="0.2">
      <c r="A78" s="739" t="s">
        <v>595</v>
      </c>
      <c r="B78" s="130" t="s">
        <v>1586</v>
      </c>
      <c r="C78" s="104">
        <v>8858.4431202844717</v>
      </c>
      <c r="D78" s="88" t="s">
        <v>1571</v>
      </c>
      <c r="E78" s="1718"/>
      <c r="F78" s="191"/>
      <c r="G78" s="159"/>
      <c r="H78" s="160"/>
    </row>
    <row r="79" spans="1:8" s="77" customFormat="1" ht="13.5" x14ac:dyDescent="0.2">
      <c r="A79" s="739" t="s">
        <v>1563</v>
      </c>
      <c r="B79" s="130" t="s">
        <v>1587</v>
      </c>
      <c r="C79" s="104">
        <v>8872.1913506832607</v>
      </c>
      <c r="D79" s="88" t="s">
        <v>1571</v>
      </c>
      <c r="E79" s="1718"/>
      <c r="F79" s="191"/>
      <c r="G79" s="159"/>
      <c r="H79" s="160"/>
    </row>
    <row r="80" spans="1:8" s="77" customFormat="1" ht="13.5" x14ac:dyDescent="0.2">
      <c r="A80" s="739">
        <v>1990</v>
      </c>
      <c r="B80" s="130" t="s">
        <v>1588</v>
      </c>
      <c r="C80" s="104">
        <v>8899.6878114808351</v>
      </c>
      <c r="D80" s="88" t="s">
        <v>1571</v>
      </c>
      <c r="E80" s="1718"/>
      <c r="F80" s="191"/>
      <c r="G80" s="159"/>
      <c r="H80" s="160"/>
    </row>
    <row r="81" spans="1:8" s="77" customFormat="1" x14ac:dyDescent="0.2">
      <c r="A81" s="739"/>
      <c r="B81" s="130"/>
      <c r="C81" s="104"/>
      <c r="D81" s="88"/>
      <c r="E81" s="1718"/>
      <c r="F81" s="191"/>
      <c r="G81" s="159"/>
      <c r="H81" s="160"/>
    </row>
    <row r="82" spans="1:8" s="91" customFormat="1" x14ac:dyDescent="0.2">
      <c r="A82" s="120" t="s">
        <v>1471</v>
      </c>
      <c r="B82" s="130"/>
      <c r="C82" s="95"/>
      <c r="D82" s="88"/>
      <c r="F82" s="135"/>
      <c r="G82" s="90"/>
      <c r="H82" s="88"/>
    </row>
    <row r="83" spans="1:8" s="77" customFormat="1" x14ac:dyDescent="0.2">
      <c r="A83" s="167" t="s">
        <v>531</v>
      </c>
      <c r="B83" s="187"/>
      <c r="C83" s="1718">
        <f>141.5/(E83+131.5)</f>
        <v>0.84578601315002988</v>
      </c>
      <c r="D83" s="189" t="s">
        <v>354</v>
      </c>
      <c r="E83" s="188">
        <v>35.799999999999997</v>
      </c>
      <c r="F83" s="191" t="s">
        <v>518</v>
      </c>
      <c r="G83" s="90" t="s">
        <v>1593</v>
      </c>
      <c r="H83" s="672" t="s">
        <v>1467</v>
      </c>
    </row>
    <row r="84" spans="1:8" s="77" customFormat="1" x14ac:dyDescent="0.2">
      <c r="A84" s="167" t="s">
        <v>363</v>
      </c>
      <c r="B84" s="187" t="s">
        <v>350</v>
      </c>
      <c r="C84" s="1718">
        <f>E84*BtuTOJ/bblTOL</f>
        <v>38.517233002991439</v>
      </c>
      <c r="D84" s="189" t="s">
        <v>515</v>
      </c>
      <c r="E84" s="1719">
        <v>5.8090000000000002</v>
      </c>
      <c r="F84" s="191" t="s">
        <v>357</v>
      </c>
      <c r="G84" s="90" t="s">
        <v>1593</v>
      </c>
      <c r="H84" s="672" t="s">
        <v>1467</v>
      </c>
    </row>
    <row r="85" spans="1:8" s="91" customFormat="1" x14ac:dyDescent="0.2">
      <c r="A85" s="113" t="s">
        <v>339</v>
      </c>
      <c r="B85" s="187"/>
      <c r="C85" s="95">
        <f>E85/quadTOEJ</f>
        <v>19.133405587077515</v>
      </c>
      <c r="D85" s="88" t="s">
        <v>356</v>
      </c>
      <c r="E85" s="1718">
        <v>20.170000000000002</v>
      </c>
      <c r="F85" s="191" t="s">
        <v>355</v>
      </c>
      <c r="G85" s="90" t="s">
        <v>1593</v>
      </c>
      <c r="H85" s="672" t="s">
        <v>1474</v>
      </c>
    </row>
    <row r="86" spans="1:8" s="91" customFormat="1" x14ac:dyDescent="0.2">
      <c r="A86" s="113" t="s">
        <v>364</v>
      </c>
      <c r="B86" s="130"/>
      <c r="C86" s="95"/>
      <c r="D86" s="88"/>
      <c r="E86" s="1718">
        <v>1</v>
      </c>
      <c r="F86" s="191"/>
      <c r="G86" s="90" t="s">
        <v>1593</v>
      </c>
      <c r="H86" s="672" t="s">
        <v>1469</v>
      </c>
    </row>
    <row r="87" spans="1:8" s="91" customFormat="1" ht="13.5" x14ac:dyDescent="0.2">
      <c r="A87" s="113" t="s">
        <v>377</v>
      </c>
      <c r="B87" s="130" t="s">
        <v>1590</v>
      </c>
      <c r="C87" s="104">
        <f>C85*HHVdistillate*CO2.C*E86</f>
        <v>2700.310113536194</v>
      </c>
      <c r="D87" s="88" t="s">
        <v>552</v>
      </c>
      <c r="F87" s="135"/>
      <c r="G87" s="90"/>
      <c r="H87" s="88"/>
    </row>
    <row r="88" spans="1:8" s="91" customFormat="1" ht="13.5" x14ac:dyDescent="0.2">
      <c r="A88" s="113" t="s">
        <v>1603</v>
      </c>
      <c r="B88" s="130" t="s">
        <v>1591</v>
      </c>
      <c r="C88" s="104">
        <v>10221.753903779909</v>
      </c>
      <c r="D88" s="88" t="s">
        <v>1571</v>
      </c>
      <c r="F88" s="135"/>
      <c r="G88" s="90"/>
      <c r="H88" s="88"/>
    </row>
    <row r="89" spans="1:8" s="91" customFormat="1" ht="12" customHeight="1" x14ac:dyDescent="0.2">
      <c r="A89" s="113" t="s">
        <v>1592</v>
      </c>
      <c r="B89" s="130" t="s">
        <v>1979</v>
      </c>
      <c r="C89" s="104"/>
      <c r="D89" s="627"/>
      <c r="E89" s="91">
        <f>0.0015*1000</f>
        <v>1.5</v>
      </c>
      <c r="F89" s="135" t="s">
        <v>2093</v>
      </c>
      <c r="G89" s="90" t="s">
        <v>1593</v>
      </c>
      <c r="H89" s="672" t="s">
        <v>1467</v>
      </c>
    </row>
    <row r="90" spans="1:8" s="91" customFormat="1" ht="12" customHeight="1" x14ac:dyDescent="0.2">
      <c r="A90" s="113" t="s">
        <v>1595</v>
      </c>
      <c r="B90" s="130" t="s">
        <v>1978</v>
      </c>
      <c r="C90" s="104"/>
      <c r="D90" s="627"/>
      <c r="E90" s="91">
        <f>0.0001*1000</f>
        <v>0.1</v>
      </c>
      <c r="F90" s="135" t="s">
        <v>2093</v>
      </c>
      <c r="G90" s="90" t="s">
        <v>1593</v>
      </c>
      <c r="H90" s="672" t="s">
        <v>1467</v>
      </c>
    </row>
    <row r="91" spans="1:8" s="91" customFormat="1" ht="12" customHeight="1" x14ac:dyDescent="0.2">
      <c r="A91" s="113" t="s">
        <v>1596</v>
      </c>
      <c r="B91" s="130" t="s">
        <v>1983</v>
      </c>
      <c r="C91" s="104"/>
      <c r="D91" s="627"/>
      <c r="E91" s="91">
        <f>0.0015*1000</f>
        <v>1.5</v>
      </c>
      <c r="F91" s="135" t="s">
        <v>2093</v>
      </c>
      <c r="G91" s="90" t="s">
        <v>1593</v>
      </c>
      <c r="H91" s="672" t="s">
        <v>1467</v>
      </c>
    </row>
    <row r="92" spans="1:8" s="91" customFormat="1" ht="12" customHeight="1" x14ac:dyDescent="0.2">
      <c r="A92" s="113" t="s">
        <v>1597</v>
      </c>
      <c r="B92" s="130" t="s">
        <v>1984</v>
      </c>
      <c r="C92" s="104"/>
      <c r="D92" s="627"/>
      <c r="E92" s="91">
        <f>0.0001*1000</f>
        <v>0.1</v>
      </c>
      <c r="F92" s="135" t="s">
        <v>2093</v>
      </c>
      <c r="G92" s="90" t="s">
        <v>1593</v>
      </c>
      <c r="H92" s="672" t="s">
        <v>1467</v>
      </c>
    </row>
    <row r="93" spans="1:8" s="77" customFormat="1" ht="12" customHeight="1" x14ac:dyDescent="0.2">
      <c r="A93" s="113" t="s">
        <v>1598</v>
      </c>
      <c r="B93" s="130" t="s">
        <v>2090</v>
      </c>
      <c r="C93" s="104"/>
      <c r="D93" s="627"/>
      <c r="E93" s="91">
        <f>0.0004*1000</f>
        <v>0.4</v>
      </c>
      <c r="F93" s="135" t="s">
        <v>2093</v>
      </c>
      <c r="G93" s="90" t="s">
        <v>1593</v>
      </c>
      <c r="H93" s="672" t="s">
        <v>1467</v>
      </c>
    </row>
    <row r="94" spans="1:8" s="77" customFormat="1" ht="12" customHeight="1" x14ac:dyDescent="0.2">
      <c r="A94" s="113" t="s">
        <v>1599</v>
      </c>
      <c r="B94" s="130" t="s">
        <v>2091</v>
      </c>
      <c r="C94" s="104"/>
      <c r="D94" s="627"/>
      <c r="E94" s="91">
        <f>0.0001*1000</f>
        <v>0.1</v>
      </c>
      <c r="F94" s="135" t="s">
        <v>2093</v>
      </c>
      <c r="G94" s="90" t="s">
        <v>1593</v>
      </c>
      <c r="H94" s="672" t="s">
        <v>1467</v>
      </c>
    </row>
    <row r="95" spans="1:8" s="91" customFormat="1" x14ac:dyDescent="0.2">
      <c r="A95" s="113"/>
      <c r="B95" s="130"/>
      <c r="C95" s="104"/>
      <c r="D95" s="88"/>
      <c r="F95" s="135"/>
      <c r="G95" s="90"/>
      <c r="H95" s="672"/>
    </row>
    <row r="96" spans="1:8" s="77" customFormat="1" x14ac:dyDescent="0.2">
      <c r="A96" s="120" t="s">
        <v>1472</v>
      </c>
      <c r="B96" s="130"/>
      <c r="C96" s="104"/>
      <c r="D96" s="88"/>
      <c r="E96" s="91"/>
      <c r="F96" s="135"/>
      <c r="G96" s="90"/>
      <c r="H96" s="672"/>
    </row>
    <row r="97" spans="1:8" s="77" customFormat="1" x14ac:dyDescent="0.2">
      <c r="A97" s="167" t="s">
        <v>531</v>
      </c>
      <c r="B97" s="187"/>
      <c r="C97" s="1718">
        <f>141.5/(E97+131.5)</f>
        <v>0.9625850340136054</v>
      </c>
      <c r="D97" s="189" t="s">
        <v>354</v>
      </c>
      <c r="E97" s="188">
        <v>15.5</v>
      </c>
      <c r="F97" s="191" t="s">
        <v>518</v>
      </c>
      <c r="G97" s="90" t="s">
        <v>1593</v>
      </c>
      <c r="H97" s="672" t="s">
        <v>1469</v>
      </c>
    </row>
    <row r="98" spans="1:8" s="77" customFormat="1" x14ac:dyDescent="0.2">
      <c r="A98" s="167" t="s">
        <v>363</v>
      </c>
      <c r="B98" s="187" t="s">
        <v>291</v>
      </c>
      <c r="C98" s="1718">
        <f>E98*BtuTOJ/bblTOL</f>
        <v>41.885584589412453</v>
      </c>
      <c r="D98" s="189" t="s">
        <v>515</v>
      </c>
      <c r="E98" s="1719">
        <v>6.3170000000000002</v>
      </c>
      <c r="F98" s="191" t="s">
        <v>357</v>
      </c>
      <c r="G98" s="90" t="s">
        <v>1593</v>
      </c>
      <c r="H98" s="672" t="s">
        <v>1473</v>
      </c>
    </row>
    <row r="99" spans="1:8" s="91" customFormat="1" x14ac:dyDescent="0.2">
      <c r="A99" s="113" t="s">
        <v>339</v>
      </c>
      <c r="B99" s="187"/>
      <c r="C99" s="95">
        <f>E99/quadTOEJ</f>
        <v>19.427473793919063</v>
      </c>
      <c r="D99" s="88" t="s">
        <v>356</v>
      </c>
      <c r="E99" s="1718">
        <v>20.48</v>
      </c>
      <c r="F99" s="191" t="s">
        <v>355</v>
      </c>
      <c r="G99" s="90" t="s">
        <v>1593</v>
      </c>
      <c r="H99" s="88"/>
    </row>
    <row r="100" spans="1:8" s="91" customFormat="1" ht="13.5" x14ac:dyDescent="0.2">
      <c r="A100" s="113" t="s">
        <v>364</v>
      </c>
      <c r="B100" s="130"/>
      <c r="C100" s="95"/>
      <c r="D100" s="88"/>
      <c r="E100" s="1718">
        <v>1</v>
      </c>
      <c r="F100" s="191"/>
      <c r="G100" s="90" t="s">
        <v>1593</v>
      </c>
      <c r="H100" s="88" t="s">
        <v>426</v>
      </c>
    </row>
    <row r="101" spans="1:8" s="77" customFormat="1" ht="13.5" x14ac:dyDescent="0.2">
      <c r="A101" s="113" t="s">
        <v>377</v>
      </c>
      <c r="B101" s="130" t="s">
        <v>292</v>
      </c>
      <c r="C101" s="104">
        <f>C99*HHVresidual*CO2.C*E100</f>
        <v>2981.5850181191208</v>
      </c>
      <c r="D101" s="88" t="s">
        <v>552</v>
      </c>
      <c r="E101" s="91"/>
      <c r="F101" s="135"/>
      <c r="G101" s="90"/>
      <c r="H101" s="160" t="s">
        <v>315</v>
      </c>
    </row>
    <row r="102" spans="1:8" s="77" customFormat="1" ht="13.5" x14ac:dyDescent="0.2">
      <c r="A102" s="113"/>
      <c r="B102" s="130" t="s">
        <v>1600</v>
      </c>
      <c r="C102" s="104">
        <f>efresidual/LTOgal</f>
        <v>11286.49192758812</v>
      </c>
      <c r="D102" s="88" t="s">
        <v>1571</v>
      </c>
      <c r="E102" s="91"/>
      <c r="F102" s="135"/>
      <c r="G102" s="90"/>
      <c r="H102" s="160"/>
    </row>
    <row r="103" spans="1:8" s="77" customFormat="1" x14ac:dyDescent="0.2">
      <c r="A103" s="113" t="s">
        <v>2083</v>
      </c>
      <c r="B103" s="88" t="s">
        <v>2094</v>
      </c>
      <c r="C103" s="104"/>
      <c r="D103" s="2120"/>
      <c r="E103" s="91">
        <f>0.0017*1000</f>
        <v>1.7</v>
      </c>
      <c r="F103" s="135" t="s">
        <v>2093</v>
      </c>
      <c r="G103" s="90" t="s">
        <v>1593</v>
      </c>
      <c r="H103" s="160" t="s">
        <v>1594</v>
      </c>
    </row>
    <row r="104" spans="1:8" s="77" customFormat="1" x14ac:dyDescent="0.2">
      <c r="A104" s="113" t="s">
        <v>2084</v>
      </c>
      <c r="B104" s="88" t="s">
        <v>2095</v>
      </c>
      <c r="C104" s="104"/>
      <c r="D104" s="2120"/>
      <c r="E104" s="91">
        <f>0.0001*1000</f>
        <v>0.1</v>
      </c>
      <c r="F104" s="135" t="s">
        <v>2093</v>
      </c>
      <c r="G104" s="90" t="s">
        <v>1593</v>
      </c>
      <c r="H104" s="160" t="s">
        <v>1594</v>
      </c>
    </row>
    <row r="105" spans="1:8" s="77" customFormat="1" x14ac:dyDescent="0.2">
      <c r="A105" s="113" t="s">
        <v>2085</v>
      </c>
      <c r="B105" s="88" t="s">
        <v>2096</v>
      </c>
      <c r="C105" s="104"/>
      <c r="D105" s="2120"/>
      <c r="E105" s="91">
        <f>0.0017*1000</f>
        <v>1.7</v>
      </c>
      <c r="F105" s="135" t="s">
        <v>2093</v>
      </c>
      <c r="G105" s="90" t="s">
        <v>1593</v>
      </c>
      <c r="H105" s="160" t="s">
        <v>1594</v>
      </c>
    </row>
    <row r="106" spans="1:8" s="77" customFormat="1" x14ac:dyDescent="0.2">
      <c r="A106" s="113" t="s">
        <v>2086</v>
      </c>
      <c r="B106" s="88" t="s">
        <v>2097</v>
      </c>
      <c r="C106" s="104"/>
      <c r="D106" s="2120"/>
      <c r="E106" s="91">
        <f>0.0001*1000</f>
        <v>0.1</v>
      </c>
      <c r="F106" s="135" t="s">
        <v>2093</v>
      </c>
      <c r="G106" s="90" t="s">
        <v>1593</v>
      </c>
      <c r="H106" s="160" t="s">
        <v>1594</v>
      </c>
    </row>
    <row r="107" spans="1:8" s="77" customFormat="1" x14ac:dyDescent="0.2">
      <c r="A107" s="113" t="s">
        <v>2087</v>
      </c>
      <c r="B107" s="88" t="s">
        <v>2098</v>
      </c>
      <c r="C107" s="104"/>
      <c r="D107" s="2120"/>
      <c r="E107" s="91">
        <f>0.0005*1000</f>
        <v>0.5</v>
      </c>
      <c r="F107" s="135" t="s">
        <v>2093</v>
      </c>
      <c r="G107" s="90" t="s">
        <v>1593</v>
      </c>
      <c r="H107" s="160" t="s">
        <v>1594</v>
      </c>
    </row>
    <row r="108" spans="1:8" s="77" customFormat="1" x14ac:dyDescent="0.2">
      <c r="A108" s="113" t="s">
        <v>2088</v>
      </c>
      <c r="B108" s="88" t="s">
        <v>2099</v>
      </c>
      <c r="C108" s="104"/>
      <c r="D108" s="2120"/>
      <c r="E108" s="91">
        <f>0.0001*1000</f>
        <v>0.1</v>
      </c>
      <c r="F108" s="135" t="s">
        <v>2093</v>
      </c>
      <c r="G108" s="90" t="s">
        <v>1593</v>
      </c>
      <c r="H108" s="160" t="s">
        <v>1594</v>
      </c>
    </row>
    <row r="109" spans="1:8" s="77" customFormat="1" x14ac:dyDescent="0.2">
      <c r="A109" s="113"/>
      <c r="B109" s="130"/>
      <c r="C109" s="104"/>
      <c r="D109" s="88"/>
      <c r="E109" s="91"/>
      <c r="F109" s="135"/>
      <c r="G109" s="90"/>
      <c r="H109" s="160"/>
    </row>
    <row r="110" spans="1:8" s="77" customFormat="1" x14ac:dyDescent="0.2">
      <c r="A110" s="120" t="s">
        <v>338</v>
      </c>
      <c r="B110" s="130"/>
      <c r="C110" s="104"/>
      <c r="D110" s="88"/>
      <c r="E110" s="91"/>
      <c r="F110" s="135"/>
      <c r="G110" s="90"/>
      <c r="H110" s="672" t="s">
        <v>1469</v>
      </c>
    </row>
    <row r="111" spans="1:8" s="77" customFormat="1" ht="13.5" x14ac:dyDescent="0.2">
      <c r="A111" s="167" t="s">
        <v>363</v>
      </c>
      <c r="B111" s="187" t="s">
        <v>456</v>
      </c>
      <c r="C111" s="2270">
        <f>E111*BtuTOMJ/ft3TOL</f>
        <v>3.8233140174037596E-2</v>
      </c>
      <c r="D111" s="189" t="s">
        <v>515</v>
      </c>
      <c r="E111" s="190">
        <v>1027</v>
      </c>
      <c r="F111" s="191" t="s">
        <v>365</v>
      </c>
      <c r="G111" s="90" t="s">
        <v>1593</v>
      </c>
      <c r="H111" s="672" t="s">
        <v>1477</v>
      </c>
    </row>
    <row r="112" spans="1:8" s="77" customFormat="1" x14ac:dyDescent="0.2">
      <c r="A112" s="113"/>
      <c r="B112" s="2274" t="s">
        <v>551</v>
      </c>
      <c r="C112" s="95">
        <f>E112*1000</f>
        <v>53060</v>
      </c>
      <c r="D112" s="88" t="s">
        <v>2147</v>
      </c>
      <c r="E112" s="91">
        <v>53.06</v>
      </c>
      <c r="F112" s="135" t="s">
        <v>2105</v>
      </c>
      <c r="G112" s="90"/>
      <c r="H112" s="672"/>
    </row>
    <row r="113" spans="1:8" s="77" customFormat="1" x14ac:dyDescent="0.2">
      <c r="A113" s="113"/>
      <c r="B113" s="2274" t="s">
        <v>2107</v>
      </c>
      <c r="C113" s="95">
        <f>E113*7.48052*1000</f>
        <v>407.68834000000004</v>
      </c>
      <c r="D113" s="88" t="s">
        <v>2108</v>
      </c>
      <c r="E113" s="91">
        <v>5.45E-2</v>
      </c>
      <c r="F113" s="135" t="s">
        <v>2106</v>
      </c>
      <c r="G113" s="90" t="s">
        <v>2123</v>
      </c>
      <c r="H113" s="672"/>
    </row>
    <row r="114" spans="1:8" s="77" customFormat="1" ht="13.5" x14ac:dyDescent="0.2">
      <c r="A114" s="113" t="s">
        <v>1592</v>
      </c>
      <c r="B114" s="202" t="s">
        <v>1981</v>
      </c>
      <c r="C114" s="95"/>
      <c r="D114" s="88"/>
      <c r="E114" s="91">
        <v>0.1</v>
      </c>
      <c r="F114" s="135" t="s">
        <v>2148</v>
      </c>
      <c r="G114" s="90" t="s">
        <v>2123</v>
      </c>
      <c r="H114" s="672"/>
    </row>
    <row r="115" spans="1:8" s="77" customFormat="1" ht="13.5" x14ac:dyDescent="0.2">
      <c r="A115" s="113" t="s">
        <v>1595</v>
      </c>
      <c r="B115" s="202" t="s">
        <v>1982</v>
      </c>
      <c r="C115" s="95"/>
      <c r="D115" s="88"/>
      <c r="E115" s="91">
        <v>1</v>
      </c>
      <c r="F115" s="135" t="s">
        <v>2149</v>
      </c>
      <c r="G115" s="90" t="s">
        <v>2123</v>
      </c>
      <c r="H115" s="672"/>
    </row>
    <row r="116" spans="1:8" s="77" customFormat="1" x14ac:dyDescent="0.2">
      <c r="A116" s="113"/>
      <c r="B116" s="202"/>
      <c r="C116" s="95"/>
      <c r="D116" s="88"/>
      <c r="E116" s="91"/>
      <c r="F116" s="135"/>
      <c r="G116" s="90"/>
      <c r="H116" s="672"/>
    </row>
    <row r="117" spans="1:8" s="77" customFormat="1" x14ac:dyDescent="0.2">
      <c r="A117" s="120" t="s">
        <v>316</v>
      </c>
      <c r="B117" s="130"/>
      <c r="C117" s="104"/>
      <c r="D117" s="88"/>
      <c r="E117" s="91"/>
      <c r="F117" s="135"/>
      <c r="G117" s="90"/>
      <c r="H117" s="672" t="s">
        <v>1469</v>
      </c>
    </row>
    <row r="118" spans="1:8" s="77" customFormat="1" x14ac:dyDescent="0.2">
      <c r="A118" s="120" t="s">
        <v>531</v>
      </c>
      <c r="B118" s="130"/>
      <c r="C118" s="104"/>
      <c r="D118" s="88"/>
      <c r="E118" s="91">
        <v>12.76</v>
      </c>
      <c r="F118" s="135" t="s">
        <v>518</v>
      </c>
      <c r="G118" s="90" t="s">
        <v>1601</v>
      </c>
      <c r="H118" s="672" t="s">
        <v>2089</v>
      </c>
    </row>
    <row r="119" spans="1:8" s="77" customFormat="1" x14ac:dyDescent="0.2">
      <c r="A119" s="167" t="s">
        <v>363</v>
      </c>
      <c r="B119" s="187" t="s">
        <v>322</v>
      </c>
      <c r="C119" s="1718">
        <f>E119*BtuTOJ/bblTOL</f>
        <v>25.435032845494089</v>
      </c>
      <c r="D119" s="189" t="s">
        <v>515</v>
      </c>
      <c r="E119" s="1719">
        <v>3.8359999999999999</v>
      </c>
      <c r="F119" s="191" t="s">
        <v>357</v>
      </c>
      <c r="G119" s="90" t="s">
        <v>1593</v>
      </c>
      <c r="H119" s="672" t="s">
        <v>1476</v>
      </c>
    </row>
    <row r="120" spans="1:8" s="91" customFormat="1" x14ac:dyDescent="0.2">
      <c r="A120" s="167" t="s">
        <v>364</v>
      </c>
      <c r="B120" s="187"/>
      <c r="C120" s="1719">
        <f>E120</f>
        <v>1</v>
      </c>
      <c r="D120" s="189"/>
      <c r="E120" s="1719">
        <v>1</v>
      </c>
      <c r="F120" s="191"/>
      <c r="G120" s="159" t="s">
        <v>1468</v>
      </c>
      <c r="H120" s="88"/>
    </row>
    <row r="121" spans="1:8" s="91" customFormat="1" x14ac:dyDescent="0.2">
      <c r="A121" s="167" t="s">
        <v>339</v>
      </c>
      <c r="B121" s="187"/>
      <c r="C121" s="95">
        <f>E121/quadTOEJ</f>
        <v>15.965057810139541</v>
      </c>
      <c r="D121" s="88" t="s">
        <v>356</v>
      </c>
      <c r="E121" s="1718">
        <v>16.829999999999998</v>
      </c>
      <c r="F121" s="191" t="s">
        <v>355</v>
      </c>
      <c r="G121" s="159" t="s">
        <v>1468</v>
      </c>
      <c r="H121" s="88"/>
    </row>
    <row r="122" spans="1:8" s="77" customFormat="1" ht="15" customHeight="1" x14ac:dyDescent="0.2">
      <c r="A122" s="113" t="s">
        <v>377</v>
      </c>
      <c r="B122" s="130" t="s">
        <v>427</v>
      </c>
      <c r="C122" s="104">
        <f>C121*CO2.C*C120*HHVLPG</f>
        <v>1487.8840314606191</v>
      </c>
      <c r="D122" s="88" t="s">
        <v>552</v>
      </c>
      <c r="E122" s="91"/>
      <c r="F122" s="135"/>
      <c r="G122" s="90"/>
      <c r="H122" s="672" t="s">
        <v>1467</v>
      </c>
    </row>
    <row r="123" spans="1:8" s="77" customFormat="1" ht="15" customHeight="1" x14ac:dyDescent="0.2">
      <c r="A123" s="113" t="s">
        <v>377</v>
      </c>
      <c r="B123" s="130" t="s">
        <v>1602</v>
      </c>
      <c r="C123" s="104">
        <f>efLPG/LTOgal</f>
        <v>5632.2362126910275</v>
      </c>
      <c r="D123" s="88" t="s">
        <v>1571</v>
      </c>
      <c r="E123" s="91"/>
      <c r="F123" s="135"/>
      <c r="G123" s="90"/>
      <c r="H123" s="672"/>
    </row>
    <row r="124" spans="1:8" s="77" customFormat="1" ht="15" customHeight="1" x14ac:dyDescent="0.2">
      <c r="A124" s="113" t="s">
        <v>1592</v>
      </c>
      <c r="B124" s="130"/>
      <c r="C124" s="104"/>
      <c r="D124" s="88"/>
      <c r="E124" s="91">
        <f>0.001*1000</f>
        <v>1</v>
      </c>
      <c r="F124" s="135" t="s">
        <v>2093</v>
      </c>
      <c r="G124" s="90" t="s">
        <v>1593</v>
      </c>
      <c r="H124" s="88" t="s">
        <v>1594</v>
      </c>
    </row>
    <row r="125" spans="1:8" s="77" customFormat="1" ht="15" customHeight="1" x14ac:dyDescent="0.2">
      <c r="A125" s="113" t="s">
        <v>1595</v>
      </c>
      <c r="B125" s="130"/>
      <c r="C125" s="104"/>
      <c r="D125" s="88"/>
      <c r="E125" s="91">
        <f t="shared" ref="E125:E129" si="4">0.001*1000</f>
        <v>1</v>
      </c>
      <c r="F125" s="135" t="s">
        <v>2093</v>
      </c>
      <c r="G125" s="90" t="s">
        <v>1593</v>
      </c>
      <c r="H125" s="88" t="s">
        <v>1594</v>
      </c>
    </row>
    <row r="126" spans="1:8" s="77" customFormat="1" ht="15" customHeight="1" x14ac:dyDescent="0.2">
      <c r="A126" s="113" t="s">
        <v>1596</v>
      </c>
      <c r="B126" s="130"/>
      <c r="C126" s="104"/>
      <c r="D126" s="88"/>
      <c r="E126" s="91">
        <f t="shared" si="4"/>
        <v>1</v>
      </c>
      <c r="F126" s="135" t="s">
        <v>2093</v>
      </c>
      <c r="G126" s="90" t="s">
        <v>1593</v>
      </c>
      <c r="H126" s="88" t="s">
        <v>1594</v>
      </c>
    </row>
    <row r="127" spans="1:8" s="77" customFormat="1" ht="15" customHeight="1" x14ac:dyDescent="0.2">
      <c r="A127" s="113" t="s">
        <v>1597</v>
      </c>
      <c r="B127" s="130"/>
      <c r="C127" s="104"/>
      <c r="D127" s="88"/>
      <c r="E127" s="91">
        <f t="shared" si="4"/>
        <v>1</v>
      </c>
      <c r="F127" s="135" t="s">
        <v>2093</v>
      </c>
      <c r="G127" s="90" t="s">
        <v>1593</v>
      </c>
      <c r="H127" s="88" t="s">
        <v>1594</v>
      </c>
    </row>
    <row r="128" spans="1:8" s="77" customFormat="1" ht="15" customHeight="1" x14ac:dyDescent="0.2">
      <c r="A128" s="113" t="s">
        <v>1598</v>
      </c>
      <c r="B128" s="130"/>
      <c r="C128" s="104"/>
      <c r="D128" s="88"/>
      <c r="E128" s="91">
        <f t="shared" si="4"/>
        <v>1</v>
      </c>
      <c r="F128" s="135" t="s">
        <v>2093</v>
      </c>
      <c r="G128" s="90" t="s">
        <v>1593</v>
      </c>
      <c r="H128" s="88" t="s">
        <v>1594</v>
      </c>
    </row>
    <row r="129" spans="1:8" s="77" customFormat="1" ht="15" customHeight="1" x14ac:dyDescent="0.2">
      <c r="A129" s="113" t="s">
        <v>1599</v>
      </c>
      <c r="B129" s="130"/>
      <c r="C129" s="104"/>
      <c r="D129" s="88"/>
      <c r="E129" s="91">
        <f t="shared" si="4"/>
        <v>1</v>
      </c>
      <c r="F129" s="135" t="s">
        <v>2093</v>
      </c>
      <c r="G129" s="90" t="s">
        <v>1593</v>
      </c>
      <c r="H129" s="88" t="s">
        <v>1594</v>
      </c>
    </row>
    <row r="130" spans="1:8" s="77" customFormat="1" ht="15" customHeight="1" x14ac:dyDescent="0.2">
      <c r="A130" s="113"/>
      <c r="B130" s="130"/>
      <c r="C130" s="104"/>
      <c r="D130" s="88"/>
      <c r="E130" s="91"/>
      <c r="F130" s="135"/>
      <c r="G130" s="90"/>
      <c r="H130" s="672"/>
    </row>
    <row r="131" spans="1:8" s="77" customFormat="1" x14ac:dyDescent="0.2">
      <c r="A131" s="120" t="s">
        <v>453</v>
      </c>
      <c r="B131" s="130"/>
      <c r="C131" s="104"/>
      <c r="D131" s="88"/>
      <c r="E131" s="91"/>
      <c r="F131" s="135"/>
      <c r="G131" s="90"/>
      <c r="H131" s="672" t="s">
        <v>1469</v>
      </c>
    </row>
    <row r="132" spans="1:8" s="77" customFormat="1" x14ac:dyDescent="0.2">
      <c r="A132" s="120" t="s">
        <v>531</v>
      </c>
      <c r="B132" s="130"/>
      <c r="C132" s="104"/>
      <c r="D132" s="88"/>
      <c r="E132" s="91">
        <v>42</v>
      </c>
      <c r="F132" s="135" t="s">
        <v>518</v>
      </c>
      <c r="G132" s="1717" t="s">
        <v>1558</v>
      </c>
      <c r="H132" s="679" t="s">
        <v>1589</v>
      </c>
    </row>
    <row r="133" spans="1:8" s="77" customFormat="1" x14ac:dyDescent="0.2">
      <c r="A133" s="167" t="s">
        <v>363</v>
      </c>
      <c r="B133" s="187" t="s">
        <v>323</v>
      </c>
      <c r="C133" s="1718">
        <f>E133*BtuTOJ/bblTOL</f>
        <v>37.595577746077026</v>
      </c>
      <c r="D133" s="189" t="s">
        <v>515</v>
      </c>
      <c r="E133" s="1719">
        <v>5.67</v>
      </c>
      <c r="F133" s="191" t="s">
        <v>357</v>
      </c>
      <c r="G133" s="1717" t="s">
        <v>1558</v>
      </c>
      <c r="H133" s="672" t="s">
        <v>1474</v>
      </c>
    </row>
    <row r="134" spans="1:8" s="91" customFormat="1" x14ac:dyDescent="0.2">
      <c r="A134" s="167" t="s">
        <v>364</v>
      </c>
      <c r="B134" s="187"/>
      <c r="C134" s="1719">
        <f>E134</f>
        <v>1</v>
      </c>
      <c r="D134" s="189"/>
      <c r="E134" s="1718">
        <v>1</v>
      </c>
      <c r="F134" s="191"/>
      <c r="G134" s="1717" t="s">
        <v>1558</v>
      </c>
      <c r="H134" s="88"/>
    </row>
    <row r="135" spans="1:8" s="91" customFormat="1" x14ac:dyDescent="0.2">
      <c r="A135" s="167" t="s">
        <v>339</v>
      </c>
      <c r="B135" s="187"/>
      <c r="C135" s="95">
        <f>E135/quadTOEJ</f>
        <v>18.687560241220972</v>
      </c>
      <c r="D135" s="88" t="s">
        <v>356</v>
      </c>
      <c r="E135" s="1718">
        <v>19.7</v>
      </c>
      <c r="F135" s="191" t="s">
        <v>355</v>
      </c>
      <c r="G135" s="1717" t="s">
        <v>1558</v>
      </c>
      <c r="H135" s="88"/>
    </row>
    <row r="136" spans="1:8" s="77" customFormat="1" ht="13.5" x14ac:dyDescent="0.2">
      <c r="A136" s="113" t="s">
        <v>377</v>
      </c>
      <c r="B136" s="130" t="s">
        <v>320</v>
      </c>
      <c r="C136" s="104">
        <f>C135*CO2.C*C134*HHVjetfuel</f>
        <v>2574.2792339471457</v>
      </c>
      <c r="D136" s="88" t="s">
        <v>552</v>
      </c>
      <c r="E136" s="91"/>
      <c r="F136" s="135"/>
      <c r="G136" s="90"/>
      <c r="H136" s="160" t="s">
        <v>229</v>
      </c>
    </row>
    <row r="137" spans="1:8" s="77" customFormat="1" ht="13.5" x14ac:dyDescent="0.2">
      <c r="A137" s="113" t="s">
        <v>377</v>
      </c>
      <c r="B137" s="130" t="s">
        <v>1604</v>
      </c>
      <c r="C137" s="104">
        <f>efjetfuel/LTOgal</f>
        <v>9744.6766121835262</v>
      </c>
      <c r="D137" s="88" t="s">
        <v>1571</v>
      </c>
      <c r="E137" s="91"/>
      <c r="F137" s="135"/>
      <c r="G137" s="90"/>
      <c r="H137" s="160"/>
    </row>
    <row r="138" spans="1:8" s="77" customFormat="1" x14ac:dyDescent="0.2">
      <c r="A138" s="120" t="s">
        <v>272</v>
      </c>
      <c r="B138" s="130"/>
      <c r="C138" s="95"/>
      <c r="D138" s="88"/>
      <c r="E138" s="91"/>
      <c r="F138" s="135"/>
      <c r="G138" s="90"/>
      <c r="H138" s="672" t="s">
        <v>1469</v>
      </c>
    </row>
    <row r="139" spans="1:8" s="77" customFormat="1" x14ac:dyDescent="0.2">
      <c r="A139" s="120" t="s">
        <v>531</v>
      </c>
      <c r="B139" s="130"/>
      <c r="C139" s="95"/>
      <c r="D139" s="88"/>
      <c r="E139" s="91">
        <v>69</v>
      </c>
      <c r="F139" s="135" t="s">
        <v>518</v>
      </c>
      <c r="G139" s="1717" t="s">
        <v>1558</v>
      </c>
      <c r="H139" s="679" t="s">
        <v>1589</v>
      </c>
    </row>
    <row r="140" spans="1:8" s="77" customFormat="1" x14ac:dyDescent="0.2">
      <c r="A140" s="167" t="s">
        <v>275</v>
      </c>
      <c r="B140" s="187" t="s">
        <v>273</v>
      </c>
      <c r="C140" s="1718">
        <f>E140*BtuTOJ/bblTOL</f>
        <v>33.471336236719019</v>
      </c>
      <c r="D140" s="189" t="s">
        <v>515</v>
      </c>
      <c r="E140" s="1719">
        <v>5.048</v>
      </c>
      <c r="F140" s="191" t="s">
        <v>357</v>
      </c>
      <c r="G140" s="1717" t="s">
        <v>1558</v>
      </c>
      <c r="H140" s="672" t="s">
        <v>1475</v>
      </c>
    </row>
    <row r="141" spans="1:8" s="91" customFormat="1" x14ac:dyDescent="0.2">
      <c r="A141" s="167" t="s">
        <v>364</v>
      </c>
      <c r="B141" s="187"/>
      <c r="C141" s="1719">
        <f>E141</f>
        <v>1</v>
      </c>
      <c r="D141" s="189"/>
      <c r="E141" s="1718">
        <v>1</v>
      </c>
      <c r="F141" s="191"/>
      <c r="G141" s="1717" t="s">
        <v>1558</v>
      </c>
      <c r="H141" s="88"/>
    </row>
    <row r="142" spans="1:8" s="91" customFormat="1" x14ac:dyDescent="0.2">
      <c r="A142" s="167" t="s">
        <v>339</v>
      </c>
      <c r="B142" s="187"/>
      <c r="C142" s="95">
        <f>E142/quadTOEJ</f>
        <v>17.89073026139226</v>
      </c>
      <c r="D142" s="88" t="s">
        <v>356</v>
      </c>
      <c r="E142" s="1718">
        <v>18.86</v>
      </c>
      <c r="F142" s="191" t="s">
        <v>355</v>
      </c>
      <c r="G142" s="1717" t="s">
        <v>1558</v>
      </c>
      <c r="H142" s="88"/>
    </row>
    <row r="143" spans="1:8" s="91" customFormat="1" ht="13.5" x14ac:dyDescent="0.2">
      <c r="A143" s="113" t="s">
        <v>377</v>
      </c>
      <c r="B143" s="130" t="s">
        <v>274</v>
      </c>
      <c r="C143" s="104">
        <f>C142*CO2.C*C141*HHVavgas</f>
        <v>2194.1555006412191</v>
      </c>
      <c r="D143" s="88" t="s">
        <v>552</v>
      </c>
      <c r="F143" s="135"/>
      <c r="G143" s="90"/>
      <c r="H143" s="88"/>
    </row>
    <row r="144" spans="1:8" s="91" customFormat="1" ht="13.5" x14ac:dyDescent="0.2">
      <c r="A144" s="113"/>
      <c r="B144" s="130" t="s">
        <v>1605</v>
      </c>
      <c r="C144" s="104">
        <f>efavgas/LTOgal</f>
        <v>8305.7562321272708</v>
      </c>
      <c r="D144" s="88" t="s">
        <v>1571</v>
      </c>
      <c r="F144" s="135"/>
      <c r="G144" s="90"/>
      <c r="H144" s="88"/>
    </row>
    <row r="145" spans="1:8" s="91" customFormat="1" x14ac:dyDescent="0.2">
      <c r="A145" s="120" t="s">
        <v>280</v>
      </c>
      <c r="B145" s="130"/>
      <c r="C145" s="95"/>
      <c r="D145" s="88"/>
      <c r="F145" s="135"/>
      <c r="G145" s="90"/>
      <c r="H145" s="88"/>
    </row>
    <row r="146" spans="1:8" s="91" customFormat="1" x14ac:dyDescent="0.2">
      <c r="A146" s="167" t="s">
        <v>275</v>
      </c>
      <c r="B146" s="187" t="s">
        <v>281</v>
      </c>
      <c r="C146" s="188">
        <f>E146*BtuTOMJ/lbTOkg</f>
        <v>32.53641975308642</v>
      </c>
      <c r="D146" s="189" t="s">
        <v>533</v>
      </c>
      <c r="E146" s="190">
        <v>14000</v>
      </c>
      <c r="F146" s="191" t="s">
        <v>532</v>
      </c>
      <c r="G146" s="159"/>
      <c r="H146" s="88"/>
    </row>
    <row r="147" spans="1:8" s="91" customFormat="1" x14ac:dyDescent="0.2">
      <c r="A147" s="167" t="s">
        <v>364</v>
      </c>
      <c r="B147" s="187"/>
      <c r="C147" s="1719">
        <f>E147</f>
        <v>1</v>
      </c>
      <c r="D147" s="189"/>
      <c r="E147" s="1718">
        <v>1</v>
      </c>
      <c r="F147" s="191"/>
      <c r="G147" s="1717" t="s">
        <v>1558</v>
      </c>
      <c r="H147" s="88"/>
    </row>
    <row r="148" spans="1:8" s="91" customFormat="1" x14ac:dyDescent="0.2">
      <c r="A148" s="167" t="s">
        <v>339</v>
      </c>
      <c r="B148" s="187"/>
      <c r="C148" s="95">
        <f>E148/quadTOEJ</f>
        <v>24.493035808544445</v>
      </c>
      <c r="D148" s="88" t="s">
        <v>356</v>
      </c>
      <c r="E148" s="1718">
        <v>25.82</v>
      </c>
      <c r="F148" s="191" t="s">
        <v>355</v>
      </c>
      <c r="G148" s="1717" t="s">
        <v>1558</v>
      </c>
      <c r="H148" s="88"/>
    </row>
    <row r="149" spans="1:8" s="91" customFormat="1" ht="13.5" x14ac:dyDescent="0.2">
      <c r="A149" s="113" t="s">
        <v>377</v>
      </c>
      <c r="B149" s="130" t="s">
        <v>282</v>
      </c>
      <c r="C149" s="104">
        <f>C148*CO2.C*C147*HHVcoal</f>
        <v>2919.9718471004103</v>
      </c>
      <c r="D149" s="88" t="s">
        <v>283</v>
      </c>
      <c r="F149" s="135"/>
      <c r="G149" s="90"/>
      <c r="H149" s="88"/>
    </row>
    <row r="150" spans="1:8" s="91" customFormat="1" x14ac:dyDescent="0.2">
      <c r="A150" s="120" t="s">
        <v>217</v>
      </c>
      <c r="B150" s="130"/>
      <c r="C150" s="104"/>
      <c r="D150" s="88"/>
      <c r="F150" s="135"/>
      <c r="G150" s="90"/>
      <c r="H150" s="88"/>
    </row>
    <row r="151" spans="1:8" s="91" customFormat="1" ht="13.5" x14ac:dyDescent="0.2">
      <c r="A151" s="113" t="s">
        <v>377</v>
      </c>
      <c r="B151" s="130" t="s">
        <v>2092</v>
      </c>
      <c r="C151" s="104">
        <f>E151*lbTOg/tonTOkg</f>
        <v>3080.0679027315418</v>
      </c>
      <c r="D151" s="88" t="s">
        <v>283</v>
      </c>
      <c r="E151" s="91">
        <v>6160</v>
      </c>
      <c r="F151" s="135" t="s">
        <v>218</v>
      </c>
      <c r="G151" s="90" t="s">
        <v>219</v>
      </c>
      <c r="H151" s="88"/>
    </row>
    <row r="152" spans="1:8" s="91" customFormat="1" ht="13.5" x14ac:dyDescent="0.2">
      <c r="A152" s="113"/>
      <c r="B152" s="130" t="s">
        <v>216</v>
      </c>
      <c r="C152" s="95">
        <v>2546.3634559844795</v>
      </c>
      <c r="D152" s="88" t="s">
        <v>283</v>
      </c>
      <c r="F152" s="135"/>
      <c r="G152" s="90"/>
      <c r="H152" s="88" t="s">
        <v>1606</v>
      </c>
    </row>
    <row r="153" spans="1:8" s="91" customFormat="1" x14ac:dyDescent="0.2">
      <c r="A153" s="117"/>
      <c r="B153" s="130"/>
      <c r="C153" s="98"/>
      <c r="D153" s="139"/>
      <c r="E153" s="98"/>
      <c r="F153" s="136"/>
      <c r="G153" s="90"/>
      <c r="H153" s="88"/>
    </row>
    <row r="154" spans="1:8" s="91" customFormat="1" x14ac:dyDescent="0.2">
      <c r="A154" s="117"/>
      <c r="B154" s="130"/>
      <c r="C154" s="98"/>
      <c r="D154" s="139"/>
      <c r="E154" s="98"/>
      <c r="F154" s="136"/>
      <c r="G154" s="90"/>
      <c r="H154" s="88"/>
    </row>
    <row r="155" spans="1:8" s="91" customFormat="1" x14ac:dyDescent="0.2">
      <c r="A155" s="117"/>
      <c r="B155" s="130"/>
      <c r="C155" s="98"/>
      <c r="D155" s="139"/>
      <c r="E155" s="98"/>
      <c r="F155" s="136"/>
      <c r="G155" s="90"/>
      <c r="H155" s="88"/>
    </row>
    <row r="156" spans="1:8" s="91" customFormat="1" x14ac:dyDescent="0.2">
      <c r="A156" s="117"/>
      <c r="B156" s="130"/>
      <c r="C156" s="98"/>
      <c r="D156" s="139"/>
      <c r="E156" s="98"/>
      <c r="F156" s="136"/>
      <c r="G156" s="90"/>
      <c r="H156" s="88"/>
    </row>
    <row r="157" spans="1:8" s="91" customFormat="1" x14ac:dyDescent="0.2">
      <c r="A157" s="117"/>
      <c r="B157" s="130"/>
      <c r="C157" s="98"/>
      <c r="D157" s="139"/>
      <c r="E157" s="98"/>
      <c r="F157" s="136"/>
      <c r="G157" s="90"/>
      <c r="H157" s="88"/>
    </row>
    <row r="158" spans="1:8" s="91" customFormat="1" x14ac:dyDescent="0.2">
      <c r="A158" s="117"/>
      <c r="B158" s="130"/>
      <c r="D158" s="88"/>
      <c r="E158" s="104"/>
      <c r="F158" s="135"/>
      <c r="G158" s="90"/>
      <c r="H158" s="88"/>
    </row>
    <row r="159" spans="1:8" s="91" customFormat="1" x14ac:dyDescent="0.2">
      <c r="A159" s="117"/>
      <c r="B159" s="130"/>
      <c r="D159" s="88"/>
      <c r="E159" s="104"/>
      <c r="F159" s="135"/>
      <c r="G159" s="90"/>
      <c r="H159" s="88"/>
    </row>
    <row r="160" spans="1:8" s="91" customFormat="1" x14ac:dyDescent="0.2">
      <c r="A160" s="117"/>
      <c r="B160" s="130"/>
      <c r="D160" s="88"/>
      <c r="E160" s="104"/>
      <c r="F160" s="135"/>
      <c r="G160" s="90"/>
      <c r="H160" s="88"/>
    </row>
    <row r="161" spans="1:8" s="91" customFormat="1" x14ac:dyDescent="0.2">
      <c r="A161" s="117"/>
      <c r="B161" s="130"/>
      <c r="D161" s="88"/>
      <c r="E161" s="104"/>
      <c r="F161" s="135"/>
      <c r="G161" s="90"/>
      <c r="H161" s="88"/>
    </row>
    <row r="162" spans="1:8" s="91" customFormat="1" x14ac:dyDescent="0.2">
      <c r="A162" s="117"/>
      <c r="B162" s="130"/>
      <c r="D162" s="88"/>
      <c r="E162" s="104"/>
      <c r="F162" s="135"/>
      <c r="G162" s="90"/>
      <c r="H162" s="88"/>
    </row>
    <row r="163" spans="1:8" s="91" customFormat="1" x14ac:dyDescent="0.2">
      <c r="A163" s="121"/>
      <c r="B163" s="131"/>
      <c r="C163" s="104"/>
      <c r="D163" s="88"/>
      <c r="E163" s="89"/>
      <c r="F163" s="135"/>
      <c r="G163" s="90"/>
      <c r="H163" s="88"/>
    </row>
    <row r="164" spans="1:8" s="91" customFormat="1" x14ac:dyDescent="0.2">
      <c r="A164" s="120"/>
      <c r="B164" s="130"/>
      <c r="C164" s="104"/>
      <c r="D164" s="88"/>
      <c r="E164" s="89"/>
      <c r="F164" s="135"/>
      <c r="G164" s="90"/>
      <c r="H164" s="88"/>
    </row>
    <row r="165" spans="1:8" s="91" customFormat="1" x14ac:dyDescent="0.2">
      <c r="A165" s="113"/>
      <c r="B165" s="130"/>
      <c r="C165" s="104"/>
      <c r="D165" s="88"/>
      <c r="E165" s="89"/>
      <c r="F165" s="135"/>
      <c r="G165" s="90"/>
      <c r="H165" s="88"/>
    </row>
    <row r="166" spans="1:8" s="91" customFormat="1" x14ac:dyDescent="0.2">
      <c r="A166" s="117"/>
      <c r="B166" s="130"/>
      <c r="C166" s="104"/>
      <c r="D166" s="88"/>
      <c r="E166" s="104"/>
      <c r="F166" s="135"/>
      <c r="G166" s="90"/>
      <c r="H166" s="88"/>
    </row>
    <row r="167" spans="1:8" s="91" customFormat="1" x14ac:dyDescent="0.2">
      <c r="A167" s="117"/>
      <c r="B167" s="130"/>
      <c r="C167" s="104"/>
      <c r="D167" s="88"/>
      <c r="E167" s="104"/>
      <c r="F167" s="135"/>
      <c r="G167" s="90"/>
      <c r="H167" s="88"/>
    </row>
    <row r="168" spans="1:8" s="91" customFormat="1" x14ac:dyDescent="0.2">
      <c r="A168" s="117"/>
      <c r="B168" s="130"/>
      <c r="C168" s="104"/>
      <c r="D168" s="88"/>
      <c r="E168" s="104"/>
      <c r="F168" s="135"/>
      <c r="G168" s="90"/>
      <c r="H168" s="88"/>
    </row>
    <row r="169" spans="1:8" s="91" customFormat="1" x14ac:dyDescent="0.2">
      <c r="A169" s="117"/>
      <c r="B169" s="130"/>
      <c r="C169" s="104"/>
      <c r="D169" s="88"/>
      <c r="E169" s="104"/>
      <c r="F169" s="135"/>
      <c r="G169" s="90"/>
      <c r="H169" s="88"/>
    </row>
    <row r="170" spans="1:8" s="91" customFormat="1" x14ac:dyDescent="0.2">
      <c r="A170" s="117"/>
      <c r="B170" s="130"/>
      <c r="C170" s="104"/>
      <c r="D170" s="88"/>
      <c r="E170" s="104"/>
      <c r="F170" s="135"/>
      <c r="G170" s="90"/>
      <c r="H170" s="88"/>
    </row>
    <row r="171" spans="1:8" s="91" customFormat="1" x14ac:dyDescent="0.2">
      <c r="A171" s="117"/>
      <c r="B171" s="130"/>
      <c r="C171" s="104"/>
      <c r="D171" s="88"/>
      <c r="E171" s="104"/>
      <c r="F171" s="135"/>
      <c r="G171" s="90"/>
      <c r="H171" s="88"/>
    </row>
    <row r="172" spans="1:8" s="91" customFormat="1" x14ac:dyDescent="0.2">
      <c r="A172" s="117"/>
      <c r="B172" s="130"/>
      <c r="C172" s="104"/>
      <c r="D172" s="88"/>
      <c r="E172" s="104"/>
      <c r="F172" s="135"/>
      <c r="G172" s="90"/>
      <c r="H172" s="88"/>
    </row>
    <row r="173" spans="1:8" s="91" customFormat="1" x14ac:dyDescent="0.2">
      <c r="A173" s="117"/>
      <c r="B173" s="130"/>
      <c r="C173" s="104"/>
      <c r="D173" s="88"/>
      <c r="E173" s="104"/>
      <c r="F173" s="135"/>
      <c r="G173" s="90"/>
      <c r="H173" s="88"/>
    </row>
    <row r="174" spans="1:8" s="91" customFormat="1" x14ac:dyDescent="0.2">
      <c r="A174" s="117"/>
      <c r="B174" s="130"/>
      <c r="C174" s="104"/>
      <c r="D174" s="88"/>
      <c r="E174" s="104"/>
      <c r="F174" s="135"/>
      <c r="G174" s="90"/>
      <c r="H174" s="88"/>
    </row>
    <row r="175" spans="1:8" s="91" customFormat="1" x14ac:dyDescent="0.2">
      <c r="A175" s="117"/>
      <c r="B175" s="130"/>
      <c r="C175" s="104"/>
      <c r="D175" s="88"/>
      <c r="E175" s="104"/>
      <c r="F175" s="135"/>
      <c r="G175" s="90"/>
      <c r="H175" s="88"/>
    </row>
    <row r="176" spans="1:8" s="91" customFormat="1" x14ac:dyDescent="0.2">
      <c r="A176" s="117"/>
      <c r="B176" s="130"/>
      <c r="C176" s="104"/>
      <c r="D176" s="88"/>
      <c r="E176" s="104"/>
      <c r="F176" s="135"/>
      <c r="G176" s="90"/>
      <c r="H176" s="88"/>
    </row>
    <row r="177" spans="1:12" s="91" customFormat="1" x14ac:dyDescent="0.2">
      <c r="A177" s="121"/>
      <c r="B177" s="131"/>
      <c r="C177" s="104"/>
      <c r="D177" s="88"/>
      <c r="E177" s="104"/>
      <c r="F177" s="135"/>
      <c r="G177" s="90"/>
      <c r="H177" s="88"/>
    </row>
    <row r="178" spans="1:12" s="91" customFormat="1" x14ac:dyDescent="0.2">
      <c r="A178" s="118"/>
      <c r="B178" s="130"/>
      <c r="D178" s="88"/>
      <c r="F178" s="135"/>
      <c r="G178" s="90"/>
      <c r="H178" s="88"/>
    </row>
    <row r="179" spans="1:12" s="91" customFormat="1" x14ac:dyDescent="0.2">
      <c r="A179" s="113"/>
      <c r="B179" s="130"/>
      <c r="D179" s="88"/>
      <c r="F179" s="135"/>
      <c r="G179" s="90"/>
      <c r="H179" s="88"/>
    </row>
    <row r="180" spans="1:12" s="91" customFormat="1" x14ac:dyDescent="0.2">
      <c r="A180" s="113"/>
      <c r="B180" s="130"/>
      <c r="D180" s="88"/>
      <c r="E180" s="95"/>
      <c r="F180" s="135"/>
      <c r="G180" s="90"/>
      <c r="H180" s="88"/>
    </row>
    <row r="181" spans="1:12" s="91" customFormat="1" x14ac:dyDescent="0.2">
      <c r="A181" s="113"/>
      <c r="B181" s="130"/>
      <c r="D181" s="88"/>
      <c r="F181" s="135"/>
      <c r="G181" s="90"/>
      <c r="H181" s="88"/>
    </row>
    <row r="182" spans="1:12" s="91" customFormat="1" x14ac:dyDescent="0.2">
      <c r="A182" s="113"/>
      <c r="B182" s="130"/>
      <c r="C182" s="95"/>
      <c r="D182" s="88"/>
      <c r="F182" s="135"/>
      <c r="G182" s="90"/>
      <c r="H182" s="88"/>
    </row>
    <row r="183" spans="1:12" s="91" customFormat="1" x14ac:dyDescent="0.2">
      <c r="A183" s="113"/>
      <c r="B183" s="130"/>
      <c r="C183" s="89"/>
      <c r="D183" s="88"/>
      <c r="F183" s="135"/>
      <c r="G183" s="90"/>
      <c r="H183" s="88"/>
    </row>
    <row r="184" spans="1:12" s="91" customFormat="1" x14ac:dyDescent="0.2">
      <c r="A184" s="120"/>
      <c r="B184" s="130"/>
      <c r="D184" s="88"/>
      <c r="F184" s="135"/>
      <c r="G184" s="90"/>
      <c r="H184" s="88"/>
    </row>
    <row r="185" spans="1:12" s="91" customFormat="1" x14ac:dyDescent="0.2">
      <c r="A185" s="113"/>
      <c r="B185" s="130"/>
      <c r="D185" s="88"/>
      <c r="E185" s="97"/>
      <c r="F185" s="135"/>
      <c r="G185" s="90"/>
      <c r="H185" s="88"/>
    </row>
    <row r="186" spans="1:12" s="91" customFormat="1" x14ac:dyDescent="0.2">
      <c r="A186" s="113"/>
      <c r="B186" s="130"/>
      <c r="D186" s="88"/>
      <c r="F186" s="135"/>
      <c r="G186" s="90"/>
      <c r="H186" s="88"/>
    </row>
    <row r="187" spans="1:12" s="91" customFormat="1" x14ac:dyDescent="0.2">
      <c r="A187" s="117"/>
      <c r="B187" s="130"/>
      <c r="D187" s="88"/>
      <c r="F187" s="135"/>
      <c r="G187" s="90"/>
      <c r="H187" s="88"/>
    </row>
    <row r="188" spans="1:12" s="91" customFormat="1" x14ac:dyDescent="0.2">
      <c r="A188" s="117"/>
      <c r="B188" s="130"/>
      <c r="D188" s="88"/>
      <c r="F188" s="135"/>
      <c r="G188" s="90"/>
      <c r="H188" s="88"/>
    </row>
    <row r="189" spans="1:12" s="91" customFormat="1" x14ac:dyDescent="0.2">
      <c r="A189" s="117"/>
      <c r="B189" s="130"/>
      <c r="D189" s="88"/>
      <c r="F189" s="135"/>
      <c r="G189" s="90"/>
      <c r="H189" s="88"/>
    </row>
    <row r="190" spans="1:12" s="91" customFormat="1" x14ac:dyDescent="0.2">
      <c r="A190" s="117"/>
      <c r="B190" s="130"/>
      <c r="D190" s="88"/>
      <c r="F190" s="135"/>
      <c r="G190" s="90"/>
      <c r="H190" s="88"/>
    </row>
    <row r="191" spans="1:12" s="92" customFormat="1" x14ac:dyDescent="0.2">
      <c r="A191" s="117"/>
      <c r="B191" s="130"/>
      <c r="C191" s="91"/>
      <c r="D191" s="88"/>
      <c r="E191" s="91"/>
      <c r="F191" s="135"/>
      <c r="G191" s="90"/>
      <c r="H191" s="93"/>
      <c r="J191" s="89"/>
      <c r="K191" s="103"/>
      <c r="L191" s="89"/>
    </row>
    <row r="192" spans="1:12" s="91" customFormat="1" x14ac:dyDescent="0.2">
      <c r="A192" s="117"/>
      <c r="B192" s="130"/>
      <c r="D192" s="88"/>
      <c r="F192" s="135"/>
      <c r="G192" s="90"/>
      <c r="H192" s="88"/>
    </row>
    <row r="193" spans="1:12" s="91" customFormat="1" x14ac:dyDescent="0.2">
      <c r="A193" s="117"/>
      <c r="B193" s="130"/>
      <c r="D193" s="88"/>
      <c r="F193" s="135"/>
      <c r="G193" s="90"/>
      <c r="H193" s="88"/>
    </row>
    <row r="194" spans="1:12" s="91" customFormat="1" x14ac:dyDescent="0.2">
      <c r="A194" s="117"/>
      <c r="B194" s="130"/>
      <c r="D194" s="88"/>
      <c r="F194" s="135"/>
      <c r="G194" s="90"/>
      <c r="H194" s="88"/>
    </row>
    <row r="195" spans="1:12" s="91" customFormat="1" x14ac:dyDescent="0.2">
      <c r="A195" s="117"/>
      <c r="B195" s="130"/>
      <c r="C195" s="98"/>
      <c r="D195" s="88"/>
      <c r="F195" s="135"/>
      <c r="G195" s="90"/>
      <c r="H195" s="88"/>
    </row>
    <row r="196" spans="1:12" s="91" customFormat="1" x14ac:dyDescent="0.2">
      <c r="A196" s="122"/>
      <c r="B196" s="130"/>
      <c r="D196" s="88"/>
      <c r="F196" s="135"/>
      <c r="G196" s="90"/>
      <c r="H196" s="88"/>
    </row>
    <row r="197" spans="1:12" s="91" customFormat="1" x14ac:dyDescent="0.2">
      <c r="A197" s="118"/>
      <c r="B197" s="130"/>
      <c r="C197" s="104"/>
      <c r="D197" s="88"/>
      <c r="F197" s="135"/>
      <c r="G197" s="90"/>
      <c r="H197" s="88"/>
    </row>
    <row r="198" spans="1:12" s="91" customFormat="1" x14ac:dyDescent="0.2">
      <c r="A198" s="119"/>
      <c r="B198" s="131"/>
      <c r="C198" s="92"/>
      <c r="D198" s="93"/>
      <c r="E198" s="92"/>
      <c r="F198" s="94"/>
      <c r="G198" s="90"/>
      <c r="H198" s="88"/>
    </row>
    <row r="199" spans="1:12" s="91" customFormat="1" x14ac:dyDescent="0.2">
      <c r="A199" s="118"/>
      <c r="B199" s="130"/>
      <c r="D199" s="88"/>
      <c r="F199" s="135"/>
      <c r="G199" s="90"/>
      <c r="H199" s="88"/>
    </row>
    <row r="200" spans="1:12" s="91" customFormat="1" x14ac:dyDescent="0.2">
      <c r="A200" s="118"/>
      <c r="B200" s="130"/>
      <c r="D200" s="88"/>
      <c r="F200" s="135"/>
      <c r="G200" s="90"/>
      <c r="H200" s="88"/>
    </row>
    <row r="201" spans="1:12" s="91" customFormat="1" x14ac:dyDescent="0.2">
      <c r="A201" s="118"/>
      <c r="B201" s="130"/>
      <c r="D201" s="88"/>
      <c r="F201" s="135"/>
      <c r="G201" s="90"/>
      <c r="H201" s="88"/>
    </row>
    <row r="202" spans="1:12" s="91" customFormat="1" x14ac:dyDescent="0.2">
      <c r="A202" s="118"/>
      <c r="B202" s="130"/>
      <c r="D202" s="88"/>
      <c r="F202" s="135"/>
      <c r="G202" s="90"/>
      <c r="H202" s="88"/>
    </row>
    <row r="203" spans="1:12" s="91" customFormat="1" x14ac:dyDescent="0.2">
      <c r="A203" s="118"/>
      <c r="B203" s="130"/>
      <c r="D203" s="88"/>
      <c r="E203" s="100"/>
      <c r="F203" s="135"/>
      <c r="G203" s="96"/>
      <c r="H203" s="88"/>
    </row>
    <row r="204" spans="1:12" s="91" customFormat="1" x14ac:dyDescent="0.2">
      <c r="A204" s="118"/>
      <c r="B204" s="130"/>
      <c r="D204" s="88"/>
      <c r="E204" s="95"/>
      <c r="F204" s="135"/>
      <c r="G204" s="90"/>
      <c r="H204" s="88"/>
    </row>
    <row r="205" spans="1:12" s="91" customFormat="1" x14ac:dyDescent="0.2">
      <c r="A205" s="118"/>
      <c r="B205" s="130"/>
      <c r="D205" s="88"/>
      <c r="F205" s="135"/>
      <c r="G205" s="90"/>
      <c r="H205" s="88"/>
    </row>
    <row r="206" spans="1:12" s="92" customFormat="1" x14ac:dyDescent="0.2">
      <c r="A206" s="118"/>
      <c r="B206" s="130"/>
      <c r="C206" s="91"/>
      <c r="D206" s="88"/>
      <c r="E206" s="91"/>
      <c r="F206" s="135"/>
      <c r="G206" s="90"/>
      <c r="H206" s="93"/>
      <c r="J206" s="89"/>
      <c r="K206" s="103"/>
      <c r="L206" s="89"/>
    </row>
    <row r="207" spans="1:12" s="91" customFormat="1" x14ac:dyDescent="0.2">
      <c r="A207" s="118"/>
      <c r="B207" s="130"/>
      <c r="D207" s="88"/>
      <c r="F207" s="135"/>
      <c r="G207" s="90"/>
      <c r="H207" s="88"/>
    </row>
    <row r="208" spans="1:12" s="91" customFormat="1" x14ac:dyDescent="0.2">
      <c r="A208" s="118"/>
      <c r="B208" s="130"/>
      <c r="D208" s="88"/>
      <c r="F208" s="135"/>
      <c r="G208" s="90"/>
      <c r="H208" s="88"/>
    </row>
    <row r="209" spans="1:8" s="91" customFormat="1" x14ac:dyDescent="0.2">
      <c r="A209" s="118"/>
      <c r="B209" s="130"/>
      <c r="D209" s="88"/>
      <c r="F209" s="135"/>
      <c r="G209" s="90"/>
      <c r="H209" s="88"/>
    </row>
    <row r="210" spans="1:8" s="91" customFormat="1" x14ac:dyDescent="0.2">
      <c r="A210" s="118"/>
      <c r="B210" s="130"/>
      <c r="D210" s="88"/>
      <c r="F210" s="135"/>
      <c r="G210" s="90"/>
      <c r="H210" s="88"/>
    </row>
    <row r="211" spans="1:8" s="91" customFormat="1" x14ac:dyDescent="0.2">
      <c r="A211" s="118"/>
      <c r="B211" s="130"/>
      <c r="D211" s="88"/>
      <c r="F211" s="135"/>
      <c r="G211" s="90"/>
      <c r="H211" s="88"/>
    </row>
    <row r="212" spans="1:8" s="91" customFormat="1" x14ac:dyDescent="0.2">
      <c r="A212" s="118"/>
      <c r="B212" s="130"/>
      <c r="D212" s="88"/>
      <c r="F212" s="135"/>
      <c r="G212" s="90"/>
      <c r="H212" s="88"/>
    </row>
    <row r="213" spans="1:8" s="91" customFormat="1" x14ac:dyDescent="0.2">
      <c r="A213" s="119"/>
      <c r="B213" s="131"/>
      <c r="C213" s="92"/>
      <c r="D213" s="93"/>
      <c r="E213" s="92"/>
      <c r="F213" s="94"/>
      <c r="G213" s="90"/>
      <c r="H213" s="88"/>
    </row>
    <row r="214" spans="1:8" s="91" customFormat="1" x14ac:dyDescent="0.2">
      <c r="A214" s="118"/>
      <c r="B214" s="130"/>
      <c r="D214" s="88"/>
      <c r="F214" s="135"/>
      <c r="G214" s="90"/>
      <c r="H214" s="88"/>
    </row>
    <row r="215" spans="1:8" s="91" customFormat="1" x14ac:dyDescent="0.2">
      <c r="A215" s="113"/>
      <c r="B215" s="130"/>
      <c r="D215" s="88"/>
      <c r="F215" s="135"/>
      <c r="G215" s="90"/>
      <c r="H215" s="88"/>
    </row>
    <row r="216" spans="1:8" s="91" customFormat="1" x14ac:dyDescent="0.2">
      <c r="A216" s="113"/>
      <c r="B216" s="130"/>
      <c r="D216" s="88"/>
      <c r="E216" s="104"/>
      <c r="F216" s="135"/>
      <c r="G216" s="90"/>
      <c r="H216" s="88"/>
    </row>
    <row r="217" spans="1:8" s="91" customFormat="1" x14ac:dyDescent="0.2">
      <c r="A217" s="113"/>
      <c r="B217" s="130"/>
      <c r="D217" s="88"/>
      <c r="E217" s="104"/>
      <c r="F217" s="135"/>
      <c r="G217" s="90"/>
      <c r="H217" s="88"/>
    </row>
    <row r="218" spans="1:8" s="91" customFormat="1" x14ac:dyDescent="0.2">
      <c r="A218" s="113"/>
      <c r="B218" s="130"/>
      <c r="D218" s="88"/>
      <c r="F218" s="135"/>
      <c r="G218" s="90"/>
      <c r="H218" s="88"/>
    </row>
    <row r="219" spans="1:8" s="91" customFormat="1" x14ac:dyDescent="0.2">
      <c r="A219" s="113"/>
      <c r="B219" s="130"/>
      <c r="D219" s="88"/>
      <c r="F219" s="135"/>
      <c r="G219" s="90"/>
      <c r="H219" s="88"/>
    </row>
    <row r="220" spans="1:8" s="91" customFormat="1" x14ac:dyDescent="0.2">
      <c r="A220" s="113"/>
      <c r="B220" s="130"/>
      <c r="D220" s="88"/>
      <c r="F220" s="135"/>
      <c r="G220" s="90"/>
      <c r="H220" s="88"/>
    </row>
    <row r="221" spans="1:8" s="91" customFormat="1" x14ac:dyDescent="0.2">
      <c r="A221" s="113"/>
      <c r="B221" s="130"/>
      <c r="D221" s="88"/>
      <c r="F221" s="135"/>
      <c r="G221" s="90"/>
      <c r="H221" s="88"/>
    </row>
    <row r="222" spans="1:8" s="91" customFormat="1" x14ac:dyDescent="0.2">
      <c r="A222" s="113"/>
      <c r="B222" s="130"/>
      <c r="D222" s="88"/>
      <c r="F222" s="135"/>
      <c r="G222" s="96"/>
      <c r="H222" s="88"/>
    </row>
    <row r="223" spans="1:8" s="91" customFormat="1" x14ac:dyDescent="0.2">
      <c r="A223" s="118"/>
      <c r="B223" s="130"/>
      <c r="D223" s="88"/>
      <c r="F223" s="135"/>
      <c r="G223" s="90"/>
      <c r="H223" s="88"/>
    </row>
    <row r="224" spans="1:8" s="91" customFormat="1" x14ac:dyDescent="0.2">
      <c r="A224" s="113"/>
      <c r="B224" s="130"/>
      <c r="D224" s="88"/>
      <c r="F224" s="135"/>
      <c r="G224" s="90"/>
      <c r="H224" s="88"/>
    </row>
    <row r="225" spans="1:8" s="91" customFormat="1" x14ac:dyDescent="0.2">
      <c r="A225" s="117"/>
      <c r="B225" s="130"/>
      <c r="D225" s="88"/>
      <c r="F225" s="135"/>
      <c r="G225" s="90"/>
      <c r="H225" s="88"/>
    </row>
    <row r="226" spans="1:8" s="91" customFormat="1" x14ac:dyDescent="0.2">
      <c r="A226" s="113"/>
      <c r="B226" s="130"/>
      <c r="C226" s="95"/>
      <c r="D226" s="88"/>
      <c r="F226" s="135"/>
      <c r="G226" s="90"/>
      <c r="H226" s="88"/>
    </row>
    <row r="227" spans="1:8" s="91" customFormat="1" x14ac:dyDescent="0.2">
      <c r="A227" s="113"/>
      <c r="B227" s="130"/>
      <c r="C227" s="95"/>
      <c r="D227" s="88"/>
      <c r="F227" s="135"/>
      <c r="G227" s="90"/>
      <c r="H227" s="88"/>
    </row>
    <row r="228" spans="1:8" s="91" customFormat="1" x14ac:dyDescent="0.2">
      <c r="A228" s="113"/>
      <c r="B228" s="130"/>
      <c r="C228" s="95"/>
      <c r="D228" s="88"/>
      <c r="F228" s="135"/>
      <c r="G228" s="90"/>
      <c r="H228" s="88"/>
    </row>
    <row r="229" spans="1:8" s="91" customFormat="1" x14ac:dyDescent="0.2">
      <c r="A229" s="113"/>
      <c r="B229" s="130"/>
      <c r="C229" s="95"/>
      <c r="D229" s="88"/>
      <c r="F229" s="135"/>
      <c r="G229" s="90"/>
      <c r="H229" s="88"/>
    </row>
    <row r="230" spans="1:8" s="91" customFormat="1" x14ac:dyDescent="0.2">
      <c r="A230" s="113"/>
      <c r="B230" s="130"/>
      <c r="D230" s="88"/>
      <c r="F230" s="135"/>
      <c r="G230" s="90"/>
      <c r="H230" s="88"/>
    </row>
    <row r="231" spans="1:8" s="91" customFormat="1" x14ac:dyDescent="0.2">
      <c r="A231" s="117"/>
      <c r="B231" s="130"/>
      <c r="C231" s="95"/>
      <c r="D231" s="88"/>
      <c r="E231" s="105"/>
      <c r="F231" s="135"/>
      <c r="G231" s="90"/>
      <c r="H231" s="88"/>
    </row>
    <row r="232" spans="1:8" s="91" customFormat="1" x14ac:dyDescent="0.2">
      <c r="A232" s="117"/>
      <c r="B232" s="130"/>
      <c r="C232" s="95"/>
      <c r="D232" s="88"/>
      <c r="E232" s="105"/>
      <c r="F232" s="135"/>
      <c r="G232" s="90"/>
      <c r="H232" s="88"/>
    </row>
    <row r="233" spans="1:8" s="91" customFormat="1" x14ac:dyDescent="0.2">
      <c r="A233" s="117"/>
      <c r="B233" s="130"/>
      <c r="C233" s="95"/>
      <c r="D233" s="88"/>
      <c r="E233" s="105"/>
      <c r="F233" s="135"/>
      <c r="G233" s="90"/>
      <c r="H233" s="88"/>
    </row>
    <row r="234" spans="1:8" s="91" customFormat="1" x14ac:dyDescent="0.2">
      <c r="A234" s="117"/>
      <c r="B234" s="130"/>
      <c r="C234" s="95"/>
      <c r="D234" s="88"/>
      <c r="E234" s="104"/>
      <c r="F234" s="135"/>
      <c r="G234" s="90"/>
      <c r="H234" s="88"/>
    </row>
    <row r="235" spans="1:8" s="91" customFormat="1" x14ac:dyDescent="0.2">
      <c r="A235" s="117"/>
      <c r="B235" s="130"/>
      <c r="C235" s="95"/>
      <c r="D235" s="88"/>
      <c r="E235" s="97"/>
      <c r="F235" s="135"/>
      <c r="G235" s="90"/>
      <c r="H235" s="88"/>
    </row>
    <row r="236" spans="1:8" s="91" customFormat="1" x14ac:dyDescent="0.2">
      <c r="A236" s="117"/>
      <c r="B236" s="130"/>
      <c r="C236" s="95"/>
      <c r="D236" s="88"/>
      <c r="E236" s="97"/>
      <c r="F236" s="135"/>
      <c r="G236" s="90"/>
      <c r="H236" s="88"/>
    </row>
    <row r="237" spans="1:8" s="91" customFormat="1" x14ac:dyDescent="0.2">
      <c r="A237" s="117"/>
      <c r="B237" s="130"/>
      <c r="C237" s="95"/>
      <c r="D237" s="88"/>
      <c r="E237" s="97"/>
      <c r="F237" s="135"/>
      <c r="G237" s="90"/>
      <c r="H237" s="88"/>
    </row>
    <row r="238" spans="1:8" s="91" customFormat="1" x14ac:dyDescent="0.2">
      <c r="A238" s="117"/>
      <c r="B238" s="130"/>
      <c r="D238" s="88"/>
      <c r="E238" s="97"/>
      <c r="F238" s="135"/>
      <c r="G238" s="90"/>
      <c r="H238" s="88"/>
    </row>
    <row r="239" spans="1:8" s="91" customFormat="1" x14ac:dyDescent="0.2">
      <c r="A239" s="117"/>
      <c r="B239" s="130"/>
      <c r="C239" s="95"/>
      <c r="D239" s="88"/>
      <c r="E239" s="97"/>
      <c r="F239" s="135"/>
      <c r="G239" s="90"/>
      <c r="H239" s="88"/>
    </row>
    <row r="240" spans="1:8" s="91" customFormat="1" x14ac:dyDescent="0.2">
      <c r="A240" s="117"/>
      <c r="B240" s="130"/>
      <c r="D240" s="88"/>
      <c r="E240" s="101"/>
      <c r="F240" s="135"/>
      <c r="G240" s="90"/>
      <c r="H240" s="88"/>
    </row>
    <row r="241" spans="1:8" s="91" customFormat="1" x14ac:dyDescent="0.2">
      <c r="A241" s="117"/>
      <c r="B241" s="130"/>
      <c r="C241" s="95"/>
      <c r="D241" s="88"/>
      <c r="F241" s="135"/>
      <c r="G241" s="90"/>
      <c r="H241" s="88"/>
    </row>
    <row r="242" spans="1:8" s="91" customFormat="1" x14ac:dyDescent="0.2">
      <c r="A242" s="117"/>
      <c r="B242" s="130"/>
      <c r="C242" s="95"/>
      <c r="D242" s="88"/>
      <c r="F242" s="135"/>
      <c r="G242" s="90"/>
      <c r="H242" s="88"/>
    </row>
    <row r="243" spans="1:8" s="91" customFormat="1" x14ac:dyDescent="0.2">
      <c r="A243" s="117"/>
      <c r="B243" s="130"/>
      <c r="C243" s="95"/>
      <c r="D243" s="88"/>
      <c r="F243" s="135"/>
      <c r="G243" s="90"/>
      <c r="H243" s="88"/>
    </row>
    <row r="244" spans="1:8" s="91" customFormat="1" x14ac:dyDescent="0.2">
      <c r="A244" s="117"/>
      <c r="B244" s="130"/>
      <c r="C244" s="104"/>
      <c r="D244" s="88"/>
      <c r="E244" s="97"/>
      <c r="F244" s="135"/>
      <c r="G244" s="90"/>
      <c r="H244" s="88"/>
    </row>
    <row r="245" spans="1:8" s="91" customFormat="1" x14ac:dyDescent="0.2">
      <c r="A245" s="122"/>
      <c r="B245" s="130"/>
      <c r="C245" s="95"/>
      <c r="D245" s="88"/>
      <c r="E245" s="97"/>
      <c r="F245" s="135"/>
      <c r="G245" s="90"/>
      <c r="H245" s="88"/>
    </row>
    <row r="246" spans="1:8" s="91" customFormat="1" x14ac:dyDescent="0.2">
      <c r="A246" s="113"/>
      <c r="B246" s="130"/>
      <c r="C246" s="95"/>
      <c r="D246" s="88"/>
      <c r="F246" s="135"/>
      <c r="G246" s="90"/>
      <c r="H246" s="88"/>
    </row>
    <row r="247" spans="1:8" s="91" customFormat="1" x14ac:dyDescent="0.2">
      <c r="A247" s="122"/>
      <c r="B247" s="130"/>
      <c r="C247" s="104"/>
      <c r="D247" s="88"/>
      <c r="F247" s="135"/>
      <c r="G247" s="90"/>
      <c r="H247" s="88"/>
    </row>
    <row r="248" spans="1:8" s="91" customFormat="1" x14ac:dyDescent="0.2">
      <c r="A248" s="118"/>
      <c r="B248" s="130"/>
      <c r="D248" s="88"/>
      <c r="F248" s="135"/>
      <c r="G248" s="90"/>
      <c r="H248" s="88"/>
    </row>
    <row r="249" spans="1:8" s="91" customFormat="1" x14ac:dyDescent="0.2">
      <c r="A249" s="113"/>
      <c r="B249" s="130"/>
      <c r="C249" s="95"/>
      <c r="D249" s="88"/>
      <c r="F249" s="135"/>
      <c r="G249" s="90"/>
      <c r="H249" s="88"/>
    </row>
    <row r="250" spans="1:8" s="91" customFormat="1" x14ac:dyDescent="0.2">
      <c r="A250" s="113"/>
      <c r="B250" s="130"/>
      <c r="C250" s="95"/>
      <c r="D250" s="88"/>
      <c r="F250" s="135"/>
      <c r="G250" s="90"/>
      <c r="H250" s="88"/>
    </row>
    <row r="251" spans="1:8" s="91" customFormat="1" x14ac:dyDescent="0.2">
      <c r="A251" s="113"/>
      <c r="B251" s="130"/>
      <c r="C251" s="95"/>
      <c r="D251" s="88"/>
      <c r="F251" s="135"/>
      <c r="G251" s="90"/>
      <c r="H251" s="88"/>
    </row>
    <row r="252" spans="1:8" s="107" customFormat="1" x14ac:dyDescent="0.2">
      <c r="A252" s="113"/>
      <c r="B252" s="130"/>
      <c r="C252" s="95"/>
      <c r="D252" s="88"/>
      <c r="E252" s="91"/>
      <c r="F252" s="135"/>
      <c r="G252" s="90"/>
      <c r="H252" s="99"/>
    </row>
    <row r="253" spans="1:8" s="107" customFormat="1" x14ac:dyDescent="0.2">
      <c r="A253" s="113"/>
      <c r="B253" s="130"/>
      <c r="C253" s="104"/>
      <c r="D253" s="88"/>
      <c r="E253" s="91"/>
      <c r="F253" s="135"/>
      <c r="G253" s="90"/>
      <c r="H253" s="99"/>
    </row>
    <row r="254" spans="1:8" s="107" customFormat="1" x14ac:dyDescent="0.2">
      <c r="A254" s="117"/>
      <c r="B254" s="130"/>
      <c r="C254" s="98"/>
      <c r="D254" s="88"/>
      <c r="E254" s="91"/>
      <c r="F254" s="135"/>
      <c r="G254" s="90"/>
      <c r="H254" s="99"/>
    </row>
    <row r="255" spans="1:8" s="107" customFormat="1" x14ac:dyDescent="0.2">
      <c r="A255" s="117"/>
      <c r="B255" s="130"/>
      <c r="C255" s="98"/>
      <c r="D255" s="88"/>
      <c r="E255" s="91"/>
      <c r="F255" s="135"/>
      <c r="G255" s="90"/>
      <c r="H255" s="99"/>
    </row>
    <row r="256" spans="1:8" s="107" customFormat="1" x14ac:dyDescent="0.2">
      <c r="A256" s="122"/>
      <c r="B256" s="130"/>
      <c r="C256" s="95"/>
      <c r="D256" s="88"/>
      <c r="E256" s="95"/>
      <c r="F256" s="135"/>
      <c r="G256" s="90"/>
      <c r="H256" s="102"/>
    </row>
    <row r="257" spans="1:12" s="107" customFormat="1" x14ac:dyDescent="0.2">
      <c r="A257" s="122"/>
      <c r="B257" s="130"/>
      <c r="C257" s="95"/>
      <c r="D257" s="88"/>
      <c r="E257" s="95"/>
      <c r="F257" s="135"/>
      <c r="G257" s="90"/>
      <c r="H257" s="102"/>
    </row>
    <row r="258" spans="1:12" s="107" customFormat="1" x14ac:dyDescent="0.2">
      <c r="A258" s="122"/>
      <c r="B258" s="130"/>
      <c r="C258" s="95"/>
      <c r="D258" s="88"/>
      <c r="E258" s="91"/>
      <c r="F258" s="135"/>
      <c r="G258" s="90"/>
      <c r="H258" s="102"/>
    </row>
    <row r="259" spans="1:12" s="107" customFormat="1" x14ac:dyDescent="0.2">
      <c r="A259" s="122"/>
      <c r="B259" s="130"/>
      <c r="C259" s="79"/>
      <c r="D259" s="106"/>
      <c r="F259" s="137"/>
      <c r="G259" s="108"/>
      <c r="H259" s="102"/>
    </row>
    <row r="260" spans="1:12" s="107" customFormat="1" x14ac:dyDescent="0.2">
      <c r="A260" s="122"/>
      <c r="B260" s="130"/>
      <c r="C260" s="79"/>
      <c r="D260" s="106"/>
      <c r="F260" s="137"/>
      <c r="G260" s="108"/>
      <c r="H260" s="102"/>
    </row>
    <row r="261" spans="1:12" s="91" customFormat="1" x14ac:dyDescent="0.2">
      <c r="A261" s="122"/>
      <c r="B261" s="130"/>
      <c r="C261" s="79"/>
      <c r="D261" s="106"/>
      <c r="E261" s="107"/>
      <c r="F261" s="137"/>
      <c r="G261" s="108"/>
      <c r="H261" s="88"/>
    </row>
    <row r="262" spans="1:12" s="91" customFormat="1" x14ac:dyDescent="0.2">
      <c r="A262" s="122"/>
      <c r="B262" s="130"/>
      <c r="C262" s="79"/>
      <c r="D262" s="106"/>
      <c r="E262" s="107"/>
      <c r="F262" s="137"/>
      <c r="G262" s="108"/>
      <c r="H262" s="88"/>
    </row>
    <row r="263" spans="1:12" s="107" customFormat="1" x14ac:dyDescent="0.2">
      <c r="A263" s="117"/>
      <c r="B263" s="130"/>
      <c r="C263" s="79"/>
      <c r="D263" s="106"/>
      <c r="E263" s="109"/>
      <c r="F263" s="135"/>
      <c r="G263" s="108"/>
      <c r="H263" s="102"/>
    </row>
    <row r="264" spans="1:12" s="107" customFormat="1" x14ac:dyDescent="0.2">
      <c r="A264" s="117"/>
      <c r="B264" s="130"/>
      <c r="C264" s="79"/>
      <c r="D264" s="106"/>
      <c r="E264" s="109"/>
      <c r="F264" s="135"/>
      <c r="G264" s="108"/>
      <c r="H264" s="102"/>
    </row>
    <row r="265" spans="1:12" s="91" customFormat="1" x14ac:dyDescent="0.2">
      <c r="A265" s="117"/>
      <c r="B265" s="130"/>
      <c r="C265" s="79"/>
      <c r="D265" s="106"/>
      <c r="E265" s="109"/>
      <c r="F265" s="135"/>
      <c r="G265" s="108"/>
      <c r="H265" s="88"/>
    </row>
    <row r="266" spans="1:12" s="92" customFormat="1" x14ac:dyDescent="0.2">
      <c r="A266" s="117"/>
      <c r="B266" s="130"/>
      <c r="C266" s="80"/>
      <c r="D266" s="106"/>
      <c r="E266" s="80"/>
      <c r="F266" s="135"/>
      <c r="G266" s="90"/>
      <c r="H266" s="93"/>
      <c r="J266" s="89"/>
      <c r="K266" s="103"/>
      <c r="L266" s="89"/>
    </row>
    <row r="267" spans="1:12" s="91" customFormat="1" x14ac:dyDescent="0.2">
      <c r="A267" s="117"/>
      <c r="B267" s="130"/>
      <c r="C267" s="85"/>
      <c r="D267" s="106"/>
      <c r="E267" s="80"/>
      <c r="F267" s="135"/>
      <c r="G267" s="90"/>
      <c r="H267" s="88"/>
    </row>
    <row r="268" spans="1:12" s="91" customFormat="1" x14ac:dyDescent="0.2">
      <c r="A268" s="117"/>
      <c r="B268" s="130"/>
      <c r="C268" s="104"/>
      <c r="D268" s="88"/>
      <c r="E268" s="97"/>
      <c r="F268" s="135"/>
      <c r="G268" s="90"/>
      <c r="H268" s="88"/>
    </row>
    <row r="269" spans="1:12" s="91" customFormat="1" x14ac:dyDescent="0.2">
      <c r="A269" s="122"/>
      <c r="B269" s="130"/>
      <c r="C269" s="95"/>
      <c r="D269" s="88"/>
      <c r="E269" s="97"/>
      <c r="F269" s="135"/>
      <c r="G269" s="90"/>
      <c r="H269" s="88"/>
    </row>
    <row r="270" spans="1:12" s="91" customFormat="1" x14ac:dyDescent="0.2">
      <c r="A270" s="113"/>
      <c r="B270" s="130"/>
      <c r="C270" s="79"/>
      <c r="D270" s="88"/>
      <c r="E270" s="109"/>
      <c r="F270" s="135"/>
      <c r="G270" s="108"/>
      <c r="H270" s="88"/>
    </row>
    <row r="271" spans="1:12" s="91" customFormat="1" x14ac:dyDescent="0.2">
      <c r="A271" s="122"/>
      <c r="B271" s="130"/>
      <c r="C271" s="80"/>
      <c r="D271" s="88"/>
      <c r="E271" s="109"/>
      <c r="F271" s="135"/>
      <c r="G271" s="108"/>
      <c r="H271" s="88"/>
    </row>
    <row r="272" spans="1:12" s="91" customFormat="1" x14ac:dyDescent="0.2">
      <c r="A272" s="113"/>
      <c r="B272" s="130"/>
      <c r="C272" s="95"/>
      <c r="D272" s="88"/>
      <c r="F272" s="135"/>
      <c r="G272" s="90"/>
      <c r="H272" s="88"/>
    </row>
    <row r="273" spans="1:12" s="91" customFormat="1" x14ac:dyDescent="0.2">
      <c r="A273" s="119"/>
      <c r="B273" s="131"/>
      <c r="C273" s="92"/>
      <c r="D273" s="93"/>
      <c r="E273" s="92"/>
      <c r="F273" s="94"/>
      <c r="G273" s="90"/>
      <c r="H273" s="88"/>
    </row>
    <row r="274" spans="1:12" s="91" customFormat="1" x14ac:dyDescent="0.2">
      <c r="A274" s="118"/>
      <c r="B274" s="130"/>
      <c r="D274" s="88"/>
      <c r="F274" s="135"/>
      <c r="G274" s="90"/>
      <c r="H274" s="88"/>
    </row>
    <row r="275" spans="1:12" s="91" customFormat="1" x14ac:dyDescent="0.2">
      <c r="A275" s="118"/>
      <c r="B275" s="130"/>
      <c r="D275" s="88"/>
      <c r="F275" s="135"/>
      <c r="G275" s="90"/>
      <c r="H275" s="88"/>
    </row>
    <row r="276" spans="1:12" s="91" customFormat="1" x14ac:dyDescent="0.2">
      <c r="A276" s="118"/>
      <c r="B276" s="130"/>
      <c r="D276" s="88"/>
      <c r="F276" s="135"/>
      <c r="G276" s="90"/>
      <c r="H276" s="88"/>
    </row>
    <row r="277" spans="1:12" s="91" customFormat="1" x14ac:dyDescent="0.2">
      <c r="A277" s="118"/>
      <c r="B277" s="130"/>
      <c r="D277" s="88"/>
      <c r="F277" s="135"/>
      <c r="G277" s="90"/>
      <c r="H277" s="88"/>
    </row>
    <row r="278" spans="1:12" s="91" customFormat="1" x14ac:dyDescent="0.2">
      <c r="A278" s="118"/>
      <c r="B278" s="130"/>
      <c r="D278" s="88"/>
      <c r="E278" s="89"/>
      <c r="F278" s="135"/>
      <c r="G278" s="90"/>
      <c r="H278" s="88"/>
    </row>
    <row r="279" spans="1:12" s="91" customFormat="1" x14ac:dyDescent="0.2">
      <c r="A279" s="118"/>
      <c r="B279" s="130"/>
      <c r="D279" s="88"/>
      <c r="F279" s="135"/>
      <c r="G279" s="90"/>
      <c r="H279" s="88"/>
    </row>
    <row r="280" spans="1:12" s="91" customFormat="1" x14ac:dyDescent="0.2">
      <c r="A280" s="118"/>
      <c r="B280" s="130"/>
      <c r="D280" s="88"/>
      <c r="F280" s="135"/>
      <c r="G280" s="90"/>
      <c r="H280" s="88"/>
    </row>
    <row r="281" spans="1:12" s="91" customFormat="1" x14ac:dyDescent="0.2">
      <c r="A281" s="118"/>
      <c r="B281" s="130"/>
      <c r="D281" s="88"/>
      <c r="F281" s="135"/>
      <c r="G281" s="90"/>
      <c r="H281" s="88"/>
    </row>
    <row r="282" spans="1:12" s="91" customFormat="1" x14ac:dyDescent="0.2">
      <c r="A282" s="118"/>
      <c r="B282" s="130"/>
      <c r="D282" s="88"/>
      <c r="F282" s="135"/>
      <c r="G282" s="90"/>
      <c r="H282" s="88"/>
    </row>
    <row r="283" spans="1:12" s="91" customFormat="1" x14ac:dyDescent="0.2">
      <c r="A283" s="118"/>
      <c r="B283" s="130"/>
      <c r="D283" s="88"/>
      <c r="E283" s="89"/>
      <c r="F283" s="135"/>
      <c r="G283" s="90"/>
      <c r="H283" s="88"/>
    </row>
    <row r="284" spans="1:12" s="91" customFormat="1" x14ac:dyDescent="0.2">
      <c r="A284" s="118"/>
      <c r="B284" s="130"/>
      <c r="C284" s="98"/>
      <c r="D284" s="88"/>
      <c r="E284" s="89"/>
      <c r="F284" s="135"/>
      <c r="G284" s="90"/>
      <c r="H284" s="88"/>
    </row>
    <row r="285" spans="1:12" s="91" customFormat="1" x14ac:dyDescent="0.2">
      <c r="A285" s="118"/>
      <c r="B285" s="130"/>
      <c r="D285" s="88"/>
      <c r="F285" s="135"/>
      <c r="G285" s="90"/>
      <c r="H285" s="88"/>
    </row>
    <row r="286" spans="1:12" s="92" customFormat="1" x14ac:dyDescent="0.2">
      <c r="A286" s="118"/>
      <c r="B286" s="130"/>
      <c r="C286" s="91"/>
      <c r="D286" s="88"/>
      <c r="E286" s="91"/>
      <c r="F286" s="135"/>
      <c r="G286" s="90"/>
      <c r="H286" s="93"/>
      <c r="J286" s="89"/>
      <c r="K286" s="103"/>
      <c r="L286" s="89"/>
    </row>
    <row r="287" spans="1:12" s="91" customFormat="1" x14ac:dyDescent="0.2">
      <c r="A287" s="118"/>
      <c r="B287" s="130"/>
      <c r="D287" s="88"/>
      <c r="F287" s="135"/>
      <c r="G287" s="90"/>
      <c r="H287" s="88"/>
    </row>
    <row r="288" spans="1:12" s="91" customFormat="1" x14ac:dyDescent="0.2">
      <c r="A288" s="118"/>
      <c r="B288" s="130"/>
      <c r="D288" s="88"/>
      <c r="F288" s="135"/>
      <c r="G288" s="90"/>
      <c r="H288" s="88"/>
    </row>
    <row r="289" spans="1:8" s="91" customFormat="1" x14ac:dyDescent="0.2">
      <c r="A289" s="118"/>
      <c r="B289" s="130"/>
      <c r="D289" s="88"/>
      <c r="F289" s="135"/>
      <c r="G289" s="90"/>
      <c r="H289" s="88"/>
    </row>
    <row r="290" spans="1:8" s="91" customFormat="1" x14ac:dyDescent="0.2">
      <c r="A290" s="118"/>
      <c r="B290" s="130"/>
      <c r="D290" s="88"/>
      <c r="F290" s="135"/>
      <c r="G290" s="90"/>
      <c r="H290" s="88"/>
    </row>
    <row r="291" spans="1:8" s="91" customFormat="1" x14ac:dyDescent="0.2">
      <c r="A291" s="118"/>
      <c r="B291" s="130"/>
      <c r="D291" s="88"/>
      <c r="F291" s="135"/>
      <c r="G291" s="90"/>
      <c r="H291" s="88"/>
    </row>
    <row r="292" spans="1:8" s="91" customFormat="1" x14ac:dyDescent="0.2">
      <c r="A292" s="118"/>
      <c r="B292" s="130"/>
      <c r="D292" s="88"/>
      <c r="F292" s="135"/>
      <c r="G292" s="90"/>
      <c r="H292" s="88"/>
    </row>
    <row r="293" spans="1:8" s="91" customFormat="1" x14ac:dyDescent="0.2">
      <c r="A293" s="119"/>
      <c r="B293" s="131"/>
      <c r="C293" s="92"/>
      <c r="D293" s="93"/>
      <c r="E293" s="92"/>
      <c r="F293" s="94"/>
      <c r="G293" s="90"/>
      <c r="H293" s="88"/>
    </row>
    <row r="294" spans="1:8" s="91" customFormat="1" x14ac:dyDescent="0.2">
      <c r="A294" s="118"/>
      <c r="B294" s="130"/>
      <c r="D294" s="88"/>
      <c r="F294" s="135"/>
      <c r="G294" s="90"/>
      <c r="H294" s="88"/>
    </row>
    <row r="295" spans="1:8" s="91" customFormat="1" x14ac:dyDescent="0.2">
      <c r="A295" s="113"/>
      <c r="B295" s="130"/>
      <c r="D295" s="88"/>
      <c r="F295" s="135"/>
      <c r="G295" s="90"/>
      <c r="H295" s="88"/>
    </row>
    <row r="296" spans="1:8" s="91" customFormat="1" x14ac:dyDescent="0.2">
      <c r="A296" s="113"/>
      <c r="B296" s="130"/>
      <c r="D296" s="88"/>
      <c r="E296" s="104"/>
      <c r="F296" s="135"/>
      <c r="G296" s="90"/>
      <c r="H296" s="88"/>
    </row>
    <row r="297" spans="1:8" s="91" customFormat="1" x14ac:dyDescent="0.2">
      <c r="A297" s="113"/>
      <c r="B297" s="130"/>
      <c r="D297" s="88"/>
      <c r="E297" s="104"/>
      <c r="F297" s="135"/>
      <c r="G297" s="90"/>
      <c r="H297" s="88"/>
    </row>
    <row r="298" spans="1:8" s="91" customFormat="1" x14ac:dyDescent="0.2">
      <c r="A298" s="113"/>
      <c r="B298" s="130"/>
      <c r="D298" s="88"/>
      <c r="F298" s="135"/>
      <c r="G298" s="90"/>
      <c r="H298" s="88"/>
    </row>
    <row r="299" spans="1:8" s="91" customFormat="1" x14ac:dyDescent="0.2">
      <c r="A299" s="113"/>
      <c r="B299" s="130"/>
      <c r="D299" s="88"/>
      <c r="F299" s="135"/>
      <c r="G299" s="90"/>
      <c r="H299" s="88"/>
    </row>
    <row r="300" spans="1:8" s="91" customFormat="1" x14ac:dyDescent="0.2">
      <c r="A300" s="113"/>
      <c r="B300" s="130"/>
      <c r="D300" s="88"/>
      <c r="F300" s="135"/>
      <c r="G300" s="90"/>
      <c r="H300" s="88"/>
    </row>
    <row r="301" spans="1:8" s="91" customFormat="1" x14ac:dyDescent="0.2">
      <c r="A301" s="113"/>
      <c r="B301" s="130"/>
      <c r="D301" s="88"/>
      <c r="F301" s="135"/>
      <c r="G301" s="90"/>
      <c r="H301" s="88"/>
    </row>
    <row r="302" spans="1:8" s="91" customFormat="1" x14ac:dyDescent="0.2">
      <c r="A302" s="113"/>
      <c r="B302" s="130"/>
      <c r="D302" s="88"/>
      <c r="F302" s="135"/>
      <c r="G302" s="96"/>
      <c r="H302" s="88"/>
    </row>
    <row r="303" spans="1:8" s="91" customFormat="1" x14ac:dyDescent="0.2">
      <c r="A303" s="118"/>
      <c r="B303" s="130"/>
      <c r="D303" s="88"/>
      <c r="F303" s="135"/>
      <c r="G303" s="90"/>
      <c r="H303" s="88"/>
    </row>
    <row r="304" spans="1:8" s="91" customFormat="1" x14ac:dyDescent="0.2">
      <c r="A304" s="113"/>
      <c r="B304" s="130"/>
      <c r="C304" s="95"/>
      <c r="D304" s="88"/>
      <c r="F304" s="135"/>
      <c r="G304" s="90"/>
      <c r="H304" s="88"/>
    </row>
    <row r="305" spans="1:12" s="91" customFormat="1" x14ac:dyDescent="0.2">
      <c r="A305" s="113"/>
      <c r="B305" s="130"/>
      <c r="C305" s="95"/>
      <c r="D305" s="88"/>
      <c r="F305" s="135"/>
      <c r="G305" s="90"/>
      <c r="H305" s="88"/>
    </row>
    <row r="306" spans="1:12" s="91" customFormat="1" x14ac:dyDescent="0.2">
      <c r="A306" s="113"/>
      <c r="B306" s="130"/>
      <c r="C306" s="95"/>
      <c r="D306" s="88"/>
      <c r="F306" s="135"/>
      <c r="G306" s="90"/>
      <c r="H306" s="88"/>
    </row>
    <row r="307" spans="1:12" s="91" customFormat="1" x14ac:dyDescent="0.2">
      <c r="A307" s="113"/>
      <c r="B307" s="130"/>
      <c r="C307" s="95"/>
      <c r="D307" s="88"/>
      <c r="F307" s="135"/>
      <c r="G307" s="90"/>
      <c r="H307" s="88"/>
    </row>
    <row r="308" spans="1:12" s="91" customFormat="1" x14ac:dyDescent="0.2">
      <c r="A308" s="122"/>
      <c r="B308" s="130"/>
      <c r="C308" s="104"/>
      <c r="D308" s="88"/>
      <c r="F308" s="135"/>
      <c r="G308" s="90"/>
      <c r="H308" s="88"/>
    </row>
    <row r="309" spans="1:12" s="92" customFormat="1" x14ac:dyDescent="0.2">
      <c r="A309" s="118"/>
      <c r="B309" s="130"/>
      <c r="C309" s="91"/>
      <c r="D309" s="88"/>
      <c r="E309" s="91"/>
      <c r="F309" s="135"/>
      <c r="G309" s="90"/>
      <c r="H309" s="93"/>
      <c r="J309" s="89"/>
      <c r="K309" s="103"/>
      <c r="L309" s="89"/>
    </row>
    <row r="310" spans="1:12" s="91" customFormat="1" x14ac:dyDescent="0.2">
      <c r="A310" s="113"/>
      <c r="B310" s="130"/>
      <c r="C310" s="95"/>
      <c r="D310" s="88"/>
      <c r="F310" s="135"/>
      <c r="G310" s="90"/>
      <c r="H310" s="88"/>
    </row>
    <row r="311" spans="1:12" s="91" customFormat="1" x14ac:dyDescent="0.2">
      <c r="A311" s="113"/>
      <c r="B311" s="130"/>
      <c r="C311" s="95"/>
      <c r="D311" s="88"/>
      <c r="F311" s="135"/>
      <c r="G311" s="90"/>
      <c r="H311" s="88"/>
    </row>
    <row r="312" spans="1:12" s="91" customFormat="1" x14ac:dyDescent="0.2">
      <c r="A312" s="113"/>
      <c r="B312" s="130"/>
      <c r="C312" s="95"/>
      <c r="D312" s="88"/>
      <c r="F312" s="135"/>
      <c r="G312" s="90"/>
      <c r="H312" s="88"/>
    </row>
    <row r="313" spans="1:12" s="91" customFormat="1" x14ac:dyDescent="0.2">
      <c r="A313" s="113"/>
      <c r="B313" s="130"/>
      <c r="C313" s="95"/>
      <c r="D313" s="88"/>
      <c r="F313" s="135"/>
      <c r="G313" s="90"/>
      <c r="H313" s="88"/>
    </row>
    <row r="314" spans="1:12" s="91" customFormat="1" x14ac:dyDescent="0.2">
      <c r="A314" s="122"/>
      <c r="B314" s="130"/>
      <c r="C314" s="104"/>
      <c r="D314" s="88"/>
      <c r="F314" s="135"/>
      <c r="G314" s="90"/>
      <c r="H314" s="88"/>
    </row>
    <row r="315" spans="1:12" s="91" customFormat="1" x14ac:dyDescent="0.2">
      <c r="A315" s="122"/>
      <c r="B315" s="130"/>
      <c r="C315" s="104"/>
      <c r="D315" s="88"/>
      <c r="F315" s="135"/>
      <c r="G315" s="90"/>
      <c r="H315" s="88"/>
    </row>
    <row r="316" spans="1:12" s="91" customFormat="1" x14ac:dyDescent="0.2">
      <c r="A316" s="119"/>
      <c r="B316" s="131"/>
      <c r="C316" s="92"/>
      <c r="D316" s="93"/>
      <c r="E316" s="92"/>
      <c r="F316" s="94"/>
      <c r="G316" s="90"/>
      <c r="H316" s="88"/>
    </row>
    <row r="317" spans="1:12" s="91" customFormat="1" x14ac:dyDescent="0.2">
      <c r="A317" s="118"/>
      <c r="B317" s="130"/>
      <c r="D317" s="88"/>
      <c r="E317" s="89"/>
      <c r="F317" s="135"/>
      <c r="G317" s="90"/>
      <c r="H317" s="88"/>
    </row>
    <row r="318" spans="1:12" s="91" customFormat="1" x14ac:dyDescent="0.2">
      <c r="A318" s="118"/>
      <c r="B318" s="130"/>
      <c r="D318" s="88"/>
      <c r="F318" s="135"/>
      <c r="G318" s="90"/>
      <c r="H318" s="88"/>
    </row>
    <row r="319" spans="1:12" s="91" customFormat="1" x14ac:dyDescent="0.2">
      <c r="A319" s="118"/>
      <c r="B319" s="130"/>
      <c r="D319" s="88"/>
      <c r="E319" s="101"/>
      <c r="F319" s="135"/>
      <c r="G319" s="90"/>
      <c r="H319" s="88"/>
    </row>
    <row r="320" spans="1:12" s="91" customFormat="1" x14ac:dyDescent="0.2">
      <c r="A320" s="118"/>
      <c r="B320" s="130"/>
      <c r="D320" s="88"/>
      <c r="F320" s="135"/>
      <c r="G320" s="90"/>
      <c r="H320" s="88"/>
    </row>
    <row r="321" spans="1:8" s="91" customFormat="1" x14ac:dyDescent="0.2">
      <c r="A321" s="122"/>
      <c r="B321" s="130"/>
      <c r="D321" s="88"/>
      <c r="F321" s="135"/>
      <c r="G321" s="90"/>
      <c r="H321" s="88"/>
    </row>
    <row r="322" spans="1:8" s="91" customFormat="1" x14ac:dyDescent="0.2">
      <c r="A322" s="122"/>
      <c r="B322" s="130"/>
      <c r="D322" s="88"/>
      <c r="F322" s="135"/>
      <c r="G322" s="90"/>
      <c r="H322" s="88"/>
    </row>
    <row r="323" spans="1:8" s="91" customFormat="1" x14ac:dyDescent="0.2">
      <c r="A323" s="118"/>
      <c r="B323" s="130"/>
      <c r="C323" s="89"/>
      <c r="D323" s="88"/>
      <c r="F323" s="135"/>
      <c r="G323" s="90"/>
      <c r="H323" s="88"/>
    </row>
    <row r="324" spans="1:8" s="91" customFormat="1" x14ac:dyDescent="0.2">
      <c r="A324" s="122"/>
      <c r="B324" s="130"/>
      <c r="C324" s="104"/>
      <c r="D324" s="88"/>
      <c r="F324" s="135"/>
      <c r="G324" s="90"/>
      <c r="H324" s="88"/>
    </row>
    <row r="325" spans="1:8" s="91" customFormat="1" x14ac:dyDescent="0.2">
      <c r="A325" s="122"/>
      <c r="B325" s="130"/>
      <c r="D325" s="88"/>
      <c r="F325" s="135"/>
      <c r="G325" s="90"/>
      <c r="H325" s="88"/>
    </row>
    <row r="326" spans="1:8" s="91" customFormat="1" x14ac:dyDescent="0.2">
      <c r="A326" s="118"/>
      <c r="B326" s="130"/>
      <c r="C326" s="89"/>
      <c r="D326" s="88"/>
      <c r="F326" s="135"/>
      <c r="G326" s="90"/>
      <c r="H326" s="88"/>
    </row>
    <row r="327" spans="1:8" s="91" customFormat="1" x14ac:dyDescent="0.2">
      <c r="A327" s="122"/>
      <c r="B327" s="130"/>
      <c r="D327" s="88"/>
      <c r="F327" s="135"/>
      <c r="G327" s="90"/>
      <c r="H327" s="88"/>
    </row>
    <row r="328" spans="1:8" s="92" customFormat="1" x14ac:dyDescent="0.2">
      <c r="A328" s="118"/>
      <c r="B328" s="130"/>
      <c r="C328" s="104"/>
      <c r="D328" s="88"/>
      <c r="E328" s="91"/>
      <c r="F328" s="135"/>
      <c r="G328" s="90"/>
      <c r="H328" s="93"/>
    </row>
    <row r="329" spans="1:8" s="91" customFormat="1" x14ac:dyDescent="0.2">
      <c r="A329" s="118"/>
      <c r="B329" s="130"/>
      <c r="D329" s="88"/>
      <c r="F329" s="135"/>
      <c r="G329" s="90"/>
      <c r="H329" s="88"/>
    </row>
    <row r="330" spans="1:8" s="91" customFormat="1" x14ac:dyDescent="0.2">
      <c r="A330" s="118"/>
      <c r="B330" s="130"/>
      <c r="D330" s="88"/>
      <c r="E330" s="89"/>
      <c r="F330" s="135"/>
      <c r="G330" s="90"/>
      <c r="H330" s="88"/>
    </row>
    <row r="331" spans="1:8" s="91" customFormat="1" x14ac:dyDescent="0.2">
      <c r="A331" s="118"/>
      <c r="B331" s="130"/>
      <c r="D331" s="88"/>
      <c r="F331" s="135"/>
      <c r="G331" s="90"/>
      <c r="H331" s="88"/>
    </row>
    <row r="332" spans="1:8" s="91" customFormat="1" x14ac:dyDescent="0.2">
      <c r="A332" s="122"/>
      <c r="B332" s="130"/>
      <c r="D332" s="88"/>
      <c r="F332" s="135"/>
      <c r="G332" s="90"/>
      <c r="H332" s="88"/>
    </row>
    <row r="333" spans="1:8" s="91" customFormat="1" x14ac:dyDescent="0.2">
      <c r="A333" s="118"/>
      <c r="B333" s="130"/>
      <c r="D333" s="88"/>
      <c r="F333" s="135"/>
      <c r="G333" s="90"/>
      <c r="H333" s="88"/>
    </row>
    <row r="334" spans="1:8" s="91" customFormat="1" x14ac:dyDescent="0.2">
      <c r="A334" s="118"/>
      <c r="B334" s="130"/>
      <c r="D334" s="88"/>
      <c r="F334" s="135"/>
      <c r="G334" s="90"/>
      <c r="H334" s="88"/>
    </row>
    <row r="335" spans="1:8" s="91" customFormat="1" x14ac:dyDescent="0.2">
      <c r="A335" s="119"/>
      <c r="B335" s="131"/>
      <c r="C335" s="92"/>
      <c r="D335" s="93"/>
      <c r="E335" s="92"/>
      <c r="F335" s="94"/>
      <c r="G335" s="90"/>
      <c r="H335" s="88"/>
    </row>
    <row r="336" spans="1:8" s="91" customFormat="1" x14ac:dyDescent="0.2">
      <c r="A336" s="118"/>
      <c r="B336" s="130"/>
      <c r="D336" s="88"/>
      <c r="F336" s="135"/>
      <c r="G336" s="90"/>
      <c r="H336" s="88"/>
    </row>
    <row r="337" spans="1:8" s="91" customFormat="1" x14ac:dyDescent="0.2">
      <c r="A337" s="113"/>
      <c r="B337" s="130"/>
      <c r="D337" s="88"/>
      <c r="F337" s="135"/>
      <c r="G337" s="90"/>
      <c r="H337" s="88"/>
    </row>
    <row r="338" spans="1:8" s="91" customFormat="1" x14ac:dyDescent="0.2">
      <c r="A338" s="117"/>
      <c r="B338" s="130"/>
      <c r="C338" s="89"/>
      <c r="D338" s="88"/>
      <c r="E338" s="95"/>
      <c r="F338" s="135"/>
      <c r="G338" s="90"/>
      <c r="H338" s="88"/>
    </row>
    <row r="339" spans="1:8" s="91" customFormat="1" x14ac:dyDescent="0.2">
      <c r="A339" s="117"/>
      <c r="B339" s="130"/>
      <c r="D339" s="88"/>
      <c r="E339" s="97"/>
      <c r="F339" s="135"/>
      <c r="G339" s="90"/>
      <c r="H339" s="88"/>
    </row>
    <row r="340" spans="1:8" s="91" customFormat="1" x14ac:dyDescent="0.2">
      <c r="A340" s="113"/>
      <c r="B340" s="130"/>
      <c r="D340" s="88"/>
      <c r="F340" s="135"/>
      <c r="G340" s="90"/>
      <c r="H340" s="88"/>
    </row>
    <row r="341" spans="1:8" s="91" customFormat="1" x14ac:dyDescent="0.2">
      <c r="A341" s="117"/>
      <c r="B341" s="130"/>
      <c r="D341" s="88"/>
      <c r="E341" s="95"/>
      <c r="F341" s="135"/>
      <c r="G341" s="90"/>
      <c r="H341" s="88"/>
    </row>
    <row r="342" spans="1:8" s="91" customFormat="1" x14ac:dyDescent="0.2">
      <c r="A342" s="117"/>
      <c r="B342" s="130"/>
      <c r="D342" s="88"/>
      <c r="E342" s="95"/>
      <c r="F342" s="135"/>
      <c r="G342" s="90"/>
      <c r="H342" s="88"/>
    </row>
    <row r="343" spans="1:8" s="91" customFormat="1" x14ac:dyDescent="0.2">
      <c r="A343" s="117"/>
      <c r="B343" s="130"/>
      <c r="C343" s="101"/>
      <c r="D343" s="88"/>
      <c r="E343" s="95"/>
      <c r="F343" s="135"/>
      <c r="G343" s="90"/>
      <c r="H343" s="88"/>
    </row>
    <row r="344" spans="1:8" s="91" customFormat="1" x14ac:dyDescent="0.2">
      <c r="A344" s="113"/>
      <c r="B344" s="130"/>
      <c r="D344" s="88"/>
      <c r="E344" s="97"/>
      <c r="F344" s="135"/>
      <c r="G344" s="90"/>
      <c r="H344" s="88"/>
    </row>
    <row r="345" spans="1:8" s="91" customFormat="1" x14ac:dyDescent="0.2">
      <c r="A345" s="118"/>
      <c r="B345" s="130"/>
      <c r="D345" s="88"/>
      <c r="F345" s="135"/>
      <c r="G345" s="90"/>
      <c r="H345" s="88"/>
    </row>
    <row r="346" spans="1:8" s="91" customFormat="1" x14ac:dyDescent="0.2">
      <c r="A346" s="113"/>
      <c r="B346" s="130"/>
      <c r="D346" s="88"/>
      <c r="F346" s="135"/>
      <c r="G346" s="90"/>
      <c r="H346" s="88"/>
    </row>
    <row r="347" spans="1:8" s="91" customFormat="1" x14ac:dyDescent="0.2">
      <c r="A347" s="113"/>
      <c r="B347" s="130"/>
      <c r="C347" s="95"/>
      <c r="D347" s="88"/>
      <c r="F347" s="135"/>
      <c r="G347" s="90"/>
      <c r="H347" s="88"/>
    </row>
    <row r="348" spans="1:8" s="91" customFormat="1" x14ac:dyDescent="0.2">
      <c r="A348" s="113"/>
      <c r="B348" s="130"/>
      <c r="D348" s="88"/>
      <c r="E348" s="95"/>
      <c r="F348" s="135"/>
      <c r="G348" s="90"/>
      <c r="H348" s="88"/>
    </row>
    <row r="349" spans="1:8" s="91" customFormat="1" x14ac:dyDescent="0.2">
      <c r="A349" s="113"/>
      <c r="B349" s="130"/>
      <c r="C349" s="104"/>
      <c r="D349" s="88"/>
      <c r="F349" s="135"/>
      <c r="G349" s="90"/>
      <c r="H349" s="88"/>
    </row>
    <row r="350" spans="1:8" s="91" customFormat="1" x14ac:dyDescent="0.2">
      <c r="A350" s="113"/>
      <c r="B350" s="130"/>
      <c r="C350" s="104"/>
      <c r="D350" s="88"/>
      <c r="F350" s="135"/>
      <c r="G350" s="90"/>
      <c r="H350" s="88"/>
    </row>
    <row r="351" spans="1:8" s="91" customFormat="1" x14ac:dyDescent="0.2">
      <c r="A351" s="120"/>
      <c r="B351" s="130"/>
      <c r="D351" s="88"/>
      <c r="F351" s="135"/>
      <c r="G351" s="90"/>
      <c r="H351" s="88"/>
    </row>
    <row r="352" spans="1:8" s="91" customFormat="1" x14ac:dyDescent="0.2">
      <c r="A352" s="113"/>
      <c r="B352" s="130"/>
      <c r="D352" s="88"/>
      <c r="E352" s="89"/>
      <c r="F352" s="135"/>
      <c r="G352" s="90"/>
      <c r="H352" s="88"/>
    </row>
    <row r="353" spans="1:8" s="91" customFormat="1" x14ac:dyDescent="0.2">
      <c r="A353" s="113"/>
      <c r="B353" s="130"/>
      <c r="D353" s="88"/>
      <c r="F353" s="135"/>
      <c r="G353" s="90"/>
      <c r="H353" s="88"/>
    </row>
    <row r="354" spans="1:8" s="92" customFormat="1" x14ac:dyDescent="0.2">
      <c r="A354" s="113"/>
      <c r="B354" s="130"/>
      <c r="C354" s="91"/>
      <c r="D354" s="88"/>
      <c r="E354" s="91"/>
      <c r="F354" s="135"/>
      <c r="G354" s="90"/>
      <c r="H354" s="93"/>
    </row>
    <row r="355" spans="1:8" s="91" customFormat="1" x14ac:dyDescent="0.2">
      <c r="A355" s="113"/>
      <c r="B355" s="130"/>
      <c r="D355" s="88"/>
      <c r="F355" s="135"/>
      <c r="G355" s="90"/>
      <c r="H355" s="88"/>
    </row>
    <row r="356" spans="1:8" s="91" customFormat="1" x14ac:dyDescent="0.2">
      <c r="A356" s="120"/>
      <c r="B356" s="130"/>
      <c r="D356" s="88"/>
      <c r="F356" s="135"/>
      <c r="G356" s="90"/>
      <c r="H356" s="88"/>
    </row>
    <row r="357" spans="1:8" s="91" customFormat="1" x14ac:dyDescent="0.2">
      <c r="A357" s="113"/>
      <c r="B357" s="130"/>
      <c r="D357" s="88"/>
      <c r="E357" s="104"/>
      <c r="F357" s="135"/>
      <c r="G357" s="90"/>
      <c r="H357" s="88"/>
    </row>
    <row r="358" spans="1:8" s="91" customFormat="1" x14ac:dyDescent="0.2">
      <c r="A358" s="113"/>
      <c r="B358" s="130"/>
      <c r="D358" s="88"/>
      <c r="F358" s="135"/>
      <c r="G358" s="90"/>
      <c r="H358" s="88"/>
    </row>
    <row r="359" spans="1:8" s="91" customFormat="1" x14ac:dyDescent="0.2">
      <c r="A359" s="113"/>
      <c r="B359" s="130"/>
      <c r="D359" s="88"/>
      <c r="F359" s="135"/>
      <c r="G359" s="90"/>
      <c r="H359" s="88"/>
    </row>
    <row r="360" spans="1:8" s="91" customFormat="1" x14ac:dyDescent="0.2">
      <c r="A360" s="113"/>
      <c r="B360" s="130"/>
      <c r="D360" s="88"/>
      <c r="F360" s="135"/>
      <c r="G360" s="90"/>
      <c r="H360" s="88"/>
    </row>
    <row r="361" spans="1:8" s="91" customFormat="1" x14ac:dyDescent="0.2">
      <c r="A361" s="119"/>
      <c r="B361" s="131"/>
      <c r="C361" s="92"/>
      <c r="D361" s="93"/>
      <c r="E361" s="92"/>
      <c r="F361" s="94"/>
      <c r="G361" s="90"/>
      <c r="H361" s="88"/>
    </row>
    <row r="362" spans="1:8" s="91" customFormat="1" x14ac:dyDescent="0.2">
      <c r="A362" s="118"/>
      <c r="B362" s="130"/>
      <c r="D362" s="88"/>
      <c r="F362" s="135"/>
      <c r="G362" s="90"/>
      <c r="H362" s="88"/>
    </row>
    <row r="363" spans="1:8" s="91" customFormat="1" x14ac:dyDescent="0.2">
      <c r="A363" s="113"/>
      <c r="B363" s="130"/>
      <c r="C363" s="89"/>
      <c r="D363" s="88"/>
      <c r="E363" s="89"/>
      <c r="F363" s="135"/>
      <c r="G363" s="90"/>
      <c r="H363" s="88"/>
    </row>
    <row r="364" spans="1:8" s="91" customFormat="1" x14ac:dyDescent="0.2">
      <c r="A364" s="113"/>
      <c r="B364" s="130"/>
      <c r="C364" s="89"/>
      <c r="D364" s="88"/>
      <c r="E364" s="89"/>
      <c r="F364" s="135"/>
      <c r="G364" s="90"/>
      <c r="H364" s="88"/>
    </row>
    <row r="365" spans="1:8" s="91" customFormat="1" x14ac:dyDescent="0.2">
      <c r="A365" s="113"/>
      <c r="B365" s="130"/>
      <c r="C365" s="89"/>
      <c r="D365" s="88"/>
      <c r="E365" s="95"/>
      <c r="F365" s="135"/>
      <c r="G365" s="90"/>
      <c r="H365" s="88"/>
    </row>
    <row r="366" spans="1:8" s="91" customFormat="1" x14ac:dyDescent="0.2">
      <c r="A366" s="113"/>
      <c r="B366" s="130"/>
      <c r="C366" s="89"/>
      <c r="D366" s="88"/>
      <c r="E366" s="95"/>
      <c r="F366" s="135"/>
      <c r="G366" s="90"/>
      <c r="H366" s="88"/>
    </row>
    <row r="367" spans="1:8" s="91" customFormat="1" x14ac:dyDescent="0.2">
      <c r="A367" s="113"/>
      <c r="B367" s="130"/>
      <c r="C367" s="89"/>
      <c r="D367" s="88"/>
      <c r="F367" s="135"/>
      <c r="G367" s="90"/>
      <c r="H367" s="88"/>
    </row>
    <row r="368" spans="1:8" s="91" customFormat="1" x14ac:dyDescent="0.2">
      <c r="A368" s="113"/>
      <c r="B368" s="130"/>
      <c r="C368" s="89"/>
      <c r="D368" s="88"/>
      <c r="E368" s="97"/>
      <c r="F368" s="135"/>
      <c r="G368" s="90"/>
      <c r="H368" s="88"/>
    </row>
    <row r="369" spans="1:8" s="91" customFormat="1" x14ac:dyDescent="0.2">
      <c r="A369" s="113"/>
      <c r="B369" s="130"/>
      <c r="C369" s="89"/>
      <c r="D369" s="88"/>
      <c r="E369" s="97"/>
      <c r="F369" s="135"/>
      <c r="G369" s="90"/>
      <c r="H369" s="88"/>
    </row>
    <row r="370" spans="1:8" s="91" customFormat="1" x14ac:dyDescent="0.2">
      <c r="A370" s="113"/>
      <c r="B370" s="130"/>
      <c r="C370" s="89"/>
      <c r="D370" s="88"/>
      <c r="E370" s="104"/>
      <c r="F370" s="135"/>
      <c r="G370" s="90"/>
      <c r="H370" s="88"/>
    </row>
    <row r="371" spans="1:8" s="91" customFormat="1" x14ac:dyDescent="0.2">
      <c r="A371" s="120"/>
      <c r="B371" s="130"/>
      <c r="D371" s="88"/>
      <c r="F371" s="135"/>
      <c r="G371" s="90"/>
      <c r="H371" s="88"/>
    </row>
    <row r="372" spans="1:8" s="91" customFormat="1" x14ac:dyDescent="0.2">
      <c r="A372" s="113"/>
      <c r="B372" s="130"/>
      <c r="D372" s="88"/>
      <c r="E372" s="89"/>
      <c r="F372" s="135"/>
      <c r="G372" s="96"/>
      <c r="H372" s="88"/>
    </row>
    <row r="373" spans="1:8" s="91" customFormat="1" x14ac:dyDescent="0.2">
      <c r="A373" s="117"/>
      <c r="B373" s="130"/>
      <c r="D373" s="88"/>
      <c r="E373" s="89"/>
      <c r="F373" s="135"/>
      <c r="G373" s="96"/>
      <c r="H373" s="88"/>
    </row>
    <row r="374" spans="1:8" s="91" customFormat="1" x14ac:dyDescent="0.2">
      <c r="A374" s="117"/>
      <c r="B374" s="130"/>
      <c r="D374" s="88"/>
      <c r="E374" s="97"/>
      <c r="F374" s="135"/>
      <c r="G374" s="96"/>
      <c r="H374" s="88"/>
    </row>
    <row r="375" spans="1:8" s="91" customFormat="1" x14ac:dyDescent="0.2">
      <c r="A375" s="117"/>
      <c r="B375" s="130"/>
      <c r="D375" s="88"/>
      <c r="E375" s="89"/>
      <c r="F375" s="135"/>
      <c r="G375" s="96"/>
      <c r="H375" s="88"/>
    </row>
    <row r="376" spans="1:8" s="91" customFormat="1" x14ac:dyDescent="0.2">
      <c r="A376" s="117"/>
      <c r="B376" s="130"/>
      <c r="D376" s="88"/>
      <c r="E376" s="89"/>
      <c r="F376" s="135"/>
      <c r="G376" s="96"/>
      <c r="H376" s="88"/>
    </row>
    <row r="377" spans="1:8" s="91" customFormat="1" x14ac:dyDescent="0.2">
      <c r="A377" s="117"/>
      <c r="B377" s="130"/>
      <c r="D377" s="88"/>
      <c r="E377" s="89"/>
      <c r="F377" s="135"/>
      <c r="G377" s="96"/>
      <c r="H377" s="88"/>
    </row>
    <row r="378" spans="1:8" s="91" customFormat="1" x14ac:dyDescent="0.2">
      <c r="A378" s="117"/>
      <c r="B378" s="130"/>
      <c r="D378" s="88"/>
      <c r="E378" s="89"/>
      <c r="F378" s="135"/>
      <c r="G378" s="96"/>
      <c r="H378" s="88"/>
    </row>
    <row r="379" spans="1:8" s="91" customFormat="1" x14ac:dyDescent="0.2">
      <c r="A379" s="117"/>
      <c r="B379" s="130"/>
      <c r="D379" s="88"/>
      <c r="E379" s="89"/>
      <c r="F379" s="135"/>
      <c r="G379" s="96"/>
      <c r="H379" s="88"/>
    </row>
    <row r="380" spans="1:8" s="91" customFormat="1" x14ac:dyDescent="0.2">
      <c r="A380" s="113"/>
      <c r="B380" s="130"/>
      <c r="D380" s="88"/>
      <c r="E380" s="89"/>
      <c r="F380" s="135"/>
      <c r="G380" s="96"/>
      <c r="H380" s="88"/>
    </row>
    <row r="381" spans="1:8" s="91" customFormat="1" x14ac:dyDescent="0.2">
      <c r="A381" s="117"/>
      <c r="B381" s="130"/>
      <c r="D381" s="88"/>
      <c r="E381" s="89"/>
      <c r="F381" s="135"/>
      <c r="G381" s="96"/>
      <c r="H381" s="88"/>
    </row>
    <row r="382" spans="1:8" s="91" customFormat="1" x14ac:dyDescent="0.2">
      <c r="A382" s="117"/>
      <c r="B382" s="130"/>
      <c r="D382" s="88"/>
      <c r="E382" s="89"/>
      <c r="F382" s="135"/>
      <c r="G382" s="96"/>
      <c r="H382" s="88"/>
    </row>
    <row r="383" spans="1:8" s="91" customFormat="1" x14ac:dyDescent="0.2">
      <c r="A383" s="117"/>
      <c r="B383" s="130"/>
      <c r="D383" s="88"/>
      <c r="E383" s="89"/>
      <c r="F383" s="135"/>
      <c r="G383" s="96"/>
      <c r="H383" s="88"/>
    </row>
    <row r="384" spans="1:8" s="91" customFormat="1" x14ac:dyDescent="0.2">
      <c r="A384" s="117"/>
      <c r="B384" s="130"/>
      <c r="D384" s="88"/>
      <c r="E384" s="89"/>
      <c r="F384" s="135"/>
      <c r="G384" s="96"/>
      <c r="H384" s="88"/>
    </row>
    <row r="385" spans="1:8" s="91" customFormat="1" x14ac:dyDescent="0.2">
      <c r="A385" s="117"/>
      <c r="B385" s="130"/>
      <c r="D385" s="88"/>
      <c r="E385" s="89"/>
      <c r="F385" s="135"/>
      <c r="G385" s="96"/>
      <c r="H385" s="88"/>
    </row>
    <row r="386" spans="1:8" s="91" customFormat="1" x14ac:dyDescent="0.2">
      <c r="A386" s="117"/>
      <c r="B386" s="130"/>
      <c r="D386" s="88"/>
      <c r="E386" s="89"/>
      <c r="F386" s="135"/>
      <c r="G386" s="96"/>
      <c r="H386" s="88"/>
    </row>
    <row r="387" spans="1:8" s="91" customFormat="1" x14ac:dyDescent="0.2">
      <c r="A387" s="113"/>
      <c r="B387" s="130"/>
      <c r="D387" s="88"/>
      <c r="E387" s="89"/>
      <c r="F387" s="135"/>
      <c r="G387" s="96"/>
      <c r="H387" s="88"/>
    </row>
    <row r="388" spans="1:8" s="91" customFormat="1" x14ac:dyDescent="0.2">
      <c r="A388" s="117"/>
      <c r="B388" s="130"/>
      <c r="D388" s="88"/>
      <c r="E388" s="89"/>
      <c r="F388" s="135"/>
      <c r="G388" s="96"/>
      <c r="H388" s="88"/>
    </row>
    <row r="389" spans="1:8" s="91" customFormat="1" x14ac:dyDescent="0.2">
      <c r="A389" s="117"/>
      <c r="B389" s="130"/>
      <c r="D389" s="88"/>
      <c r="E389" s="89"/>
      <c r="F389" s="135"/>
      <c r="G389" s="96"/>
      <c r="H389" s="88"/>
    </row>
    <row r="390" spans="1:8" s="91" customFormat="1" x14ac:dyDescent="0.2">
      <c r="A390" s="117"/>
      <c r="B390" s="130"/>
      <c r="D390" s="88"/>
      <c r="E390" s="89"/>
      <c r="F390" s="135"/>
      <c r="G390" s="96"/>
      <c r="H390" s="88"/>
    </row>
    <row r="391" spans="1:8" s="91" customFormat="1" x14ac:dyDescent="0.2">
      <c r="A391" s="117"/>
      <c r="B391" s="130"/>
      <c r="D391" s="88"/>
      <c r="E391" s="89"/>
      <c r="F391" s="135"/>
      <c r="G391" s="96"/>
      <c r="H391" s="88"/>
    </row>
    <row r="392" spans="1:8" s="91" customFormat="1" x14ac:dyDescent="0.2">
      <c r="A392" s="117"/>
      <c r="B392" s="130"/>
      <c r="D392" s="88"/>
      <c r="E392" s="89"/>
      <c r="F392" s="135"/>
      <c r="G392" s="96"/>
      <c r="H392" s="88"/>
    </row>
    <row r="393" spans="1:8" s="91" customFormat="1" x14ac:dyDescent="0.2">
      <c r="A393" s="117"/>
      <c r="B393" s="130"/>
      <c r="D393" s="88"/>
      <c r="E393" s="89"/>
      <c r="F393" s="135"/>
      <c r="G393" s="96"/>
      <c r="H393" s="88"/>
    </row>
    <row r="394" spans="1:8" s="91" customFormat="1" x14ac:dyDescent="0.2">
      <c r="A394" s="113"/>
      <c r="B394" s="130"/>
      <c r="D394" s="88"/>
      <c r="E394" s="89"/>
      <c r="F394" s="135"/>
      <c r="G394" s="96"/>
      <c r="H394" s="88"/>
    </row>
    <row r="395" spans="1:8" s="91" customFormat="1" x14ac:dyDescent="0.2">
      <c r="A395" s="117"/>
      <c r="B395" s="130"/>
      <c r="D395" s="88"/>
      <c r="E395" s="89"/>
      <c r="F395" s="135"/>
      <c r="G395" s="96"/>
      <c r="H395" s="88"/>
    </row>
    <row r="396" spans="1:8" s="91" customFormat="1" x14ac:dyDescent="0.2">
      <c r="A396" s="122"/>
      <c r="B396" s="130"/>
      <c r="D396" s="88"/>
      <c r="E396" s="89"/>
      <c r="F396" s="135"/>
      <c r="G396" s="96"/>
      <c r="H396" s="88"/>
    </row>
    <row r="397" spans="1:8" s="91" customFormat="1" x14ac:dyDescent="0.2">
      <c r="A397" s="122"/>
      <c r="B397" s="130"/>
      <c r="D397" s="88"/>
      <c r="E397" s="89"/>
      <c r="F397" s="135"/>
      <c r="G397" s="96"/>
      <c r="H397" s="88"/>
    </row>
    <row r="398" spans="1:8" s="91" customFormat="1" x14ac:dyDescent="0.2">
      <c r="A398" s="122"/>
      <c r="B398" s="130"/>
      <c r="D398" s="88"/>
      <c r="E398" s="89"/>
      <c r="F398" s="135"/>
      <c r="G398" s="96"/>
      <c r="H398" s="88"/>
    </row>
    <row r="399" spans="1:8" s="91" customFormat="1" x14ac:dyDescent="0.2">
      <c r="A399" s="122"/>
      <c r="B399" s="130"/>
      <c r="C399" s="89"/>
      <c r="D399" s="88"/>
      <c r="E399" s="89"/>
      <c r="F399" s="135"/>
      <c r="G399" s="96"/>
      <c r="H399" s="88"/>
    </row>
    <row r="400" spans="1:8" s="91" customFormat="1" x14ac:dyDescent="0.2">
      <c r="A400" s="122"/>
      <c r="B400" s="130"/>
      <c r="D400" s="88"/>
      <c r="E400" s="89"/>
      <c r="F400" s="135"/>
      <c r="G400" s="96"/>
      <c r="H400" s="88"/>
    </row>
    <row r="401" spans="1:8" s="91" customFormat="1" x14ac:dyDescent="0.2">
      <c r="A401" s="122"/>
      <c r="B401" s="130"/>
      <c r="C401" s="104"/>
      <c r="D401" s="88"/>
      <c r="E401" s="89"/>
      <c r="F401" s="135"/>
      <c r="G401" s="96"/>
      <c r="H401" s="88"/>
    </row>
    <row r="402" spans="1:8" s="91" customFormat="1" x14ac:dyDescent="0.2">
      <c r="A402" s="117"/>
      <c r="B402" s="130"/>
      <c r="D402" s="88"/>
      <c r="E402" s="89"/>
      <c r="F402" s="135"/>
      <c r="G402" s="96"/>
      <c r="H402" s="88"/>
    </row>
    <row r="403" spans="1:8" s="91" customFormat="1" x14ac:dyDescent="0.2">
      <c r="A403" s="122"/>
      <c r="B403" s="130"/>
      <c r="D403" s="88"/>
      <c r="E403" s="89"/>
      <c r="F403" s="135"/>
      <c r="G403" s="96"/>
      <c r="H403" s="88"/>
    </row>
    <row r="404" spans="1:8" s="91" customFormat="1" x14ac:dyDescent="0.2">
      <c r="A404" s="122"/>
      <c r="B404" s="130"/>
      <c r="D404" s="88"/>
      <c r="E404" s="89"/>
      <c r="F404" s="135"/>
      <c r="G404" s="96"/>
      <c r="H404" s="88"/>
    </row>
    <row r="405" spans="1:8" s="91" customFormat="1" x14ac:dyDescent="0.2">
      <c r="A405" s="122"/>
      <c r="B405" s="130"/>
      <c r="D405" s="88"/>
      <c r="E405" s="89"/>
      <c r="F405" s="135"/>
      <c r="G405" s="96"/>
      <c r="H405" s="88"/>
    </row>
    <row r="406" spans="1:8" s="92" customFormat="1" x14ac:dyDescent="0.2">
      <c r="A406" s="122"/>
      <c r="B406" s="130"/>
      <c r="C406" s="89"/>
      <c r="D406" s="88"/>
      <c r="E406" s="89"/>
      <c r="F406" s="135"/>
      <c r="G406" s="96"/>
      <c r="H406" s="93"/>
    </row>
    <row r="407" spans="1:8" s="91" customFormat="1" x14ac:dyDescent="0.2">
      <c r="A407" s="122"/>
      <c r="B407" s="130"/>
      <c r="D407" s="88"/>
      <c r="E407" s="89"/>
      <c r="F407" s="135"/>
      <c r="G407" s="96"/>
      <c r="H407" s="88"/>
    </row>
    <row r="408" spans="1:8" s="91" customFormat="1" x14ac:dyDescent="0.2">
      <c r="A408" s="122"/>
      <c r="B408" s="130"/>
      <c r="C408" s="104"/>
      <c r="D408" s="88"/>
      <c r="E408" s="89"/>
      <c r="F408" s="135"/>
      <c r="G408" s="96"/>
      <c r="H408" s="88"/>
    </row>
    <row r="409" spans="1:8" s="91" customFormat="1" x14ac:dyDescent="0.2">
      <c r="A409" s="117"/>
      <c r="B409" s="130"/>
      <c r="D409" s="88"/>
      <c r="E409" s="89"/>
      <c r="F409" s="135"/>
      <c r="G409" s="96"/>
      <c r="H409" s="88"/>
    </row>
    <row r="410" spans="1:8" s="91" customFormat="1" x14ac:dyDescent="0.2">
      <c r="A410" s="122"/>
      <c r="B410" s="130"/>
      <c r="D410" s="88"/>
      <c r="E410" s="89"/>
      <c r="F410" s="135"/>
      <c r="G410" s="96"/>
      <c r="H410" s="88"/>
    </row>
    <row r="411" spans="1:8" s="91" customFormat="1" x14ac:dyDescent="0.2">
      <c r="A411" s="122"/>
      <c r="B411" s="130"/>
      <c r="D411" s="88"/>
      <c r="E411" s="89"/>
      <c r="F411" s="135"/>
      <c r="G411" s="96"/>
      <c r="H411" s="88"/>
    </row>
    <row r="412" spans="1:8" s="91" customFormat="1" x14ac:dyDescent="0.2">
      <c r="A412" s="117"/>
      <c r="B412" s="130"/>
      <c r="D412" s="88"/>
      <c r="E412" s="89"/>
      <c r="F412" s="135"/>
      <c r="G412" s="96"/>
      <c r="H412" s="88"/>
    </row>
    <row r="413" spans="1:8" s="91" customFormat="1" x14ac:dyDescent="0.2">
      <c r="A413" s="119"/>
      <c r="B413" s="131"/>
      <c r="C413" s="92"/>
      <c r="D413" s="93"/>
      <c r="E413" s="92"/>
      <c r="F413" s="94"/>
      <c r="G413" s="90"/>
      <c r="H413" s="88"/>
    </row>
    <row r="414" spans="1:8" s="91" customFormat="1" x14ac:dyDescent="0.2">
      <c r="A414" s="120"/>
      <c r="B414" s="130"/>
      <c r="D414" s="88"/>
      <c r="E414" s="89"/>
      <c r="F414" s="135"/>
      <c r="G414" s="96"/>
      <c r="H414" s="88"/>
    </row>
    <row r="415" spans="1:8" s="91" customFormat="1" x14ac:dyDescent="0.2">
      <c r="A415" s="113"/>
      <c r="B415" s="130"/>
      <c r="C415" s="89"/>
      <c r="D415" s="88"/>
      <c r="E415" s="89"/>
      <c r="F415" s="135"/>
      <c r="G415" s="96"/>
      <c r="H415" s="88"/>
    </row>
    <row r="416" spans="1:8" s="91" customFormat="1" x14ac:dyDescent="0.2">
      <c r="A416" s="113"/>
      <c r="B416" s="130"/>
      <c r="D416" s="88"/>
      <c r="E416" s="89"/>
      <c r="F416" s="135"/>
      <c r="G416" s="96"/>
      <c r="H416" s="88"/>
    </row>
    <row r="417" spans="1:8" s="91" customFormat="1" x14ac:dyDescent="0.2">
      <c r="A417" s="117"/>
      <c r="B417" s="130"/>
      <c r="C417" s="110"/>
      <c r="D417" s="88"/>
      <c r="E417" s="89"/>
      <c r="F417" s="135"/>
      <c r="G417" s="96"/>
      <c r="H417" s="88"/>
    </row>
    <row r="418" spans="1:8" s="91" customFormat="1" x14ac:dyDescent="0.2">
      <c r="A418" s="122"/>
      <c r="B418" s="130"/>
      <c r="C418" s="110"/>
      <c r="D418" s="88"/>
      <c r="E418" s="89"/>
      <c r="F418" s="135"/>
      <c r="G418" s="96"/>
      <c r="H418" s="88"/>
    </row>
    <row r="419" spans="1:8" s="91" customFormat="1" x14ac:dyDescent="0.2">
      <c r="A419" s="117"/>
      <c r="B419" s="130"/>
      <c r="C419" s="104"/>
      <c r="D419" s="88"/>
      <c r="E419" s="89"/>
      <c r="F419" s="135"/>
      <c r="G419" s="96"/>
      <c r="H419" s="88"/>
    </row>
    <row r="420" spans="1:8" s="91" customFormat="1" x14ac:dyDescent="0.2">
      <c r="A420" s="117"/>
      <c r="B420" s="130"/>
      <c r="C420" s="95"/>
      <c r="D420" s="88"/>
      <c r="E420" s="89"/>
      <c r="F420" s="135"/>
      <c r="G420" s="96"/>
      <c r="H420" s="88"/>
    </row>
    <row r="421" spans="1:8" s="91" customFormat="1" x14ac:dyDescent="0.2">
      <c r="A421" s="113"/>
      <c r="B421" s="130"/>
      <c r="D421" s="88"/>
      <c r="E421" s="89"/>
      <c r="F421" s="135"/>
      <c r="G421" s="96"/>
      <c r="H421" s="88"/>
    </row>
    <row r="422" spans="1:8" s="91" customFormat="1" x14ac:dyDescent="0.2">
      <c r="A422" s="117"/>
      <c r="B422" s="130"/>
      <c r="C422" s="110"/>
      <c r="D422" s="88"/>
      <c r="E422" s="89"/>
      <c r="F422" s="135"/>
      <c r="G422" s="96"/>
      <c r="H422" s="88"/>
    </row>
    <row r="423" spans="1:8" s="91" customFormat="1" x14ac:dyDescent="0.2">
      <c r="A423" s="122"/>
      <c r="B423" s="130"/>
      <c r="C423" s="110"/>
      <c r="D423" s="88"/>
      <c r="E423" s="89"/>
      <c r="F423" s="135"/>
      <c r="G423" s="96"/>
      <c r="H423" s="88"/>
    </row>
    <row r="424" spans="1:8" s="91" customFormat="1" x14ac:dyDescent="0.2">
      <c r="A424" s="117"/>
      <c r="B424" s="130"/>
      <c r="C424" s="104"/>
      <c r="D424" s="88"/>
      <c r="E424" s="89"/>
      <c r="F424" s="135"/>
      <c r="G424" s="96"/>
      <c r="H424" s="88"/>
    </row>
    <row r="425" spans="1:8" s="91" customFormat="1" x14ac:dyDescent="0.2">
      <c r="A425" s="117"/>
      <c r="B425" s="130"/>
      <c r="C425" s="95"/>
      <c r="D425" s="88"/>
      <c r="E425" s="89"/>
      <c r="F425" s="135"/>
      <c r="G425" s="96"/>
      <c r="H425" s="88"/>
    </row>
    <row r="426" spans="1:8" s="91" customFormat="1" x14ac:dyDescent="0.2">
      <c r="A426" s="113"/>
      <c r="B426" s="130"/>
      <c r="D426" s="88"/>
      <c r="E426" s="89"/>
      <c r="F426" s="135"/>
      <c r="G426" s="96"/>
      <c r="H426" s="88"/>
    </row>
    <row r="427" spans="1:8" s="91" customFormat="1" x14ac:dyDescent="0.2">
      <c r="A427" s="117"/>
      <c r="B427" s="130"/>
      <c r="C427" s="110"/>
      <c r="D427" s="88"/>
      <c r="E427" s="111"/>
      <c r="F427" s="135"/>
      <c r="G427" s="96"/>
      <c r="H427" s="88"/>
    </row>
    <row r="428" spans="1:8" s="91" customFormat="1" x14ac:dyDescent="0.2">
      <c r="A428" s="122"/>
      <c r="B428" s="130"/>
      <c r="C428" s="110"/>
      <c r="D428" s="88"/>
      <c r="E428" s="89"/>
      <c r="F428" s="135"/>
      <c r="G428" s="96"/>
      <c r="H428" s="88"/>
    </row>
    <row r="429" spans="1:8" s="91" customFormat="1" x14ac:dyDescent="0.2">
      <c r="A429" s="117"/>
      <c r="B429" s="130"/>
      <c r="C429" s="104"/>
      <c r="D429" s="88"/>
      <c r="E429" s="89"/>
      <c r="F429" s="135"/>
      <c r="G429" s="96"/>
      <c r="H429" s="88"/>
    </row>
    <row r="430" spans="1:8" s="91" customFormat="1" x14ac:dyDescent="0.2">
      <c r="A430" s="117"/>
      <c r="B430" s="130"/>
      <c r="C430" s="95"/>
      <c r="D430" s="88"/>
      <c r="E430" s="89"/>
      <c r="F430" s="135"/>
      <c r="G430" s="96"/>
      <c r="H430" s="88"/>
    </row>
    <row r="431" spans="1:8" s="91" customFormat="1" x14ac:dyDescent="0.2">
      <c r="A431" s="113"/>
      <c r="B431" s="130"/>
      <c r="D431" s="88"/>
      <c r="E431" s="89"/>
      <c r="F431" s="135"/>
      <c r="G431" s="96"/>
      <c r="H431" s="88"/>
    </row>
    <row r="432" spans="1:8" s="91" customFormat="1" x14ac:dyDescent="0.2">
      <c r="A432" s="117"/>
      <c r="B432" s="130"/>
      <c r="C432" s="110"/>
      <c r="D432" s="88"/>
      <c r="E432" s="89"/>
      <c r="F432" s="135"/>
      <c r="G432" s="96"/>
      <c r="H432" s="88"/>
    </row>
    <row r="433" spans="1:8" s="91" customFormat="1" x14ac:dyDescent="0.2">
      <c r="A433" s="122"/>
      <c r="B433" s="130"/>
      <c r="C433" s="110"/>
      <c r="D433" s="88"/>
      <c r="E433" s="89"/>
      <c r="F433" s="135"/>
      <c r="G433" s="96"/>
      <c r="H433" s="88"/>
    </row>
    <row r="434" spans="1:8" s="91" customFormat="1" x14ac:dyDescent="0.2">
      <c r="A434" s="117"/>
      <c r="B434" s="130"/>
      <c r="C434" s="104"/>
      <c r="D434" s="88"/>
      <c r="E434" s="89"/>
      <c r="F434" s="135"/>
      <c r="G434" s="96"/>
      <c r="H434" s="88"/>
    </row>
    <row r="435" spans="1:8" s="91" customFormat="1" x14ac:dyDescent="0.2">
      <c r="A435" s="117"/>
      <c r="B435" s="130"/>
      <c r="C435" s="95"/>
      <c r="D435" s="88"/>
      <c r="E435" s="89"/>
      <c r="F435" s="135"/>
      <c r="G435" s="96"/>
      <c r="H435" s="88"/>
    </row>
    <row r="436" spans="1:8" s="91" customFormat="1" x14ac:dyDescent="0.2">
      <c r="A436" s="113"/>
      <c r="B436" s="130"/>
      <c r="D436" s="88"/>
      <c r="E436" s="89"/>
      <c r="F436" s="135"/>
      <c r="G436" s="96"/>
      <c r="H436" s="88"/>
    </row>
    <row r="437" spans="1:8" s="91" customFormat="1" x14ac:dyDescent="0.2">
      <c r="A437" s="117"/>
      <c r="B437" s="130"/>
      <c r="C437" s="110"/>
      <c r="D437" s="88"/>
      <c r="E437" s="89"/>
      <c r="F437" s="135"/>
      <c r="G437" s="96"/>
      <c r="H437" s="88"/>
    </row>
    <row r="438" spans="1:8" s="91" customFormat="1" x14ac:dyDescent="0.2">
      <c r="A438" s="122"/>
      <c r="B438" s="130"/>
      <c r="C438" s="110"/>
      <c r="D438" s="88"/>
      <c r="E438" s="89"/>
      <c r="F438" s="135"/>
      <c r="G438" s="96"/>
      <c r="H438" s="88"/>
    </row>
    <row r="439" spans="1:8" s="91" customFormat="1" x14ac:dyDescent="0.2">
      <c r="A439" s="117"/>
      <c r="B439" s="130"/>
      <c r="C439" s="104"/>
      <c r="D439" s="88"/>
      <c r="E439" s="89"/>
      <c r="F439" s="135"/>
      <c r="G439" s="96"/>
      <c r="H439" s="88"/>
    </row>
    <row r="440" spans="1:8" s="91" customFormat="1" x14ac:dyDescent="0.2">
      <c r="A440" s="117"/>
      <c r="B440" s="130"/>
      <c r="C440" s="95"/>
      <c r="D440" s="88"/>
      <c r="E440" s="89"/>
      <c r="F440" s="135"/>
      <c r="G440" s="96"/>
      <c r="H440" s="88"/>
    </row>
    <row r="441" spans="1:8" s="91" customFormat="1" x14ac:dyDescent="0.2">
      <c r="A441" s="113"/>
      <c r="B441" s="130"/>
      <c r="D441" s="88"/>
      <c r="E441" s="89"/>
      <c r="F441" s="135"/>
      <c r="G441" s="96"/>
      <c r="H441" s="88"/>
    </row>
    <row r="442" spans="1:8" s="91" customFormat="1" x14ac:dyDescent="0.2">
      <c r="A442" s="117"/>
      <c r="B442" s="130"/>
      <c r="C442" s="110"/>
      <c r="D442" s="88"/>
      <c r="E442" s="89"/>
      <c r="F442" s="135"/>
      <c r="G442" s="96"/>
      <c r="H442" s="88"/>
    </row>
    <row r="443" spans="1:8" s="91" customFormat="1" x14ac:dyDescent="0.2">
      <c r="A443" s="122"/>
      <c r="B443" s="130"/>
      <c r="C443" s="110"/>
      <c r="D443" s="88"/>
      <c r="E443" s="89"/>
      <c r="F443" s="135"/>
      <c r="G443" s="96"/>
      <c r="H443" s="88"/>
    </row>
    <row r="444" spans="1:8" s="91" customFormat="1" x14ac:dyDescent="0.2">
      <c r="A444" s="117"/>
      <c r="B444" s="130"/>
      <c r="C444" s="104"/>
      <c r="D444" s="88"/>
      <c r="E444" s="89"/>
      <c r="F444" s="135"/>
      <c r="G444" s="96"/>
      <c r="H444" s="88"/>
    </row>
    <row r="445" spans="1:8" s="91" customFormat="1" x14ac:dyDescent="0.2">
      <c r="A445" s="117"/>
      <c r="B445" s="130"/>
      <c r="C445" s="95"/>
      <c r="D445" s="88"/>
      <c r="E445" s="89"/>
      <c r="F445" s="135"/>
      <c r="G445" s="96"/>
      <c r="H445" s="88"/>
    </row>
    <row r="446" spans="1:8" s="91" customFormat="1" x14ac:dyDescent="0.2">
      <c r="A446" s="113"/>
      <c r="B446" s="130"/>
      <c r="D446" s="88"/>
      <c r="E446" s="89"/>
      <c r="F446" s="135"/>
      <c r="G446" s="96"/>
      <c r="H446" s="88"/>
    </row>
    <row r="447" spans="1:8" s="91" customFormat="1" x14ac:dyDescent="0.2">
      <c r="A447" s="117"/>
      <c r="B447" s="130"/>
      <c r="C447" s="110"/>
      <c r="D447" s="88"/>
      <c r="E447" s="89"/>
      <c r="F447" s="135"/>
      <c r="G447" s="96"/>
      <c r="H447" s="88"/>
    </row>
    <row r="448" spans="1:8" s="91" customFormat="1" x14ac:dyDescent="0.2">
      <c r="A448" s="122"/>
      <c r="B448" s="130"/>
      <c r="C448" s="110"/>
      <c r="D448" s="88"/>
      <c r="E448" s="89"/>
      <c r="F448" s="135"/>
      <c r="G448" s="96"/>
      <c r="H448" s="88"/>
    </row>
    <row r="449" spans="1:8" s="91" customFormat="1" x14ac:dyDescent="0.2">
      <c r="A449" s="117"/>
      <c r="B449" s="130"/>
      <c r="C449" s="104"/>
      <c r="D449" s="88"/>
      <c r="E449" s="89"/>
      <c r="F449" s="135"/>
      <c r="G449" s="96"/>
      <c r="H449" s="88"/>
    </row>
    <row r="450" spans="1:8" s="91" customFormat="1" x14ac:dyDescent="0.2">
      <c r="A450" s="117"/>
      <c r="B450" s="130"/>
      <c r="C450" s="95"/>
      <c r="D450" s="88"/>
      <c r="E450" s="89"/>
      <c r="F450" s="135"/>
      <c r="G450" s="96"/>
      <c r="H450" s="88"/>
    </row>
    <row r="451" spans="1:8" s="91" customFormat="1" x14ac:dyDescent="0.2">
      <c r="A451" s="118"/>
      <c r="B451" s="130"/>
      <c r="D451" s="88"/>
      <c r="F451" s="135"/>
      <c r="G451" s="90"/>
      <c r="H451" s="88"/>
    </row>
    <row r="452" spans="1:8" s="91" customFormat="1" x14ac:dyDescent="0.2">
      <c r="A452" s="113"/>
      <c r="B452" s="130"/>
      <c r="D452" s="88"/>
      <c r="F452" s="135"/>
      <c r="G452" s="90"/>
      <c r="H452" s="88"/>
    </row>
    <row r="453" spans="1:8" s="91" customFormat="1" x14ac:dyDescent="0.2">
      <c r="A453" s="113"/>
      <c r="B453" s="130"/>
      <c r="D453" s="88"/>
      <c r="F453" s="135"/>
      <c r="G453" s="90"/>
      <c r="H453" s="88"/>
    </row>
    <row r="454" spans="1:8" s="91" customFormat="1" x14ac:dyDescent="0.2">
      <c r="A454" s="113"/>
      <c r="B454" s="130"/>
      <c r="D454" s="88"/>
      <c r="F454" s="135"/>
      <c r="G454" s="90"/>
      <c r="H454" s="88"/>
    </row>
    <row r="455" spans="1:8" s="91" customFormat="1" x14ac:dyDescent="0.2">
      <c r="A455" s="113"/>
      <c r="B455" s="130"/>
      <c r="D455" s="88"/>
      <c r="F455" s="135"/>
      <c r="G455" s="90"/>
      <c r="H455" s="88"/>
    </row>
    <row r="456" spans="1:8" s="91" customFormat="1" x14ac:dyDescent="0.2">
      <c r="A456" s="113"/>
      <c r="B456" s="130"/>
      <c r="D456" s="88"/>
      <c r="F456" s="135"/>
      <c r="G456" s="90"/>
      <c r="H456" s="88"/>
    </row>
    <row r="457" spans="1:8" s="91" customFormat="1" x14ac:dyDescent="0.2">
      <c r="A457" s="113"/>
      <c r="B457" s="130"/>
      <c r="D457" s="88"/>
      <c r="F457" s="135"/>
      <c r="G457" s="90"/>
      <c r="H457" s="88"/>
    </row>
    <row r="458" spans="1:8" s="91" customFormat="1" x14ac:dyDescent="0.2">
      <c r="A458" s="113"/>
      <c r="B458" s="130"/>
      <c r="D458" s="88"/>
      <c r="F458" s="135"/>
      <c r="G458" s="90"/>
      <c r="H458" s="88"/>
    </row>
    <row r="459" spans="1:8" s="91" customFormat="1" x14ac:dyDescent="0.2">
      <c r="A459" s="113"/>
      <c r="B459" s="130"/>
      <c r="D459" s="88"/>
      <c r="F459" s="135"/>
      <c r="G459" s="90"/>
      <c r="H459" s="88"/>
    </row>
    <row r="460" spans="1:8" s="91" customFormat="1" x14ac:dyDescent="0.2">
      <c r="A460" s="113"/>
      <c r="B460" s="130"/>
      <c r="D460" s="88"/>
      <c r="F460" s="135"/>
      <c r="G460" s="90"/>
      <c r="H460" s="88"/>
    </row>
    <row r="461" spans="1:8" s="91" customFormat="1" x14ac:dyDescent="0.2">
      <c r="A461" s="113"/>
      <c r="B461" s="130"/>
      <c r="D461" s="88"/>
      <c r="F461" s="135"/>
      <c r="G461" s="90"/>
      <c r="H461" s="88"/>
    </row>
    <row r="462" spans="1:8" s="91" customFormat="1" x14ac:dyDescent="0.2">
      <c r="A462" s="113"/>
      <c r="B462" s="130"/>
      <c r="D462" s="88"/>
      <c r="F462" s="135"/>
      <c r="G462" s="90"/>
      <c r="H462" s="88"/>
    </row>
    <row r="463" spans="1:8" s="91" customFormat="1" x14ac:dyDescent="0.2">
      <c r="A463" s="120"/>
      <c r="B463" s="130"/>
      <c r="D463" s="88"/>
      <c r="F463" s="135"/>
      <c r="G463" s="90"/>
      <c r="H463" s="88"/>
    </row>
    <row r="464" spans="1:8" s="91" customFormat="1" x14ac:dyDescent="0.2">
      <c r="A464" s="113"/>
      <c r="B464" s="130"/>
      <c r="D464" s="88"/>
      <c r="F464" s="135"/>
      <c r="G464" s="90"/>
      <c r="H464" s="88"/>
    </row>
    <row r="465" spans="1:8" s="91" customFormat="1" x14ac:dyDescent="0.2">
      <c r="A465" s="113"/>
      <c r="B465" s="130"/>
      <c r="D465" s="88"/>
      <c r="F465" s="135"/>
      <c r="G465" s="90"/>
      <c r="H465" s="88"/>
    </row>
    <row r="466" spans="1:8" s="91" customFormat="1" x14ac:dyDescent="0.2">
      <c r="A466" s="113"/>
      <c r="B466" s="130"/>
      <c r="D466" s="88"/>
      <c r="F466" s="135"/>
      <c r="G466" s="90"/>
      <c r="H466" s="88"/>
    </row>
    <row r="467" spans="1:8" s="91" customFormat="1" x14ac:dyDescent="0.2">
      <c r="A467" s="113"/>
      <c r="B467" s="130"/>
      <c r="D467" s="88"/>
      <c r="F467" s="135"/>
      <c r="G467" s="90"/>
      <c r="H467" s="88"/>
    </row>
    <row r="468" spans="1:8" s="91" customFormat="1" x14ac:dyDescent="0.2">
      <c r="A468" s="113"/>
      <c r="B468" s="130"/>
      <c r="D468" s="88"/>
      <c r="F468" s="135"/>
      <c r="G468" s="90"/>
      <c r="H468" s="88"/>
    </row>
    <row r="469" spans="1:8" s="91" customFormat="1" x14ac:dyDescent="0.2">
      <c r="A469" s="113"/>
      <c r="B469" s="130"/>
      <c r="D469" s="88"/>
      <c r="F469" s="135"/>
      <c r="G469" s="90"/>
      <c r="H469" s="88"/>
    </row>
    <row r="470" spans="1:8" s="91" customFormat="1" x14ac:dyDescent="0.2">
      <c r="A470" s="120"/>
      <c r="B470" s="130"/>
      <c r="D470" s="88"/>
      <c r="F470" s="135"/>
      <c r="G470" s="90"/>
      <c r="H470" s="88"/>
    </row>
    <row r="471" spans="1:8" s="91" customFormat="1" x14ac:dyDescent="0.2">
      <c r="A471" s="113"/>
      <c r="B471" s="130"/>
      <c r="D471" s="88"/>
      <c r="F471" s="135"/>
      <c r="G471" s="90"/>
      <c r="H471" s="88"/>
    </row>
    <row r="472" spans="1:8" s="91" customFormat="1" x14ac:dyDescent="0.2">
      <c r="A472" s="113"/>
      <c r="B472" s="130"/>
      <c r="D472" s="88"/>
      <c r="F472" s="135"/>
      <c r="G472" s="90"/>
      <c r="H472" s="88"/>
    </row>
    <row r="473" spans="1:8" s="92" customFormat="1" x14ac:dyDescent="0.2">
      <c r="A473" s="113"/>
      <c r="B473" s="130"/>
      <c r="C473" s="91"/>
      <c r="D473" s="88"/>
      <c r="E473" s="91"/>
      <c r="F473" s="135"/>
      <c r="G473" s="90"/>
      <c r="H473" s="93"/>
    </row>
    <row r="474" spans="1:8" s="91" customFormat="1" x14ac:dyDescent="0.2">
      <c r="A474" s="113"/>
      <c r="B474" s="130"/>
      <c r="D474" s="88"/>
      <c r="F474" s="135"/>
      <c r="G474" s="90"/>
      <c r="H474" s="88"/>
    </row>
    <row r="475" spans="1:8" s="91" customFormat="1" x14ac:dyDescent="0.2">
      <c r="A475" s="113"/>
      <c r="B475" s="130"/>
      <c r="D475" s="88"/>
      <c r="F475" s="135"/>
      <c r="G475" s="90"/>
      <c r="H475" s="88"/>
    </row>
    <row r="476" spans="1:8" s="91" customFormat="1" x14ac:dyDescent="0.2">
      <c r="A476" s="113"/>
      <c r="B476" s="130"/>
      <c r="D476" s="88"/>
      <c r="F476" s="135"/>
      <c r="G476" s="90"/>
      <c r="H476" s="88"/>
    </row>
    <row r="477" spans="1:8" s="91" customFormat="1" x14ac:dyDescent="0.2">
      <c r="A477" s="113"/>
      <c r="B477" s="130"/>
      <c r="D477" s="88"/>
      <c r="F477" s="135"/>
      <c r="G477" s="90"/>
      <c r="H477" s="88"/>
    </row>
    <row r="478" spans="1:8" s="91" customFormat="1" x14ac:dyDescent="0.2">
      <c r="A478" s="113"/>
      <c r="B478" s="130"/>
      <c r="D478" s="88"/>
      <c r="F478" s="135"/>
      <c r="G478" s="90"/>
      <c r="H478" s="88"/>
    </row>
    <row r="479" spans="1:8" s="91" customFormat="1" x14ac:dyDescent="0.2">
      <c r="A479" s="113"/>
      <c r="B479" s="130"/>
      <c r="D479" s="88"/>
      <c r="F479" s="135"/>
      <c r="G479" s="90"/>
      <c r="H479" s="88"/>
    </row>
    <row r="480" spans="1:8" s="92" customFormat="1" x14ac:dyDescent="0.2">
      <c r="A480" s="119"/>
      <c r="B480" s="131"/>
      <c r="D480" s="93"/>
      <c r="F480" s="94"/>
      <c r="G480" s="90"/>
      <c r="H480" s="93"/>
    </row>
    <row r="481" spans="1:8" s="91" customFormat="1" x14ac:dyDescent="0.2">
      <c r="A481" s="120"/>
      <c r="B481" s="130"/>
      <c r="D481" s="88"/>
      <c r="F481" s="135"/>
      <c r="G481" s="90"/>
      <c r="H481" s="88"/>
    </row>
    <row r="482" spans="1:8" s="91" customFormat="1" x14ac:dyDescent="0.2">
      <c r="A482" s="120"/>
      <c r="B482" s="130"/>
      <c r="D482" s="88"/>
      <c r="F482" s="135"/>
      <c r="G482" s="90"/>
      <c r="H482" s="88"/>
    </row>
    <row r="483" spans="1:8" s="91" customFormat="1" x14ac:dyDescent="0.2">
      <c r="A483" s="120"/>
      <c r="B483" s="130"/>
      <c r="D483" s="88"/>
      <c r="E483" s="89"/>
      <c r="F483" s="135"/>
      <c r="G483" s="90"/>
      <c r="H483" s="88"/>
    </row>
    <row r="484" spans="1:8" s="91" customFormat="1" x14ac:dyDescent="0.2">
      <c r="A484" s="120"/>
      <c r="B484" s="130"/>
      <c r="D484" s="88"/>
      <c r="E484" s="95"/>
      <c r="F484" s="135"/>
      <c r="G484" s="90"/>
      <c r="H484" s="88"/>
    </row>
    <row r="485" spans="1:8" s="91" customFormat="1" x14ac:dyDescent="0.2">
      <c r="A485" s="120"/>
      <c r="B485" s="130"/>
      <c r="D485" s="88"/>
      <c r="F485" s="135"/>
      <c r="G485" s="90"/>
      <c r="H485" s="88"/>
    </row>
    <row r="486" spans="1:8" s="91" customFormat="1" x14ac:dyDescent="0.2">
      <c r="A486" s="118"/>
      <c r="B486" s="130"/>
      <c r="D486" s="88"/>
      <c r="F486" s="135"/>
      <c r="G486" s="90"/>
      <c r="H486" s="88"/>
    </row>
    <row r="487" spans="1:8" s="91" customFormat="1" x14ac:dyDescent="0.2">
      <c r="A487" s="119"/>
      <c r="B487" s="131"/>
      <c r="C487" s="92"/>
      <c r="D487" s="93"/>
      <c r="E487" s="92"/>
      <c r="F487" s="94"/>
      <c r="G487" s="90"/>
      <c r="H487" s="88"/>
    </row>
    <row r="488" spans="1:8" s="91" customFormat="1" x14ac:dyDescent="0.2">
      <c r="A488" s="118"/>
      <c r="B488" s="130"/>
      <c r="D488" s="88"/>
      <c r="F488" s="135"/>
      <c r="G488" s="90"/>
      <c r="H488" s="88"/>
    </row>
    <row r="489" spans="1:8" s="91" customFormat="1" x14ac:dyDescent="0.2">
      <c r="A489" s="118"/>
      <c r="B489" s="130"/>
      <c r="D489" s="88"/>
      <c r="F489" s="135"/>
      <c r="G489" s="90"/>
      <c r="H489" s="88"/>
    </row>
    <row r="490" spans="1:8" s="91" customFormat="1" x14ac:dyDescent="0.2">
      <c r="A490" s="118"/>
      <c r="B490" s="130"/>
      <c r="D490" s="88"/>
      <c r="F490" s="135"/>
      <c r="G490" s="90"/>
      <c r="H490" s="88"/>
    </row>
    <row r="491" spans="1:8" s="91" customFormat="1" x14ac:dyDescent="0.2">
      <c r="A491" s="118"/>
      <c r="B491" s="130"/>
      <c r="D491" s="88"/>
      <c r="F491" s="135"/>
      <c r="G491" s="90"/>
      <c r="H491" s="88"/>
    </row>
    <row r="492" spans="1:8" s="92" customFormat="1" x14ac:dyDescent="0.2">
      <c r="A492" s="122"/>
      <c r="B492" s="130"/>
      <c r="C492" s="91"/>
      <c r="D492" s="88"/>
      <c r="E492" s="91"/>
      <c r="F492" s="135"/>
      <c r="G492" s="90"/>
      <c r="H492" s="93"/>
    </row>
    <row r="493" spans="1:8" s="91" customFormat="1" x14ac:dyDescent="0.2">
      <c r="A493" s="118"/>
      <c r="B493" s="130"/>
      <c r="D493" s="88"/>
      <c r="F493" s="135"/>
      <c r="G493" s="90"/>
      <c r="H493" s="88"/>
    </row>
    <row r="494" spans="1:8" s="91" customFormat="1" x14ac:dyDescent="0.2">
      <c r="A494" s="122"/>
      <c r="B494" s="130"/>
      <c r="D494" s="88"/>
      <c r="F494" s="135"/>
      <c r="G494" s="90"/>
      <c r="H494" s="88"/>
    </row>
    <row r="495" spans="1:8" s="91" customFormat="1" x14ac:dyDescent="0.2">
      <c r="A495" s="122"/>
      <c r="B495" s="130"/>
      <c r="D495" s="88"/>
      <c r="F495" s="135"/>
      <c r="G495" s="90"/>
      <c r="H495" s="88"/>
    </row>
    <row r="496" spans="1:8" s="91" customFormat="1" x14ac:dyDescent="0.2">
      <c r="A496" s="122"/>
      <c r="B496" s="130"/>
      <c r="D496" s="88"/>
      <c r="F496" s="135"/>
      <c r="G496" s="90"/>
      <c r="H496" s="88"/>
    </row>
    <row r="497" spans="1:8" s="91" customFormat="1" x14ac:dyDescent="0.2">
      <c r="A497" s="118"/>
      <c r="B497" s="130"/>
      <c r="D497" s="88"/>
      <c r="F497" s="135"/>
      <c r="G497" s="90"/>
      <c r="H497" s="88"/>
    </row>
    <row r="498" spans="1:8" s="91" customFormat="1" x14ac:dyDescent="0.2">
      <c r="A498" s="118"/>
      <c r="B498" s="130"/>
      <c r="D498" s="88"/>
      <c r="F498" s="135"/>
      <c r="G498" s="90"/>
      <c r="H498" s="88"/>
    </row>
    <row r="499" spans="1:8" s="91" customFormat="1" x14ac:dyDescent="0.2">
      <c r="A499" s="119"/>
      <c r="B499" s="131"/>
      <c r="C499" s="92"/>
      <c r="D499" s="93"/>
      <c r="E499" s="92"/>
      <c r="F499" s="94"/>
      <c r="G499" s="90"/>
      <c r="H499" s="88"/>
    </row>
    <row r="500" spans="1:8" s="91" customFormat="1" x14ac:dyDescent="0.2">
      <c r="A500" s="118"/>
      <c r="B500" s="130"/>
      <c r="D500" s="88"/>
      <c r="F500" s="135"/>
      <c r="G500" s="90"/>
      <c r="H500" s="88"/>
    </row>
    <row r="501" spans="1:8" s="91" customFormat="1" x14ac:dyDescent="0.2">
      <c r="A501" s="118"/>
      <c r="B501" s="130"/>
      <c r="D501" s="88"/>
      <c r="E501" s="97"/>
      <c r="F501" s="135"/>
      <c r="G501" s="90"/>
      <c r="H501" s="88"/>
    </row>
    <row r="502" spans="1:8" s="91" customFormat="1" x14ac:dyDescent="0.2">
      <c r="A502" s="118"/>
      <c r="B502" s="130"/>
      <c r="D502" s="88"/>
      <c r="E502" s="101"/>
      <c r="F502" s="135"/>
      <c r="G502" s="90"/>
      <c r="H502" s="88"/>
    </row>
    <row r="503" spans="1:8" s="91" customFormat="1" x14ac:dyDescent="0.2">
      <c r="A503" s="118"/>
      <c r="B503" s="130"/>
      <c r="D503" s="88"/>
      <c r="F503" s="135"/>
      <c r="G503" s="90"/>
      <c r="H503" s="88"/>
    </row>
    <row r="504" spans="1:8" s="91" customFormat="1" x14ac:dyDescent="0.2">
      <c r="A504" s="118"/>
      <c r="B504" s="130"/>
      <c r="D504" s="88"/>
      <c r="E504" s="112"/>
      <c r="F504" s="135"/>
      <c r="G504" s="90"/>
      <c r="H504" s="88"/>
    </row>
    <row r="505" spans="1:8" s="91" customFormat="1" x14ac:dyDescent="0.2">
      <c r="A505" s="118"/>
      <c r="B505" s="130"/>
      <c r="C505" s="104"/>
      <c r="D505" s="88"/>
      <c r="F505" s="135"/>
      <c r="G505" s="90"/>
      <c r="H505" s="88"/>
    </row>
    <row r="506" spans="1:8" s="91" customFormat="1" x14ac:dyDescent="0.2">
      <c r="A506" s="122"/>
      <c r="B506" s="130"/>
      <c r="D506" s="88"/>
      <c r="F506" s="135"/>
      <c r="G506" s="90"/>
      <c r="H506" s="88"/>
    </row>
    <row r="507" spans="1:8" s="91" customFormat="1" x14ac:dyDescent="0.2">
      <c r="A507" s="118"/>
      <c r="B507" s="130"/>
      <c r="D507" s="88"/>
      <c r="F507" s="135"/>
      <c r="G507" s="90"/>
      <c r="H507" s="88"/>
    </row>
    <row r="508" spans="1:8" s="91" customFormat="1" x14ac:dyDescent="0.2">
      <c r="A508" s="118"/>
      <c r="B508" s="130"/>
      <c r="D508" s="88"/>
      <c r="F508" s="135"/>
      <c r="G508" s="90"/>
      <c r="H508" s="88"/>
    </row>
    <row r="509" spans="1:8" s="91" customFormat="1" x14ac:dyDescent="0.2">
      <c r="A509" s="118"/>
      <c r="B509" s="130"/>
      <c r="D509" s="88"/>
      <c r="F509" s="135"/>
      <c r="G509" s="90"/>
      <c r="H509" s="88"/>
    </row>
    <row r="510" spans="1:8" s="91" customFormat="1" x14ac:dyDescent="0.2">
      <c r="A510" s="118"/>
      <c r="B510" s="130"/>
      <c r="D510" s="88"/>
      <c r="F510" s="135"/>
      <c r="G510" s="90"/>
      <c r="H510" s="88"/>
    </row>
    <row r="511" spans="1:8" s="91" customFormat="1" x14ac:dyDescent="0.2">
      <c r="A511" s="118"/>
      <c r="B511" s="130"/>
      <c r="D511" s="88"/>
      <c r="F511" s="135"/>
      <c r="G511" s="90"/>
      <c r="H511" s="88"/>
    </row>
    <row r="512" spans="1:8" x14ac:dyDescent="0.2">
      <c r="A512" s="118"/>
      <c r="B512" s="130"/>
      <c r="C512" s="91"/>
      <c r="D512" s="88"/>
      <c r="E512" s="91"/>
      <c r="F512" s="135"/>
      <c r="G512" s="90"/>
    </row>
    <row r="513" spans="1:7" x14ac:dyDescent="0.2">
      <c r="A513" s="118"/>
      <c r="B513" s="130"/>
      <c r="C513" s="91"/>
      <c r="D513" s="88"/>
      <c r="E513" s="91"/>
      <c r="F513" s="135"/>
      <c r="G513" s="90"/>
    </row>
    <row r="514" spans="1:7" x14ac:dyDescent="0.2">
      <c r="A514" s="118"/>
      <c r="B514" s="130"/>
      <c r="C514" s="91"/>
      <c r="D514" s="88"/>
      <c r="E514" s="91"/>
      <c r="F514" s="135"/>
      <c r="G514" s="90"/>
    </row>
    <row r="515" spans="1:7" x14ac:dyDescent="0.2">
      <c r="A515" s="118"/>
      <c r="B515" s="130"/>
      <c r="C515" s="91"/>
      <c r="D515" s="88"/>
      <c r="E515" s="91"/>
      <c r="F515" s="135"/>
      <c r="G515" s="90"/>
    </row>
    <row r="516" spans="1:7" x14ac:dyDescent="0.2">
      <c r="A516" s="118"/>
      <c r="B516" s="130"/>
      <c r="C516" s="91"/>
      <c r="D516" s="88"/>
      <c r="E516" s="91"/>
      <c r="F516" s="135"/>
      <c r="G516" s="90"/>
    </row>
    <row r="517" spans="1:7" x14ac:dyDescent="0.2">
      <c r="A517" s="118"/>
      <c r="B517" s="130"/>
      <c r="C517" s="91"/>
      <c r="D517" s="88"/>
      <c r="E517" s="91"/>
      <c r="F517" s="135"/>
      <c r="G517" s="90"/>
    </row>
    <row r="518" spans="1:7" x14ac:dyDescent="0.2">
      <c r="A518" s="118"/>
      <c r="B518" s="130"/>
      <c r="C518" s="91"/>
      <c r="D518" s="88"/>
      <c r="E518" s="91"/>
      <c r="F518" s="135"/>
      <c r="G518" s="90"/>
    </row>
  </sheetData>
  <customSheetViews>
    <customSheetView guid="{9BEC6399-AE85-4D88-8FBA-3674E2F30307}">
      <selection activeCell="G7" sqref="G7"/>
      <pageMargins left="0.75" right="0.75" top="1" bottom="1" header="0.5" footer="0.5"/>
      <headerFooter alignWithMargins="0"/>
    </customSheetView>
    <customSheetView guid="{0347A67A-6027-4907-965C-6EA2A8295536}" topLeftCell="A37">
      <selection activeCell="G7" sqref="G7"/>
      <pageMargins left="0.75" right="0.75" top="1" bottom="1" header="0.5" footer="0.5"/>
      <headerFooter alignWithMargins="0"/>
    </customSheetView>
    <customSheetView guid="{15CC7F3D-99AB-49C1-AC00-E04D3FE3FBC1}">
      <selection activeCell="G7" sqref="G7"/>
      <pageMargins left="0.75" right="0.75" top="1" bottom="1" header="0.5" footer="0.5"/>
      <headerFooter alignWithMargins="0"/>
    </customSheetView>
  </customSheetViews>
  <phoneticPr fontId="0" type="noConversion"/>
  <pageMargins left="0.75" right="0.75" top="1" bottom="1" header="0.5" footer="0.5"/>
  <headerFooter alignWithMargins="0"/>
  <legacy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FF00"/>
  </sheetPr>
  <dimension ref="A1:O67"/>
  <sheetViews>
    <sheetView workbookViewId="0">
      <selection activeCell="K4" sqref="K4"/>
    </sheetView>
  </sheetViews>
  <sheetFormatPr defaultRowHeight="12" x14ac:dyDescent="0.2"/>
  <cols>
    <col min="1" max="1" width="40.42578125" bestFit="1" customWidth="1"/>
    <col min="2" max="2" width="19.7109375" style="1" bestFit="1" customWidth="1"/>
    <col min="6" max="6" width="11.140625" customWidth="1"/>
    <col min="7" max="7" width="9.140625" style="140"/>
  </cols>
  <sheetData>
    <row r="1" spans="1:8" ht="23.25" x14ac:dyDescent="0.2">
      <c r="A1" s="1720" t="s">
        <v>1607</v>
      </c>
    </row>
    <row r="2" spans="1:8" ht="20.25" x14ac:dyDescent="0.2">
      <c r="A2" s="1720"/>
      <c r="C2" s="2580" t="s">
        <v>605</v>
      </c>
      <c r="D2" s="2581"/>
      <c r="E2" s="2582"/>
      <c r="F2" s="2583"/>
    </row>
    <row r="3" spans="1:8" x14ac:dyDescent="0.2">
      <c r="A3" s="1721" t="s">
        <v>1608</v>
      </c>
      <c r="B3" s="1722" t="s">
        <v>1609</v>
      </c>
      <c r="C3" s="1721" t="s">
        <v>1283</v>
      </c>
      <c r="D3" s="1721" t="s">
        <v>1282</v>
      </c>
      <c r="E3" s="1721" t="s">
        <v>601</v>
      </c>
      <c r="F3" s="1721" t="s">
        <v>1610</v>
      </c>
      <c r="G3" s="1723" t="s">
        <v>627</v>
      </c>
      <c r="H3" s="65"/>
    </row>
    <row r="4" spans="1:8" x14ac:dyDescent="0.2">
      <c r="A4" s="65" t="s">
        <v>1611</v>
      </c>
      <c r="B4" s="629" t="s">
        <v>1612</v>
      </c>
      <c r="C4">
        <v>3.5999999999999999E-3</v>
      </c>
      <c r="D4">
        <v>1.7299999999999999E-2</v>
      </c>
      <c r="E4" t="s">
        <v>1613</v>
      </c>
      <c r="F4" t="s">
        <v>1614</v>
      </c>
      <c r="G4" s="140" t="s">
        <v>1615</v>
      </c>
    </row>
    <row r="5" spans="1:8" x14ac:dyDescent="0.2">
      <c r="A5" s="65"/>
      <c r="B5" s="629" t="s">
        <v>1616</v>
      </c>
      <c r="C5">
        <v>1.4999999999999999E-2</v>
      </c>
      <c r="D5">
        <v>1.0500000000000001E-2</v>
      </c>
      <c r="E5" t="s">
        <v>1613</v>
      </c>
      <c r="F5" t="s">
        <v>1614</v>
      </c>
      <c r="G5" s="140" t="s">
        <v>1615</v>
      </c>
    </row>
    <row r="6" spans="1:8" x14ac:dyDescent="0.2">
      <c r="A6" s="65"/>
      <c r="B6" s="629" t="s">
        <v>1617</v>
      </c>
      <c r="C6">
        <v>4.2900000000000001E-2</v>
      </c>
      <c r="D6">
        <v>2.7099999999999999E-2</v>
      </c>
      <c r="E6" t="s">
        <v>1613</v>
      </c>
      <c r="F6" t="s">
        <v>1614</v>
      </c>
      <c r="G6" s="140" t="s">
        <v>1615</v>
      </c>
    </row>
    <row r="7" spans="1:8" x14ac:dyDescent="0.2">
      <c r="A7" s="65"/>
      <c r="B7" s="629" t="s">
        <v>1618</v>
      </c>
      <c r="C7">
        <v>6.4699999999999994E-2</v>
      </c>
      <c r="D7">
        <v>7.0400000000000004E-2</v>
      </c>
      <c r="E7" t="s">
        <v>1613</v>
      </c>
      <c r="F7" t="s">
        <v>1614</v>
      </c>
      <c r="G7" s="140" t="s">
        <v>1615</v>
      </c>
    </row>
    <row r="8" spans="1:8" x14ac:dyDescent="0.2">
      <c r="A8" s="65"/>
      <c r="B8" s="629" t="s">
        <v>1619</v>
      </c>
      <c r="C8">
        <v>5.04E-2</v>
      </c>
      <c r="D8">
        <v>0.13550000000000001</v>
      </c>
      <c r="E8" t="s">
        <v>1613</v>
      </c>
      <c r="F8" t="s">
        <v>1614</v>
      </c>
      <c r="G8" s="140" t="s">
        <v>1615</v>
      </c>
    </row>
    <row r="9" spans="1:8" x14ac:dyDescent="0.2">
      <c r="A9" s="65"/>
      <c r="B9" s="629" t="s">
        <v>1620</v>
      </c>
      <c r="C9">
        <v>1.9699999999999999E-2</v>
      </c>
      <c r="D9">
        <v>0.1696</v>
      </c>
      <c r="E9" t="s">
        <v>1613</v>
      </c>
      <c r="F9" t="s">
        <v>1614</v>
      </c>
      <c r="G9" s="140" t="s">
        <v>1615</v>
      </c>
    </row>
    <row r="10" spans="1:8" x14ac:dyDescent="0.2">
      <c r="A10" s="65"/>
      <c r="B10" s="629" t="s">
        <v>1621</v>
      </c>
      <c r="C10">
        <v>1.9699999999999999E-2</v>
      </c>
      <c r="D10">
        <v>0.17799999999999999</v>
      </c>
      <c r="E10" t="s">
        <v>1613</v>
      </c>
      <c r="F10" t="s">
        <v>1614</v>
      </c>
      <c r="G10" s="140" t="s">
        <v>1615</v>
      </c>
    </row>
    <row r="11" spans="1:8" x14ac:dyDescent="0.2">
      <c r="A11" s="65" t="s">
        <v>1622</v>
      </c>
      <c r="B11" s="629" t="s">
        <v>1612</v>
      </c>
      <c r="C11">
        <v>6.6E-3</v>
      </c>
      <c r="D11">
        <v>1.6299999999999999E-2</v>
      </c>
      <c r="E11" t="s">
        <v>1613</v>
      </c>
      <c r="F11" t="s">
        <v>1614</v>
      </c>
      <c r="G11" s="140" t="s">
        <v>1615</v>
      </c>
    </row>
    <row r="12" spans="1:8" x14ac:dyDescent="0.2">
      <c r="A12" s="65"/>
      <c r="B12" s="629" t="s">
        <v>1616</v>
      </c>
      <c r="C12">
        <v>1.5699999999999999E-2</v>
      </c>
      <c r="D12">
        <v>1.4800000000000001E-2</v>
      </c>
      <c r="E12" t="s">
        <v>1613</v>
      </c>
      <c r="F12" t="s">
        <v>1614</v>
      </c>
      <c r="G12" s="140" t="s">
        <v>1615</v>
      </c>
    </row>
    <row r="13" spans="1:8" x14ac:dyDescent="0.2">
      <c r="A13" s="65"/>
      <c r="B13" s="629" t="s">
        <v>1617</v>
      </c>
      <c r="C13">
        <v>8.7099999999999997E-2</v>
      </c>
      <c r="D13">
        <v>4.5199999999999997E-2</v>
      </c>
      <c r="E13" t="s">
        <v>1613</v>
      </c>
      <c r="F13" t="s">
        <v>1614</v>
      </c>
      <c r="G13" s="140" t="s">
        <v>1615</v>
      </c>
    </row>
    <row r="14" spans="1:8" x14ac:dyDescent="0.2">
      <c r="A14" s="65"/>
      <c r="B14" s="629" t="s">
        <v>1618</v>
      </c>
      <c r="C14">
        <v>0.1056</v>
      </c>
      <c r="D14">
        <v>7.7600000000000002E-2</v>
      </c>
      <c r="E14" t="s">
        <v>1613</v>
      </c>
      <c r="F14" t="s">
        <v>1614</v>
      </c>
      <c r="G14" s="140" t="s">
        <v>1615</v>
      </c>
    </row>
    <row r="15" spans="1:8" x14ac:dyDescent="0.2">
      <c r="A15" s="65"/>
      <c r="B15" s="629" t="s">
        <v>1619</v>
      </c>
      <c r="C15">
        <v>6.3899999999999998E-2</v>
      </c>
      <c r="D15">
        <v>0.15160000000000001</v>
      </c>
      <c r="E15" t="s">
        <v>1613</v>
      </c>
      <c r="F15" t="s">
        <v>1614</v>
      </c>
      <c r="G15" s="140" t="s">
        <v>1615</v>
      </c>
    </row>
    <row r="16" spans="1:8" x14ac:dyDescent="0.2">
      <c r="A16" s="65"/>
      <c r="B16" s="629" t="s">
        <v>1620</v>
      </c>
      <c r="C16">
        <v>2.18E-2</v>
      </c>
      <c r="D16">
        <v>0.1908</v>
      </c>
      <c r="E16" t="s">
        <v>1613</v>
      </c>
      <c r="F16" t="s">
        <v>1614</v>
      </c>
      <c r="G16" s="140" t="s">
        <v>1615</v>
      </c>
    </row>
    <row r="17" spans="1:7" x14ac:dyDescent="0.2">
      <c r="A17" s="65"/>
      <c r="B17" s="629" t="s">
        <v>1621</v>
      </c>
      <c r="C17">
        <v>2.1999999999999999E-2</v>
      </c>
      <c r="D17">
        <v>0.2024</v>
      </c>
      <c r="E17" t="s">
        <v>1613</v>
      </c>
      <c r="F17" t="s">
        <v>1614</v>
      </c>
      <c r="G17" s="140" t="s">
        <v>1615</v>
      </c>
    </row>
    <row r="18" spans="1:7" x14ac:dyDescent="0.2">
      <c r="A18" s="65" t="s">
        <v>1623</v>
      </c>
      <c r="B18" s="629" t="s">
        <v>1612</v>
      </c>
      <c r="C18">
        <v>1.34E-2</v>
      </c>
      <c r="D18">
        <v>3.3300000000000003E-2</v>
      </c>
      <c r="E18" t="s">
        <v>1613</v>
      </c>
      <c r="F18" t="s">
        <v>1614</v>
      </c>
      <c r="G18" s="140" t="s">
        <v>1615</v>
      </c>
    </row>
    <row r="19" spans="1:7" x14ac:dyDescent="0.2">
      <c r="A19" s="65"/>
      <c r="B19" s="629" t="s">
        <v>1616</v>
      </c>
      <c r="C19">
        <v>3.2000000000000001E-2</v>
      </c>
      <c r="D19">
        <v>3.0300000000000001E-2</v>
      </c>
      <c r="E19" t="s">
        <v>1613</v>
      </c>
      <c r="F19" t="s">
        <v>1614</v>
      </c>
      <c r="G19" s="140" t="s">
        <v>1615</v>
      </c>
    </row>
    <row r="20" spans="1:7" x14ac:dyDescent="0.2">
      <c r="A20" s="65"/>
      <c r="B20" s="629" t="s">
        <v>1617</v>
      </c>
      <c r="C20">
        <v>0.17499999999999999</v>
      </c>
      <c r="D20">
        <v>6.5500000000000003E-2</v>
      </c>
      <c r="E20" t="s">
        <v>1613</v>
      </c>
      <c r="F20" t="s">
        <v>1614</v>
      </c>
      <c r="G20" s="140" t="s">
        <v>1615</v>
      </c>
    </row>
    <row r="21" spans="1:7" x14ac:dyDescent="0.2">
      <c r="A21" s="65"/>
      <c r="B21" s="629" t="s">
        <v>1618</v>
      </c>
      <c r="C21">
        <v>0.2135</v>
      </c>
      <c r="D21">
        <v>0.26300000000000001</v>
      </c>
      <c r="E21" t="s">
        <v>1613</v>
      </c>
      <c r="F21" t="s">
        <v>1614</v>
      </c>
      <c r="G21" s="140" t="s">
        <v>1615</v>
      </c>
    </row>
    <row r="22" spans="1:7" x14ac:dyDescent="0.2">
      <c r="A22" s="65"/>
      <c r="B22" s="629" t="s">
        <v>1619</v>
      </c>
      <c r="C22">
        <v>0.13170000000000001</v>
      </c>
      <c r="D22">
        <v>0.2356</v>
      </c>
      <c r="E22" t="s">
        <v>1613</v>
      </c>
      <c r="F22" t="s">
        <v>1614</v>
      </c>
      <c r="G22" s="140" t="s">
        <v>1615</v>
      </c>
    </row>
    <row r="23" spans="1:7" x14ac:dyDescent="0.2">
      <c r="A23" s="65"/>
      <c r="B23" s="629" t="s">
        <v>1620</v>
      </c>
      <c r="C23">
        <v>4.7300000000000002E-2</v>
      </c>
      <c r="D23">
        <v>0.41810000000000003</v>
      </c>
      <c r="E23" t="s">
        <v>1613</v>
      </c>
      <c r="F23" t="s">
        <v>1614</v>
      </c>
      <c r="G23" s="140" t="s">
        <v>1615</v>
      </c>
    </row>
    <row r="24" spans="1:7" x14ac:dyDescent="0.2">
      <c r="A24" s="65"/>
      <c r="B24" s="629" t="s">
        <v>1621</v>
      </c>
      <c r="C24">
        <v>4.9700000000000001E-2</v>
      </c>
      <c r="D24">
        <v>0.46039999999999998</v>
      </c>
      <c r="E24" t="s">
        <v>1613</v>
      </c>
      <c r="F24" t="s">
        <v>1614</v>
      </c>
      <c r="G24" s="140" t="s">
        <v>1615</v>
      </c>
    </row>
    <row r="25" spans="1:7" x14ac:dyDescent="0.2">
      <c r="A25" s="65" t="s">
        <v>1624</v>
      </c>
      <c r="B25" s="629" t="s">
        <v>1625</v>
      </c>
      <c r="C25">
        <v>1E-3</v>
      </c>
      <c r="D25">
        <v>5.0000000000000001E-4</v>
      </c>
      <c r="E25" t="s">
        <v>1613</v>
      </c>
      <c r="F25" t="s">
        <v>1614</v>
      </c>
      <c r="G25" s="140" t="s">
        <v>1615</v>
      </c>
    </row>
    <row r="26" spans="1:7" x14ac:dyDescent="0.2">
      <c r="A26" s="65"/>
      <c r="B26" s="629" t="s">
        <v>1626</v>
      </c>
      <c r="C26">
        <v>1E-3</v>
      </c>
      <c r="D26">
        <v>5.0000000000000001E-4</v>
      </c>
      <c r="E26" t="s">
        <v>1613</v>
      </c>
      <c r="F26" t="s">
        <v>1614</v>
      </c>
      <c r="G26" s="140" t="s">
        <v>1615</v>
      </c>
    </row>
    <row r="27" spans="1:7" x14ac:dyDescent="0.2">
      <c r="A27" s="65"/>
      <c r="B27" s="629" t="s">
        <v>1621</v>
      </c>
      <c r="C27">
        <v>1.1999999999999999E-3</v>
      </c>
      <c r="D27">
        <v>5.9999999999999995E-4</v>
      </c>
      <c r="E27" t="s">
        <v>1613</v>
      </c>
      <c r="F27" t="s">
        <v>1614</v>
      </c>
      <c r="G27" s="140" t="s">
        <v>1615</v>
      </c>
    </row>
    <row r="28" spans="1:7" x14ac:dyDescent="0.2">
      <c r="A28" s="65" t="s">
        <v>1627</v>
      </c>
      <c r="B28" s="629" t="s">
        <v>1625</v>
      </c>
      <c r="C28">
        <v>1.5E-3</v>
      </c>
      <c r="D28">
        <v>1E-3</v>
      </c>
      <c r="E28" t="s">
        <v>1613</v>
      </c>
      <c r="F28" t="s">
        <v>1614</v>
      </c>
      <c r="G28" s="140" t="s">
        <v>1615</v>
      </c>
    </row>
    <row r="29" spans="1:7" x14ac:dyDescent="0.2">
      <c r="A29" s="65"/>
      <c r="B29" s="629" t="s">
        <v>1626</v>
      </c>
      <c r="C29">
        <v>1.4E-3</v>
      </c>
      <c r="D29">
        <v>8.9999999999999998E-4</v>
      </c>
      <c r="E29" t="s">
        <v>1613</v>
      </c>
      <c r="F29" t="s">
        <v>1614</v>
      </c>
      <c r="G29" s="140" t="s">
        <v>1615</v>
      </c>
    </row>
    <row r="30" spans="1:7" x14ac:dyDescent="0.2">
      <c r="A30" s="65"/>
      <c r="B30" s="629" t="s">
        <v>1621</v>
      </c>
      <c r="C30">
        <v>1.6999999999999999E-3</v>
      </c>
      <c r="D30">
        <v>1.1000000000000001E-3</v>
      </c>
      <c r="E30" t="s">
        <v>1613</v>
      </c>
      <c r="F30" t="s">
        <v>1614</v>
      </c>
      <c r="G30" s="140" t="s">
        <v>1615</v>
      </c>
    </row>
    <row r="31" spans="1:7" x14ac:dyDescent="0.2">
      <c r="A31" s="65" t="s">
        <v>1628</v>
      </c>
      <c r="B31" s="629" t="s">
        <v>1629</v>
      </c>
      <c r="C31">
        <v>4.7999999999999996E-3</v>
      </c>
      <c r="D31">
        <v>5.1000000000000004E-3</v>
      </c>
      <c r="E31" t="s">
        <v>1613</v>
      </c>
      <c r="F31" t="s">
        <v>1614</v>
      </c>
      <c r="G31" s="140" t="s">
        <v>1615</v>
      </c>
    </row>
    <row r="32" spans="1:7" x14ac:dyDescent="0.2">
      <c r="A32" s="65"/>
      <c r="B32" s="629" t="s">
        <v>1625</v>
      </c>
      <c r="C32">
        <v>4.7999999999999996E-3</v>
      </c>
      <c r="D32">
        <v>5.1000000000000004E-3</v>
      </c>
      <c r="E32" t="s">
        <v>1613</v>
      </c>
      <c r="F32" t="s">
        <v>1614</v>
      </c>
      <c r="G32" s="140" t="s">
        <v>1615</v>
      </c>
    </row>
    <row r="33" spans="1:7" x14ac:dyDescent="0.2">
      <c r="A33" s="65"/>
      <c r="B33" s="629" t="s">
        <v>1626</v>
      </c>
      <c r="C33">
        <v>4.7999999999999996E-3</v>
      </c>
      <c r="D33">
        <v>5.1000000000000004E-3</v>
      </c>
      <c r="E33" t="s">
        <v>1613</v>
      </c>
      <c r="F33" t="s">
        <v>1614</v>
      </c>
      <c r="G33" s="140" t="s">
        <v>1615</v>
      </c>
    </row>
    <row r="34" spans="1:7" x14ac:dyDescent="0.2">
      <c r="A34" s="65"/>
      <c r="B34" s="629" t="s">
        <v>1621</v>
      </c>
      <c r="C34">
        <v>4.7999999999999996E-3</v>
      </c>
      <c r="D34">
        <v>5.1000000000000004E-3</v>
      </c>
      <c r="E34" t="s">
        <v>1613</v>
      </c>
      <c r="F34" t="s">
        <v>1614</v>
      </c>
      <c r="G34" s="140" t="s">
        <v>1615</v>
      </c>
    </row>
    <row r="35" spans="1:7" x14ac:dyDescent="0.2">
      <c r="A35" s="65" t="s">
        <v>1630</v>
      </c>
      <c r="B35" s="629" t="s">
        <v>1620</v>
      </c>
      <c r="C35">
        <v>6.8999999999999999E-3</v>
      </c>
      <c r="D35">
        <v>6.7199999999999996E-2</v>
      </c>
      <c r="E35" t="s">
        <v>1613</v>
      </c>
      <c r="F35" t="s">
        <v>1614</v>
      </c>
      <c r="G35" s="140" t="s">
        <v>1615</v>
      </c>
    </row>
    <row r="36" spans="1:7" x14ac:dyDescent="0.2">
      <c r="A36" s="65"/>
      <c r="B36" s="629" t="s">
        <v>1621</v>
      </c>
      <c r="C36">
        <v>8.6999999999999994E-3</v>
      </c>
      <c r="D36">
        <v>8.9899999999999994E-2</v>
      </c>
      <c r="E36" t="s">
        <v>1613</v>
      </c>
      <c r="F36" t="s">
        <v>1614</v>
      </c>
      <c r="G36" s="140" t="s">
        <v>1615</v>
      </c>
    </row>
    <row r="37" spans="1:7" x14ac:dyDescent="0.2">
      <c r="A37" s="65"/>
      <c r="B37" s="629"/>
    </row>
    <row r="38" spans="1:7" x14ac:dyDescent="0.2">
      <c r="A38" s="65" t="s">
        <v>1631</v>
      </c>
      <c r="B38" s="629" t="s">
        <v>1632</v>
      </c>
      <c r="C38">
        <v>6.7000000000000004E-2</v>
      </c>
      <c r="D38">
        <v>1.7999999999999999E-2</v>
      </c>
      <c r="E38" t="s">
        <v>1613</v>
      </c>
      <c r="F38" t="s">
        <v>1633</v>
      </c>
      <c r="G38" s="140" t="s">
        <v>1634</v>
      </c>
    </row>
    <row r="39" spans="1:7" x14ac:dyDescent="0.2">
      <c r="A39" s="65"/>
      <c r="B39" s="629" t="s">
        <v>378</v>
      </c>
      <c r="C39">
        <v>0.05</v>
      </c>
      <c r="D39">
        <v>0.73699999999999999</v>
      </c>
      <c r="E39" t="s">
        <v>1613</v>
      </c>
      <c r="F39" t="s">
        <v>1633</v>
      </c>
      <c r="G39" s="140" t="s">
        <v>1634</v>
      </c>
    </row>
    <row r="40" spans="1:7" x14ac:dyDescent="0.2">
      <c r="A40" s="65"/>
      <c r="B40" s="629" t="s">
        <v>316</v>
      </c>
      <c r="C40">
        <v>6.7000000000000004E-2</v>
      </c>
      <c r="D40">
        <v>3.6999999999999998E-2</v>
      </c>
      <c r="E40" t="s">
        <v>1613</v>
      </c>
      <c r="F40" t="s">
        <v>1633</v>
      </c>
      <c r="G40" s="140" t="s">
        <v>1634</v>
      </c>
    </row>
    <row r="41" spans="1:7" x14ac:dyDescent="0.2">
      <c r="A41" s="65"/>
      <c r="B41" s="629" t="s">
        <v>1635</v>
      </c>
      <c r="C41">
        <v>6.7000000000000004E-2</v>
      </c>
      <c r="D41">
        <v>5.5E-2</v>
      </c>
      <c r="E41" t="s">
        <v>1613</v>
      </c>
      <c r="F41" t="s">
        <v>1633</v>
      </c>
      <c r="G41" s="140" t="s">
        <v>1634</v>
      </c>
    </row>
    <row r="42" spans="1:7" x14ac:dyDescent="0.2">
      <c r="A42" s="65"/>
      <c r="B42" s="629" t="s">
        <v>1636</v>
      </c>
      <c r="C42">
        <v>1E-3</v>
      </c>
      <c r="D42">
        <v>5.0000000000000001E-4</v>
      </c>
      <c r="E42" t="s">
        <v>1613</v>
      </c>
      <c r="F42" t="s">
        <v>1633</v>
      </c>
      <c r="G42" s="140" t="s">
        <v>1634</v>
      </c>
    </row>
    <row r="43" spans="1:7" x14ac:dyDescent="0.2">
      <c r="A43" s="65" t="s">
        <v>1637</v>
      </c>
      <c r="B43" s="629" t="s">
        <v>1632</v>
      </c>
      <c r="C43">
        <v>0.17499999999999999</v>
      </c>
      <c r="D43">
        <v>6.6000000000000003E-2</v>
      </c>
      <c r="E43" t="s">
        <v>1613</v>
      </c>
      <c r="F43" t="s">
        <v>1633</v>
      </c>
      <c r="G43" s="140" t="s">
        <v>1634</v>
      </c>
    </row>
    <row r="44" spans="1:7" x14ac:dyDescent="0.2">
      <c r="A44" s="65"/>
      <c r="B44" s="629" t="s">
        <v>378</v>
      </c>
      <c r="C44">
        <v>0.17499999999999999</v>
      </c>
      <c r="D44">
        <v>1.966</v>
      </c>
      <c r="E44" t="s">
        <v>1613</v>
      </c>
      <c r="F44" t="s">
        <v>1633</v>
      </c>
      <c r="G44" s="140" t="s">
        <v>1634</v>
      </c>
    </row>
    <row r="45" spans="1:7" x14ac:dyDescent="0.2">
      <c r="A45" s="65"/>
      <c r="B45" s="629" t="s">
        <v>1638</v>
      </c>
      <c r="C45">
        <v>0.17499999999999999</v>
      </c>
      <c r="D45">
        <v>1.966</v>
      </c>
      <c r="E45" t="s">
        <v>1613</v>
      </c>
      <c r="F45" t="s">
        <v>1633</v>
      </c>
      <c r="G45" s="140" t="s">
        <v>1634</v>
      </c>
    </row>
    <row r="46" spans="1:7" x14ac:dyDescent="0.2">
      <c r="A46" s="65"/>
      <c r="B46" s="629" t="s">
        <v>316</v>
      </c>
      <c r="C46">
        <v>0.17499999999999999</v>
      </c>
      <c r="D46">
        <v>6.6000000000000003E-2</v>
      </c>
      <c r="E46" t="s">
        <v>1613</v>
      </c>
      <c r="F46" t="s">
        <v>1633</v>
      </c>
      <c r="G46" s="140" t="s">
        <v>1634</v>
      </c>
    </row>
    <row r="47" spans="1:7" x14ac:dyDescent="0.2">
      <c r="A47" s="65"/>
      <c r="B47" s="629" t="s">
        <v>1635</v>
      </c>
      <c r="C47">
        <v>0.17499999999999999</v>
      </c>
      <c r="D47">
        <v>0.19700000000000001</v>
      </c>
      <c r="E47" t="s">
        <v>1613</v>
      </c>
      <c r="F47" t="s">
        <v>1633</v>
      </c>
      <c r="G47" s="140" t="s">
        <v>1634</v>
      </c>
    </row>
    <row r="48" spans="1:7" x14ac:dyDescent="0.2">
      <c r="A48" s="65"/>
      <c r="B48" s="629" t="s">
        <v>1636</v>
      </c>
      <c r="C48">
        <v>5.0000000000000001E-3</v>
      </c>
      <c r="D48">
        <v>5.0000000000000001E-3</v>
      </c>
      <c r="E48" t="s">
        <v>1613</v>
      </c>
      <c r="F48" t="s">
        <v>1633</v>
      </c>
      <c r="G48" s="140" t="s">
        <v>1634</v>
      </c>
    </row>
    <row r="49" spans="1:7" x14ac:dyDescent="0.2">
      <c r="A49" s="65" t="s">
        <v>1639</v>
      </c>
      <c r="B49" s="629" t="s">
        <v>1632</v>
      </c>
      <c r="C49">
        <v>0.17499999999999999</v>
      </c>
      <c r="D49">
        <v>6.6000000000000003E-2</v>
      </c>
      <c r="E49" t="s">
        <v>1613</v>
      </c>
      <c r="F49" t="s">
        <v>1633</v>
      </c>
      <c r="G49" s="140" t="s">
        <v>1634</v>
      </c>
    </row>
    <row r="50" spans="1:7" x14ac:dyDescent="0.2">
      <c r="A50" s="65"/>
      <c r="B50" s="629" t="s">
        <v>378</v>
      </c>
      <c r="C50">
        <v>0.17499999999999999</v>
      </c>
      <c r="D50">
        <v>1.966</v>
      </c>
      <c r="E50" t="s">
        <v>1613</v>
      </c>
      <c r="F50" t="s">
        <v>1633</v>
      </c>
      <c r="G50" s="140" t="s">
        <v>1634</v>
      </c>
    </row>
    <row r="51" spans="1:7" x14ac:dyDescent="0.2">
      <c r="A51" s="65"/>
      <c r="B51" s="629" t="s">
        <v>1635</v>
      </c>
      <c r="C51">
        <v>0.17499999999999999</v>
      </c>
      <c r="D51">
        <v>0.19700000000000001</v>
      </c>
      <c r="E51" t="s">
        <v>1613</v>
      </c>
      <c r="F51" t="s">
        <v>1633</v>
      </c>
      <c r="G51" s="140" t="s">
        <v>1634</v>
      </c>
    </row>
    <row r="52" spans="1:7" x14ac:dyDescent="0.2">
      <c r="A52" s="65"/>
      <c r="B52" s="629" t="s">
        <v>1636</v>
      </c>
      <c r="C52">
        <v>5.0000000000000001E-3</v>
      </c>
      <c r="D52">
        <v>5.0000000000000001E-3</v>
      </c>
      <c r="E52" t="s">
        <v>1613</v>
      </c>
      <c r="F52" t="s">
        <v>1633</v>
      </c>
      <c r="G52" s="140" t="s">
        <v>1634</v>
      </c>
    </row>
    <row r="53" spans="1:7" x14ac:dyDescent="0.2">
      <c r="A53" s="65"/>
      <c r="B53" s="629"/>
    </row>
    <row r="54" spans="1:7" x14ac:dyDescent="0.2">
      <c r="A54" s="65" t="s">
        <v>1640</v>
      </c>
      <c r="B54" s="629" t="s">
        <v>1641</v>
      </c>
      <c r="C54">
        <v>0.16</v>
      </c>
      <c r="D54">
        <v>0.03</v>
      </c>
      <c r="E54" t="s">
        <v>1642</v>
      </c>
      <c r="F54" t="s">
        <v>1643</v>
      </c>
      <c r="G54" s="140" t="s">
        <v>1644</v>
      </c>
    </row>
    <row r="55" spans="1:7" x14ac:dyDescent="0.2">
      <c r="A55" s="65"/>
      <c r="B55" s="629" t="s">
        <v>349</v>
      </c>
      <c r="C55">
        <v>0.08</v>
      </c>
      <c r="D55">
        <v>0.23</v>
      </c>
      <c r="E55" t="s">
        <v>1642</v>
      </c>
      <c r="F55" t="s">
        <v>1643</v>
      </c>
      <c r="G55" s="140" t="s">
        <v>1644</v>
      </c>
    </row>
    <row r="56" spans="1:7" x14ac:dyDescent="0.2">
      <c r="A56" s="65"/>
      <c r="B56" s="629" t="s">
        <v>599</v>
      </c>
      <c r="C56">
        <v>0.14000000000000001</v>
      </c>
      <c r="D56">
        <v>0.02</v>
      </c>
      <c r="E56" t="s">
        <v>1642</v>
      </c>
      <c r="F56" t="s">
        <v>1643</v>
      </c>
      <c r="G56" s="140" t="s">
        <v>1644</v>
      </c>
    </row>
    <row r="57" spans="1:7" x14ac:dyDescent="0.2">
      <c r="A57" s="65" t="s">
        <v>1645</v>
      </c>
      <c r="B57" s="629" t="s">
        <v>599</v>
      </c>
      <c r="C57">
        <v>0.08</v>
      </c>
      <c r="D57">
        <v>0.25</v>
      </c>
      <c r="E57" t="s">
        <v>1642</v>
      </c>
      <c r="F57" t="s">
        <v>1643</v>
      </c>
      <c r="G57" s="140" t="s">
        <v>1644</v>
      </c>
    </row>
    <row r="58" spans="1:7" x14ac:dyDescent="0.2">
      <c r="A58" s="65" t="s">
        <v>1646</v>
      </c>
      <c r="B58" s="629" t="s">
        <v>349</v>
      </c>
      <c r="C58">
        <v>0.08</v>
      </c>
      <c r="D58">
        <v>0.45</v>
      </c>
      <c r="E58" t="s">
        <v>1642</v>
      </c>
      <c r="F58" t="s">
        <v>1643</v>
      </c>
      <c r="G58" s="140" t="s">
        <v>1644</v>
      </c>
    </row>
    <row r="59" spans="1:7" x14ac:dyDescent="0.2">
      <c r="A59" s="65"/>
      <c r="B59" s="629" t="s">
        <v>599</v>
      </c>
      <c r="C59">
        <v>0.08</v>
      </c>
      <c r="D59">
        <v>0.45</v>
      </c>
      <c r="E59" t="s">
        <v>1642</v>
      </c>
      <c r="F59" t="s">
        <v>1643</v>
      </c>
      <c r="G59" s="140" t="s">
        <v>1644</v>
      </c>
    </row>
    <row r="60" spans="1:7" x14ac:dyDescent="0.2">
      <c r="A60" s="65" t="s">
        <v>1647</v>
      </c>
      <c r="B60" s="629" t="s">
        <v>349</v>
      </c>
      <c r="C60">
        <v>0.08</v>
      </c>
      <c r="D60">
        <v>0.18</v>
      </c>
      <c r="E60" t="s">
        <v>1642</v>
      </c>
      <c r="F60" t="s">
        <v>1643</v>
      </c>
      <c r="G60" s="140" t="s">
        <v>1644</v>
      </c>
    </row>
    <row r="61" spans="1:7" x14ac:dyDescent="0.2">
      <c r="A61" s="65"/>
      <c r="B61" s="629" t="s">
        <v>599</v>
      </c>
      <c r="C61">
        <v>0.08</v>
      </c>
      <c r="D61">
        <v>0.18</v>
      </c>
      <c r="E61" t="s">
        <v>1642</v>
      </c>
      <c r="F61" t="s">
        <v>1643</v>
      </c>
      <c r="G61" s="140" t="s">
        <v>1644</v>
      </c>
    </row>
    <row r="62" spans="1:7" x14ac:dyDescent="0.2">
      <c r="A62" s="65" t="s">
        <v>1648</v>
      </c>
      <c r="B62" s="629"/>
      <c r="C62">
        <v>0.08</v>
      </c>
      <c r="D62">
        <v>0.18</v>
      </c>
      <c r="E62" t="s">
        <v>1642</v>
      </c>
      <c r="F62" t="s">
        <v>1643</v>
      </c>
      <c r="G62" s="140" t="s">
        <v>1644</v>
      </c>
    </row>
    <row r="63" spans="1:7" x14ac:dyDescent="0.2">
      <c r="A63" s="65" t="s">
        <v>1649</v>
      </c>
      <c r="B63" s="629" t="s">
        <v>1650</v>
      </c>
      <c r="C63">
        <v>0.1</v>
      </c>
      <c r="D63">
        <v>0</v>
      </c>
      <c r="E63" t="s">
        <v>1642</v>
      </c>
      <c r="F63" t="s">
        <v>1643</v>
      </c>
      <c r="G63" s="140" t="s">
        <v>1644</v>
      </c>
    </row>
    <row r="64" spans="1:7" x14ac:dyDescent="0.2">
      <c r="A64" s="65"/>
      <c r="B64" s="629" t="s">
        <v>1651</v>
      </c>
      <c r="C64">
        <v>0.04</v>
      </c>
      <c r="D64">
        <v>2.64</v>
      </c>
      <c r="E64" t="s">
        <v>1642</v>
      </c>
      <c r="F64" t="s">
        <v>1643</v>
      </c>
      <c r="G64" s="140" t="s">
        <v>1644</v>
      </c>
    </row>
    <row r="67" spans="15:15" x14ac:dyDescent="0.2">
      <c r="O67">
        <f>O44*efgdistillate*10^-6+O44*'Emission Factors-mobile'!C31*10^-6</f>
        <v>0</v>
      </c>
    </row>
  </sheetData>
  <customSheetViews>
    <customSheetView guid="{9BEC6399-AE85-4D88-8FBA-3674E2F30307}">
      <selection activeCell="K4" sqref="K4"/>
      <pageMargins left="0.7" right="0.7" top="0.75" bottom="0.75" header="0.3" footer="0.3"/>
    </customSheetView>
    <customSheetView guid="{0347A67A-6027-4907-965C-6EA2A8295536}">
      <selection activeCell="K4" sqref="K4"/>
      <pageMargins left="0.7" right="0.7" top="0.75" bottom="0.75" header="0.3" footer="0.3"/>
    </customSheetView>
    <customSheetView guid="{15CC7F3D-99AB-49C1-AC00-E04D3FE3FBC1}">
      <selection activeCell="K4" sqref="K4"/>
      <pageMargins left="0.7" right="0.7" top="0.75" bottom="0.75" header="0.3" footer="0.3"/>
    </customSheetView>
  </customSheetViews>
  <mergeCells count="1">
    <mergeCell ref="C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AF136"/>
  <sheetViews>
    <sheetView workbookViewId="0">
      <selection activeCell="G52" sqref="G52"/>
    </sheetView>
  </sheetViews>
  <sheetFormatPr defaultRowHeight="12" x14ac:dyDescent="0.2"/>
  <cols>
    <col min="1" max="1" width="46.85546875" customWidth="1"/>
    <col min="2" max="2" width="6.5703125" style="593" customWidth="1"/>
    <col min="3" max="3" width="15.140625" customWidth="1"/>
    <col min="4" max="4" width="13" customWidth="1"/>
    <col min="5" max="5" width="11.42578125" customWidth="1"/>
    <col min="8" max="8" width="10" bestFit="1" customWidth="1"/>
    <col min="22" max="22" width="9.42578125" bestFit="1" customWidth="1"/>
  </cols>
  <sheetData>
    <row r="1" spans="1:8" s="1213" customFormat="1" ht="11.25" x14ac:dyDescent="0.2"/>
    <row r="2" spans="1:8" s="1213" customFormat="1" thickBot="1" x14ac:dyDescent="0.25">
      <c r="B2" s="1214"/>
    </row>
    <row r="3" spans="1:8" ht="35.25" thickTop="1" thickBot="1" x14ac:dyDescent="0.25">
      <c r="A3" s="1200" t="s">
        <v>1285</v>
      </c>
      <c r="B3" s="1202"/>
      <c r="C3" s="1201">
        <v>2003</v>
      </c>
      <c r="D3" s="1201">
        <v>2008</v>
      </c>
      <c r="E3" s="1353">
        <v>2010</v>
      </c>
      <c r="F3" s="1203">
        <v>2011</v>
      </c>
      <c r="G3" s="1256" t="s">
        <v>1368</v>
      </c>
      <c r="H3" s="1215" t="s">
        <v>600</v>
      </c>
    </row>
    <row r="4" spans="1:8" ht="12.75" thickTop="1" x14ac:dyDescent="0.2">
      <c r="A4" s="2534" t="s">
        <v>1286</v>
      </c>
      <c r="B4" s="2534"/>
      <c r="C4" s="2534"/>
      <c r="D4" s="2534"/>
      <c r="E4" s="1217"/>
      <c r="F4" s="1217"/>
      <c r="G4" s="1217"/>
      <c r="H4" s="1216"/>
    </row>
    <row r="5" spans="1:8" s="5" customFormat="1" x14ac:dyDescent="0.2">
      <c r="A5" s="2535" t="s">
        <v>1287</v>
      </c>
      <c r="B5" s="2535"/>
      <c r="C5" s="1236"/>
      <c r="D5" s="1236"/>
      <c r="E5" s="1236"/>
      <c r="F5" s="1236"/>
      <c r="G5" s="1236"/>
      <c r="H5" s="1218"/>
    </row>
    <row r="6" spans="1:8" s="5" customFormat="1" x14ac:dyDescent="0.2">
      <c r="A6" s="1329"/>
      <c r="B6" s="1219" t="s">
        <v>1445</v>
      </c>
      <c r="C6" s="1233">
        <v>9.1685768379433839</v>
      </c>
      <c r="D6" s="1233">
        <v>8.8678243366023093</v>
      </c>
      <c r="E6" s="1233">
        <v>8.9716982865112804</v>
      </c>
      <c r="F6" s="1233"/>
      <c r="G6" s="1239">
        <f t="shared" ref="G6:G14" si="0">D6/C6-1</f>
        <v>-3.2802528315674429E-2</v>
      </c>
      <c r="H6" s="1218"/>
    </row>
    <row r="7" spans="1:8" s="5" customFormat="1" ht="12.75" x14ac:dyDescent="0.2">
      <c r="A7" s="1329"/>
      <c r="B7" s="1219" t="s">
        <v>1430</v>
      </c>
      <c r="C7" s="1330">
        <v>5.1807098719105911</v>
      </c>
      <c r="D7" s="1330">
        <v>4.7063086039915838</v>
      </c>
      <c r="E7" s="1330">
        <v>4.6294524433212434</v>
      </c>
      <c r="F7" s="1270"/>
      <c r="G7" s="1239">
        <f t="shared" si="0"/>
        <v>-9.1570707422003017E-2</v>
      </c>
      <c r="H7" s="1218"/>
    </row>
    <row r="8" spans="1:8" s="5" customFormat="1" ht="12.75" x14ac:dyDescent="0.2">
      <c r="A8" s="1329"/>
      <c r="B8" s="1219" t="s">
        <v>1431</v>
      </c>
      <c r="C8" s="1330">
        <v>3.4422284456387295</v>
      </c>
      <c r="D8" s="1330">
        <v>3.0528842399440856</v>
      </c>
      <c r="E8" s="1330">
        <v>2.9997333656945924</v>
      </c>
      <c r="F8" s="1270"/>
      <c r="G8" s="1239">
        <f t="shared" si="0"/>
        <v>-0.1131081832142603</v>
      </c>
      <c r="H8" s="1218" t="s">
        <v>1437</v>
      </c>
    </row>
    <row r="9" spans="1:8" s="5" customFormat="1" x14ac:dyDescent="0.2">
      <c r="A9" s="1329"/>
      <c r="B9" s="1219" t="s">
        <v>1432</v>
      </c>
      <c r="C9" s="1330">
        <v>1.7384814262718615</v>
      </c>
      <c r="D9" s="1330">
        <v>1.6534243640474982</v>
      </c>
      <c r="E9" s="1330">
        <v>1.6297190776266508</v>
      </c>
      <c r="F9" s="1270"/>
      <c r="G9" s="1239">
        <f t="shared" si="0"/>
        <v>-4.8926069004238126E-2</v>
      </c>
      <c r="H9" s="1218" t="s">
        <v>1436</v>
      </c>
    </row>
    <row r="10" spans="1:8" s="5" customFormat="1" x14ac:dyDescent="0.2">
      <c r="A10" s="1329"/>
      <c r="B10" s="1219" t="s">
        <v>1428</v>
      </c>
      <c r="C10" s="1330">
        <v>13.159122888104395</v>
      </c>
      <c r="D10" s="1330">
        <v>13.017829813120631</v>
      </c>
      <c r="E10" s="1330">
        <v>13.124097794785852</v>
      </c>
      <c r="F10" s="1270"/>
      <c r="G10" s="1239">
        <f t="shared" si="0"/>
        <v>-1.0737271487257782E-2</v>
      </c>
      <c r="H10" s="1218" t="s">
        <v>1438</v>
      </c>
    </row>
    <row r="11" spans="1:8" s="5" customFormat="1" x14ac:dyDescent="0.2">
      <c r="A11" s="1329"/>
      <c r="B11" s="1219" t="s">
        <v>1332</v>
      </c>
      <c r="C11" s="1330">
        <v>2.0061055446746248</v>
      </c>
      <c r="D11" s="1330">
        <v>1.9849354419234924</v>
      </c>
      <c r="E11" s="1330">
        <v>2.000978488792641</v>
      </c>
      <c r="F11" s="1270"/>
      <c r="G11" s="1239">
        <f t="shared" si="0"/>
        <v>-1.0552835969837249E-2</v>
      </c>
      <c r="H11" s="1218"/>
    </row>
    <row r="12" spans="1:8" s="5" customFormat="1" x14ac:dyDescent="0.2">
      <c r="A12" s="1329"/>
      <c r="B12" s="1219" t="s">
        <v>1433</v>
      </c>
      <c r="C12" s="1330">
        <v>7.4355703242793743</v>
      </c>
      <c r="D12" s="1334">
        <v>6.9087886869736641</v>
      </c>
      <c r="E12" s="1330">
        <v>6.7721165672507606</v>
      </c>
      <c r="F12" s="1270"/>
      <c r="G12" s="1239">
        <f t="shared" si="0"/>
        <v>-7.0846164360198416E-2</v>
      </c>
    </row>
    <row r="13" spans="1:8" s="5" customFormat="1" x14ac:dyDescent="0.2">
      <c r="A13" s="1329"/>
      <c r="B13" s="1219" t="s">
        <v>1434</v>
      </c>
      <c r="C13" s="1350">
        <v>1.1335511479142144</v>
      </c>
      <c r="D13" s="1350">
        <v>1.0534397608818253</v>
      </c>
      <c r="E13" s="1330">
        <v>1.032517418458184</v>
      </c>
      <c r="F13" s="1270"/>
      <c r="G13" s="1239">
        <f>D13/C13-1</f>
        <v>-7.0672935385225122E-2</v>
      </c>
      <c r="H13" s="1218"/>
    </row>
    <row r="14" spans="1:8" s="5" customFormat="1" x14ac:dyDescent="0.2">
      <c r="A14" s="1329"/>
      <c r="B14" s="1219" t="s">
        <v>1289</v>
      </c>
      <c r="C14" s="1330">
        <v>15.165228432779021</v>
      </c>
      <c r="D14" s="1330">
        <v>15.002765255044123</v>
      </c>
      <c r="E14" s="1330">
        <v>15.125076283578494</v>
      </c>
      <c r="F14" s="1270"/>
      <c r="G14" s="1239">
        <f t="shared" si="0"/>
        <v>-1.0712873759536667E-2</v>
      </c>
      <c r="H14" s="1232"/>
    </row>
    <row r="15" spans="1:8" s="5" customFormat="1" x14ac:dyDescent="0.2">
      <c r="A15" s="1329"/>
      <c r="B15" s="1219" t="s">
        <v>1302</v>
      </c>
      <c r="C15" s="1330">
        <v>8.5691214721935882</v>
      </c>
      <c r="D15" s="1330">
        <v>7.9622284478554892</v>
      </c>
      <c r="E15" s="1330">
        <v>7.8046339857089455</v>
      </c>
      <c r="F15" s="1270"/>
      <c r="G15" s="1239">
        <f t="shared" ref="G15:G51" si="1">D15/C15-1</f>
        <v>-7.0823249070215644E-2</v>
      </c>
      <c r="H15" s="1220"/>
    </row>
    <row r="16" spans="1:8" s="5" customFormat="1" x14ac:dyDescent="0.2">
      <c r="A16" s="1329"/>
      <c r="B16" s="1219" t="s">
        <v>1347</v>
      </c>
      <c r="C16" s="1330"/>
      <c r="D16" s="1330"/>
      <c r="E16" s="1330"/>
      <c r="F16" s="1270"/>
      <c r="G16" s="1239" t="e">
        <f t="shared" si="1"/>
        <v>#DIV/0!</v>
      </c>
      <c r="H16" s="1364"/>
    </row>
    <row r="17" spans="1:32" s="5" customFormat="1" x14ac:dyDescent="0.2">
      <c r="A17" s="1329"/>
      <c r="B17" s="1219" t="s">
        <v>1303</v>
      </c>
      <c r="C17" s="1331">
        <v>0.60457888112821834</v>
      </c>
      <c r="D17" s="1331">
        <v>0.59107932343478031</v>
      </c>
      <c r="E17" s="1331">
        <v>0.59316714298175</v>
      </c>
      <c r="F17" s="1271"/>
      <c r="G17" s="1239">
        <f t="shared" si="1"/>
        <v>-2.2328860823332408E-2</v>
      </c>
      <c r="H17" s="1218"/>
      <c r="I17" s="1354"/>
    </row>
    <row r="18" spans="1:32" s="5" customFormat="1" x14ac:dyDescent="0.2">
      <c r="A18" s="1329"/>
      <c r="B18" s="1219" t="s">
        <v>1429</v>
      </c>
      <c r="C18" s="1331">
        <v>0.46294074233940308</v>
      </c>
      <c r="D18" s="1335">
        <v>0.44188415339728326</v>
      </c>
      <c r="E18" s="1335">
        <v>0.44295359300236881</v>
      </c>
      <c r="F18" s="1271"/>
      <c r="G18" s="1239">
        <f t="shared" si="1"/>
        <v>-4.5484415209846141E-2</v>
      </c>
      <c r="H18" s="1218"/>
    </row>
    <row r="19" spans="1:32" s="5" customFormat="1" x14ac:dyDescent="0.2">
      <c r="A19" s="1329"/>
      <c r="B19" s="1219" t="s">
        <v>1348</v>
      </c>
      <c r="C19" s="1331">
        <v>1.5336594466608289</v>
      </c>
      <c r="D19" s="1335">
        <v>1.5695480894545226</v>
      </c>
      <c r="E19" s="1335">
        <v>1.5783937863830362</v>
      </c>
      <c r="F19" s="1271"/>
      <c r="G19" s="1239">
        <f t="shared" si="1"/>
        <v>2.3400659691323655E-2</v>
      </c>
      <c r="H19" s="1218"/>
    </row>
    <row r="20" spans="1:32" s="5" customFormat="1" x14ac:dyDescent="0.2">
      <c r="A20" s="2535" t="s">
        <v>1290</v>
      </c>
      <c r="B20" s="2535"/>
      <c r="C20" s="1235"/>
      <c r="D20" s="1330"/>
      <c r="E20" s="1330"/>
      <c r="F20" s="1270"/>
      <c r="G20" s="1239"/>
      <c r="H20" s="1218"/>
    </row>
    <row r="21" spans="1:32" s="5" customFormat="1" x14ac:dyDescent="0.2">
      <c r="A21" s="1222"/>
      <c r="B21" s="1219" t="s">
        <v>1445</v>
      </c>
      <c r="C21" s="1233">
        <v>6.9550349200675186</v>
      </c>
      <c r="D21" s="1233">
        <v>7.7609732720919942</v>
      </c>
      <c r="E21" s="1233">
        <v>7.8480688594616357</v>
      </c>
      <c r="F21" s="1233"/>
      <c r="G21" s="1239">
        <f t="shared" si="1"/>
        <v>0.11587840482282608</v>
      </c>
      <c r="H21" s="1218"/>
    </row>
    <row r="22" spans="1:32" s="5" customFormat="1" x14ac:dyDescent="0.2">
      <c r="A22" s="1222"/>
      <c r="B22" s="1219" t="s">
        <v>1446</v>
      </c>
      <c r="C22" s="1227">
        <v>3.7164115294219462</v>
      </c>
      <c r="D22" s="1227">
        <v>4.0869089435199735</v>
      </c>
      <c r="E22" s="1264">
        <v>4.0257167974576733</v>
      </c>
      <c r="F22" s="1270"/>
      <c r="G22" s="1239">
        <f t="shared" si="1"/>
        <v>9.969224644926622E-2</v>
      </c>
      <c r="H22" s="1218" t="s">
        <v>1439</v>
      </c>
      <c r="V22" s="5">
        <v>2000</v>
      </c>
      <c r="W22" s="5">
        <v>2001</v>
      </c>
      <c r="X22" s="5">
        <v>2002</v>
      </c>
      <c r="Y22" s="5">
        <v>2003</v>
      </c>
      <c r="Z22" s="5">
        <v>2004</v>
      </c>
      <c r="AA22" s="5">
        <v>2005</v>
      </c>
      <c r="AB22" s="5">
        <v>2006</v>
      </c>
      <c r="AC22" s="5">
        <v>2007</v>
      </c>
      <c r="AD22" s="5">
        <v>2008</v>
      </c>
      <c r="AE22" s="67">
        <v>2009</v>
      </c>
      <c r="AF22" s="67">
        <v>2010</v>
      </c>
    </row>
    <row r="23" spans="1:32" s="5" customFormat="1" x14ac:dyDescent="0.2">
      <c r="A23" s="1222"/>
      <c r="B23" s="1219" t="s">
        <v>1447</v>
      </c>
      <c r="C23" s="1349">
        <v>3.2386233906455724</v>
      </c>
      <c r="D23" s="1330">
        <v>3.6740643285720207</v>
      </c>
      <c r="E23" s="1349">
        <v>3.8223520620039619</v>
      </c>
      <c r="F23" s="1270"/>
      <c r="G23" s="1239">
        <f t="shared" si="1"/>
        <v>0.13445247730383669</v>
      </c>
      <c r="H23" s="1218" t="s">
        <v>1491</v>
      </c>
      <c r="S23" s="5" t="s">
        <v>1284</v>
      </c>
      <c r="U23" s="795" t="s">
        <v>1492</v>
      </c>
      <c r="V23" s="1221">
        <v>1600287</v>
      </c>
      <c r="W23" s="1221">
        <v>1628332</v>
      </c>
      <c r="X23" s="1221">
        <v>1658474</v>
      </c>
      <c r="Y23" s="1221">
        <v>1672079</v>
      </c>
      <c r="Z23" s="1221">
        <v>1699890</v>
      </c>
      <c r="AA23" s="1221">
        <v>1708421</v>
      </c>
      <c r="AB23" s="1221">
        <v>1690534.3231176608</v>
      </c>
      <c r="AC23" s="1221">
        <v>1672467.3912168844</v>
      </c>
      <c r="AD23" s="1221">
        <v>1615850.1593513428</v>
      </c>
      <c r="AE23" s="1221"/>
    </row>
    <row r="24" spans="1:32" s="5" customFormat="1" ht="14.25" customHeight="1" x14ac:dyDescent="0.2">
      <c r="A24" s="1222"/>
      <c r="B24" s="1219" t="s">
        <v>1448</v>
      </c>
      <c r="C24" s="1227">
        <v>3.9299466762127366</v>
      </c>
      <c r="D24" s="1227">
        <v>4.1188834937826426</v>
      </c>
      <c r="E24" s="1264">
        <v>4.0496526294706836</v>
      </c>
      <c r="F24" s="1270"/>
      <c r="G24" s="1239">
        <f t="shared" si="1"/>
        <v>4.8076178415729309E-2</v>
      </c>
      <c r="H24" s="1252"/>
      <c r="U24" s="795" t="s">
        <v>1494</v>
      </c>
      <c r="V24" s="1221">
        <v>923059</v>
      </c>
      <c r="W24" s="1221">
        <v>943207</v>
      </c>
      <c r="X24" s="1221">
        <v>966034</v>
      </c>
      <c r="Y24" s="1221">
        <v>984094</v>
      </c>
      <c r="Z24" s="1221">
        <v>1027164</v>
      </c>
      <c r="AA24" s="1221">
        <v>1041051</v>
      </c>
      <c r="AB24" s="1221">
        <v>1082490.4322099686</v>
      </c>
      <c r="AC24" s="1221">
        <v>1112270.6179440827</v>
      </c>
      <c r="AD24" s="1221">
        <v>1108602.9173799797</v>
      </c>
    </row>
    <row r="25" spans="1:32" s="5" customFormat="1" ht="14.25" customHeight="1" x14ac:dyDescent="0.2">
      <c r="A25" s="1222"/>
      <c r="B25" s="1219" t="s">
        <v>1449</v>
      </c>
      <c r="C25" s="1330">
        <v>2.0999605760927915</v>
      </c>
      <c r="D25" s="1227">
        <v>2.1689936555495386</v>
      </c>
      <c r="E25" s="1264">
        <v>2.0772950526133771</v>
      </c>
      <c r="F25" s="1270"/>
      <c r="G25" s="1239">
        <f t="shared" si="1"/>
        <v>3.2873512123351656E-2</v>
      </c>
      <c r="H25" s="1218"/>
      <c r="I25" s="1218"/>
    </row>
    <row r="26" spans="1:32" s="5" customFormat="1" ht="14.25" customHeight="1" x14ac:dyDescent="0.2">
      <c r="A26" s="1222"/>
      <c r="B26" s="1219" t="s">
        <v>1450</v>
      </c>
      <c r="C26" s="1330">
        <v>1.8299861001199447</v>
      </c>
      <c r="D26" s="1227">
        <v>1.9498898382331042</v>
      </c>
      <c r="E26" s="1264">
        <v>1.9723575768573061</v>
      </c>
      <c r="F26" s="1270"/>
      <c r="G26" s="1239">
        <f t="shared" si="1"/>
        <v>6.5521666041780557E-2</v>
      </c>
      <c r="H26" s="1218"/>
      <c r="I26" s="1218"/>
      <c r="S26" s="5" t="s">
        <v>1493</v>
      </c>
      <c r="U26" s="795" t="s">
        <v>1492</v>
      </c>
      <c r="V26" s="1221">
        <v>73065.207999999999</v>
      </c>
      <c r="W26" s="1221">
        <v>73558.789999999994</v>
      </c>
      <c r="X26" s="1221">
        <v>75471.258000000002</v>
      </c>
      <c r="Y26" s="1221">
        <v>75454.644</v>
      </c>
      <c r="Z26" s="1221">
        <v>75401.891000000003</v>
      </c>
      <c r="AA26" s="1221">
        <v>77418</v>
      </c>
      <c r="AB26" s="1221">
        <v>75008.950126245851</v>
      </c>
      <c r="AC26" s="1221">
        <v>74377.197330050694</v>
      </c>
      <c r="AD26" s="1221">
        <v>71497.204360545104</v>
      </c>
    </row>
    <row r="27" spans="1:32" s="5" customFormat="1" x14ac:dyDescent="0.2">
      <c r="A27" s="1222"/>
      <c r="B27" s="1219" t="s">
        <v>1305</v>
      </c>
      <c r="C27" s="1330">
        <v>59.369204106171587</v>
      </c>
      <c r="D27" s="1227">
        <v>65.594925720925133</v>
      </c>
      <c r="E27" s="1264">
        <v>60.753648046274847</v>
      </c>
      <c r="F27" s="1270"/>
      <c r="G27" s="1239">
        <f t="shared" si="1"/>
        <v>0.10486449512814611</v>
      </c>
      <c r="H27" s="1218"/>
      <c r="I27" s="1254"/>
      <c r="U27" s="795" t="s">
        <v>1494</v>
      </c>
      <c r="V27" s="1221">
        <v>52938.805</v>
      </c>
      <c r="W27" s="1221">
        <v>53521.781000000003</v>
      </c>
      <c r="X27" s="1221">
        <v>55220.108</v>
      </c>
      <c r="Y27" s="1221">
        <v>60758.05</v>
      </c>
      <c r="Z27" s="1221">
        <v>63417.148000000001</v>
      </c>
      <c r="AA27" s="1221">
        <v>58869</v>
      </c>
      <c r="AB27" s="1221">
        <v>60685.248549180433</v>
      </c>
      <c r="AC27" s="1221">
        <v>61836.215707200099</v>
      </c>
      <c r="AD27" s="1221">
        <v>61198.934409653797</v>
      </c>
    </row>
    <row r="28" spans="1:32" s="5" customFormat="1" x14ac:dyDescent="0.2">
      <c r="A28" s="1222"/>
      <c r="B28" s="1219" t="s">
        <v>173</v>
      </c>
      <c r="C28" s="1330">
        <v>29.525905300000002</v>
      </c>
      <c r="D28" s="1227">
        <v>34.235738300000001</v>
      </c>
      <c r="E28" s="1261">
        <v>30.725099400000001</v>
      </c>
      <c r="F28" s="1270"/>
      <c r="G28" s="1239">
        <f t="shared" si="1"/>
        <v>0.15951527826650591</v>
      </c>
      <c r="H28" s="1218"/>
      <c r="I28" s="1254"/>
      <c r="J28" s="1254"/>
      <c r="K28" s="1254"/>
    </row>
    <row r="29" spans="1:32" s="5" customFormat="1" x14ac:dyDescent="0.2">
      <c r="A29" s="1222"/>
      <c r="B29" s="1219" t="s">
        <v>1337</v>
      </c>
      <c r="C29" s="1227">
        <v>3.8485593780879319</v>
      </c>
      <c r="D29" s="1227">
        <v>2.9096299851590146</v>
      </c>
      <c r="E29" s="1261">
        <v>2.544629079906942</v>
      </c>
      <c r="F29" s="1270"/>
      <c r="G29" s="1239">
        <f t="shared" si="1"/>
        <v>-0.24396905457007723</v>
      </c>
      <c r="H29" s="1218" t="s">
        <v>1435</v>
      </c>
      <c r="I29" s="1254"/>
      <c r="J29" s="1254"/>
      <c r="K29" s="1254"/>
      <c r="S29" s="5" t="s">
        <v>1495</v>
      </c>
      <c r="V29" s="1356">
        <f>SUM(V23:V24)/SUM(V26:V27)</f>
        <v>20.025917745968933</v>
      </c>
      <c r="W29" s="1356">
        <f t="shared" ref="W29:AD29" si="2">SUM(W23:W24)/SUM(W26:W27)</f>
        <v>20.235500830414118</v>
      </c>
      <c r="X29" s="1356">
        <f t="shared" si="2"/>
        <v>20.081724449953334</v>
      </c>
      <c r="Y29" s="1356">
        <f t="shared" si="2"/>
        <v>19.5001869649535</v>
      </c>
      <c r="Z29" s="1356">
        <f t="shared" si="2"/>
        <v>19.64466848095671</v>
      </c>
      <c r="AA29" s="1356">
        <f t="shared" si="2"/>
        <v>20.174132529148046</v>
      </c>
      <c r="AB29" s="1356">
        <f t="shared" si="2"/>
        <v>20.435838690204918</v>
      </c>
      <c r="AC29" s="1356">
        <f t="shared" si="2"/>
        <v>20.443933876023017</v>
      </c>
      <c r="AD29" s="1356">
        <f t="shared" si="2"/>
        <v>20.531517359743884</v>
      </c>
      <c r="AE29" s="1230"/>
      <c r="AF29" s="1230"/>
    </row>
    <row r="30" spans="1:32" s="5" customFormat="1" x14ac:dyDescent="0.2">
      <c r="A30" s="1222"/>
      <c r="B30" s="1219" t="s">
        <v>1338</v>
      </c>
      <c r="C30" s="1227">
        <v>25.994739428083655</v>
      </c>
      <c r="D30" s="1227">
        <v>28.449557435766117</v>
      </c>
      <c r="E30" s="1261">
        <v>27.483919566367906</v>
      </c>
      <c r="F30" s="1270"/>
      <c r="G30" s="1239">
        <f t="shared" si="1"/>
        <v>9.4435184260026839E-2</v>
      </c>
      <c r="H30" s="1245"/>
      <c r="I30" s="1254"/>
      <c r="J30" s="1254"/>
      <c r="K30" s="1254"/>
      <c r="S30" s="5" t="s">
        <v>498</v>
      </c>
      <c r="V30" s="1357">
        <f>SUM(V26:V27)/SUM(V23:V24)</f>
        <v>4.9935289492602286E-2</v>
      </c>
      <c r="W30" s="1357">
        <f t="shared" ref="W30:AD30" si="3">SUM(W26:W27)/SUM(W23:W24)</f>
        <v>4.9418099822713168E-2</v>
      </c>
      <c r="X30" s="1357">
        <f t="shared" si="3"/>
        <v>4.9796520338288172E-2</v>
      </c>
      <c r="Y30" s="1357">
        <f t="shared" si="3"/>
        <v>5.128155959720998E-2</v>
      </c>
      <c r="Z30" s="1357">
        <f t="shared" si="3"/>
        <v>5.0904396832625973E-2</v>
      </c>
      <c r="AA30" s="1357">
        <f t="shared" si="3"/>
        <v>4.9568426228745008E-2</v>
      </c>
      <c r="AB30" s="1357">
        <f t="shared" si="3"/>
        <v>4.8933641293582388E-2</v>
      </c>
      <c r="AC30" s="1357">
        <f t="shared" si="3"/>
        <v>4.891426503647698E-2</v>
      </c>
      <c r="AD30" s="1357">
        <f t="shared" si="3"/>
        <v>4.8705606238372744E-2</v>
      </c>
    </row>
    <row r="31" spans="1:32" s="5" customFormat="1" x14ac:dyDescent="0.2">
      <c r="A31" s="1222"/>
      <c r="B31" s="1219" t="s">
        <v>1306</v>
      </c>
      <c r="C31" s="1227">
        <v>54.975739840918422</v>
      </c>
      <c r="D31" s="1334">
        <v>62.285182651716724</v>
      </c>
      <c r="E31" s="1334">
        <v>60.005534346003202</v>
      </c>
      <c r="F31" s="1270"/>
      <c r="G31" s="1239">
        <f t="shared" si="1"/>
        <v>0.13295760697262837</v>
      </c>
      <c r="H31" s="1218"/>
      <c r="I31" s="1218"/>
      <c r="K31" s="67"/>
      <c r="N31" s="1253"/>
      <c r="S31" s="67" t="s">
        <v>1501</v>
      </c>
      <c r="V31" s="1356">
        <f t="shared" ref="V31:AD31" si="4">V30*galTOL</f>
        <v>0.1890250448452967</v>
      </c>
      <c r="W31" s="1356">
        <f t="shared" si="4"/>
        <v>0.18706727506889842</v>
      </c>
      <c r="X31" s="1356">
        <f t="shared" si="4"/>
        <v>0.18849974808855605</v>
      </c>
      <c r="Y31" s="1356">
        <f t="shared" si="4"/>
        <v>0.19412121569927868</v>
      </c>
      <c r="Z31" s="1356">
        <f t="shared" si="4"/>
        <v>0.19269350377022237</v>
      </c>
      <c r="AA31" s="1356">
        <f t="shared" si="4"/>
        <v>0.18763632064629135</v>
      </c>
      <c r="AB31" s="1356">
        <f t="shared" si="4"/>
        <v>0.18523340575272679</v>
      </c>
      <c r="AC31" s="1356">
        <f t="shared" si="4"/>
        <v>0.18516005886907996</v>
      </c>
      <c r="AD31" s="1356">
        <f t="shared" si="4"/>
        <v>0.18437020185473618</v>
      </c>
    </row>
    <row r="32" spans="1:32" s="5" customFormat="1" x14ac:dyDescent="0.2">
      <c r="A32" s="1222"/>
      <c r="B32" s="1219" t="s">
        <v>173</v>
      </c>
      <c r="C32" s="1227">
        <v>19.3958887</v>
      </c>
      <c r="D32" s="1227">
        <v>22.030135100000003</v>
      </c>
      <c r="E32" s="1261">
        <v>20.551414900000005</v>
      </c>
      <c r="F32" s="1270"/>
      <c r="G32" s="1239">
        <f>D32/C32-1</f>
        <v>0.13581467911805456</v>
      </c>
      <c r="H32" s="1218" t="s">
        <v>1464</v>
      </c>
      <c r="J32" s="1253"/>
      <c r="K32" s="1253"/>
      <c r="S32" s="67" t="s">
        <v>1502</v>
      </c>
      <c r="V32" s="1356">
        <f>V31*efgasoline00/10^3</f>
        <v>0.44234892166515621</v>
      </c>
      <c r="W32" s="1356">
        <f>W31*efgasoline01/10^3</f>
        <v>0.4379938968661225</v>
      </c>
      <c r="X32" s="1356">
        <f>X31*efgasoline02/10^3</f>
        <v>0.44226066639592909</v>
      </c>
      <c r="Y32" s="1356">
        <f>Y31*efgasoline03/10^3</f>
        <v>0.45497980950791456</v>
      </c>
      <c r="Z32" s="1356">
        <f>Z31*efgasoline04/10^3</f>
        <v>0.45210011287414992</v>
      </c>
      <c r="AA32" s="1356">
        <f>AA31*efgasoline05/10^3</f>
        <v>0.43978056245365271</v>
      </c>
      <c r="AB32" s="1356">
        <f>AB31*efgasoline06/10^3</f>
        <v>0.43616688196662612</v>
      </c>
      <c r="AC32" s="1356">
        <f>AC31*efgasoline07/10^3</f>
        <v>0.4384599497517182</v>
      </c>
      <c r="AD32" s="1356">
        <f>AD31*efgasoline08/10^3</f>
        <v>0.43435751138546758</v>
      </c>
    </row>
    <row r="33" spans="1:32" s="5" customFormat="1" x14ac:dyDescent="0.2">
      <c r="A33" s="1222"/>
      <c r="B33" s="1219" t="s">
        <v>1337</v>
      </c>
      <c r="C33" s="1227">
        <v>2.8249946376320381</v>
      </c>
      <c r="D33" s="1227">
        <v>3.0817255830854307</v>
      </c>
      <c r="E33" s="1261">
        <v>3.5503673049356097</v>
      </c>
      <c r="F33" s="1270"/>
      <c r="G33" s="1239">
        <f t="shared" si="1"/>
        <v>9.0878383283796049E-2</v>
      </c>
      <c r="H33" s="1218" t="s">
        <v>1440</v>
      </c>
      <c r="AD33" s="1230">
        <f>AD32</f>
        <v>0.43435751138546758</v>
      </c>
      <c r="AE33" s="1230"/>
      <c r="AF33" s="1230"/>
    </row>
    <row r="34" spans="1:32" s="5" customFormat="1" x14ac:dyDescent="0.2">
      <c r="A34" s="1222"/>
      <c r="B34" s="1219" t="s">
        <v>797</v>
      </c>
      <c r="C34" s="1227">
        <v>32.754856503286383</v>
      </c>
      <c r="D34" s="1227">
        <v>37.173321968631292</v>
      </c>
      <c r="E34" s="1261">
        <v>35.903752141067592</v>
      </c>
      <c r="F34" s="1270"/>
      <c r="G34" s="1239">
        <f t="shared" si="1"/>
        <v>0.13489497244176873</v>
      </c>
      <c r="H34" s="1218"/>
    </row>
    <row r="35" spans="1:32" s="5" customFormat="1" x14ac:dyDescent="0.2">
      <c r="A35" s="1222"/>
      <c r="B35" s="1219" t="s">
        <v>1307</v>
      </c>
      <c r="C35" s="1227">
        <v>114.34494394709</v>
      </c>
      <c r="D35" s="1227">
        <v>127.88010837264186</v>
      </c>
      <c r="E35" s="1261">
        <v>120.75918239227805</v>
      </c>
      <c r="F35" s="1270"/>
      <c r="G35" s="1239">
        <f t="shared" si="1"/>
        <v>0.11837134164685836</v>
      </c>
    </row>
    <row r="36" spans="1:32" s="5" customFormat="1" x14ac:dyDescent="0.2">
      <c r="A36" s="1222"/>
      <c r="B36" s="1219" t="s">
        <v>1308</v>
      </c>
      <c r="C36" s="1330">
        <v>33.546604586160662</v>
      </c>
      <c r="D36" s="1227">
        <v>34.812367902278545</v>
      </c>
      <c r="E36" s="1264">
        <v>31.349262470336011</v>
      </c>
      <c r="F36" s="1270"/>
      <c r="G36" s="1239">
        <f t="shared" si="1"/>
        <v>3.7731488230557497E-2</v>
      </c>
      <c r="H36" s="1218"/>
    </row>
    <row r="37" spans="1:32" s="5" customFormat="1" x14ac:dyDescent="0.2">
      <c r="A37" s="1222"/>
      <c r="B37" s="1219" t="s">
        <v>1331</v>
      </c>
      <c r="C37" s="1227">
        <v>59.342838682394515</v>
      </c>
      <c r="D37" s="1227">
        <v>61.936233909868527</v>
      </c>
      <c r="E37" s="1344">
        <v>61.880386289811923</v>
      </c>
      <c r="F37" s="1345"/>
      <c r="G37" s="1239">
        <f t="shared" si="1"/>
        <v>4.3701907172893684E-2</v>
      </c>
      <c r="H37" s="1218" t="s">
        <v>1488</v>
      </c>
    </row>
    <row r="38" spans="1:32" s="5" customFormat="1" x14ac:dyDescent="0.2">
      <c r="A38" s="1222"/>
      <c r="B38" s="1219" t="s">
        <v>1366</v>
      </c>
      <c r="C38" s="1229">
        <v>4509</v>
      </c>
      <c r="D38" s="1229">
        <v>5022</v>
      </c>
      <c r="E38" s="1262">
        <v>4512</v>
      </c>
      <c r="F38" s="1272"/>
      <c r="G38" s="1239">
        <f t="shared" si="1"/>
        <v>0.11377245508982026</v>
      </c>
      <c r="H38" s="1218" t="s">
        <v>1443</v>
      </c>
      <c r="I38" s="1354"/>
    </row>
    <row r="39" spans="1:32" s="5" customFormat="1" x14ac:dyDescent="0.2">
      <c r="A39" s="1248"/>
      <c r="B39" s="1219" t="s">
        <v>1367</v>
      </c>
      <c r="C39" s="1251">
        <v>277</v>
      </c>
      <c r="D39" s="1251">
        <v>195</v>
      </c>
      <c r="E39" s="1251">
        <v>163</v>
      </c>
      <c r="F39" s="1272"/>
      <c r="G39" s="1239">
        <f t="shared" si="1"/>
        <v>-0.29602888086642598</v>
      </c>
      <c r="H39" s="1218" t="s">
        <v>1443</v>
      </c>
    </row>
    <row r="40" spans="1:32" s="5" customFormat="1" x14ac:dyDescent="0.2">
      <c r="A40" s="1222"/>
      <c r="B40" s="1219" t="s">
        <v>1333</v>
      </c>
      <c r="C40" s="1227">
        <v>14.329270246066091</v>
      </c>
      <c r="D40" s="1227">
        <v>13.514177139569325</v>
      </c>
      <c r="E40" s="1264">
        <v>13.810393083131155</v>
      </c>
      <c r="F40" s="1270"/>
      <c r="G40" s="1239">
        <f t="shared" si="1"/>
        <v>-5.6883085635190622E-2</v>
      </c>
      <c r="H40" s="1218"/>
    </row>
    <row r="41" spans="1:32" s="5" customFormat="1" ht="12.75" x14ac:dyDescent="0.2">
      <c r="A41" s="1222"/>
      <c r="B41" s="1219" t="s">
        <v>1339</v>
      </c>
      <c r="C41" s="1227">
        <v>60.825032397460191</v>
      </c>
      <c r="D41" s="1227">
        <v>60.689448662934858</v>
      </c>
      <c r="E41" s="1261">
        <v>64.98941698667447</v>
      </c>
      <c r="F41" s="1270"/>
      <c r="G41" s="1239">
        <f t="shared" si="1"/>
        <v>-2.2290778842395387E-3</v>
      </c>
      <c r="H41" s="1218"/>
    </row>
    <row r="42" spans="1:32" s="5" customFormat="1" ht="12.75" x14ac:dyDescent="0.2">
      <c r="A42" s="1222"/>
      <c r="B42" s="1219" t="s">
        <v>1349</v>
      </c>
      <c r="C42" s="1350">
        <v>62.598304716630274</v>
      </c>
      <c r="D42" s="1227">
        <v>62.305260637199368</v>
      </c>
      <c r="E42" s="1261">
        <v>66.262964067464139</v>
      </c>
      <c r="F42" s="1270"/>
      <c r="G42" s="1239">
        <f>D42/C42-1</f>
        <v>-4.681342102752728E-3</v>
      </c>
      <c r="H42" s="1249"/>
      <c r="V42" s="1213"/>
      <c r="W42" s="1213">
        <v>2003</v>
      </c>
      <c r="X42" s="1213">
        <v>2008</v>
      </c>
      <c r="Y42" s="1213">
        <v>2010</v>
      </c>
      <c r="AB42" s="1213"/>
      <c r="AC42" s="1213"/>
      <c r="AE42" s="1213"/>
    </row>
    <row r="43" spans="1:32" s="5" customFormat="1" ht="12.75" x14ac:dyDescent="0.2">
      <c r="A43" s="1222"/>
      <c r="B43" s="1219" t="s">
        <v>1350</v>
      </c>
      <c r="C43" s="1227">
        <v>58.910046504459523</v>
      </c>
      <c r="D43" s="1227">
        <v>58.98777481502264</v>
      </c>
      <c r="E43" s="1261">
        <v>63.699992070124082</v>
      </c>
      <c r="F43" s="1270"/>
      <c r="G43" s="1239">
        <f t="shared" si="1"/>
        <v>1.3194406586869434E-3</v>
      </c>
      <c r="H43" s="1255"/>
      <c r="U43" s="5" t="s">
        <v>46</v>
      </c>
      <c r="W43" s="1362">
        <f t="shared" ref="W43:Y44" si="5">C42</f>
        <v>62.598304716630274</v>
      </c>
      <c r="X43" s="1362">
        <f t="shared" si="5"/>
        <v>62.305260637199368</v>
      </c>
      <c r="Y43" s="1362">
        <f t="shared" si="5"/>
        <v>66.262964067464139</v>
      </c>
    </row>
    <row r="44" spans="1:32" s="5" customFormat="1" x14ac:dyDescent="0.2">
      <c r="A44" s="2535" t="s">
        <v>1291</v>
      </c>
      <c r="B44" s="2535"/>
      <c r="C44" s="1227"/>
      <c r="D44" s="1227"/>
      <c r="E44" s="1227"/>
      <c r="F44" s="1270"/>
      <c r="G44" s="1239"/>
      <c r="H44" s="1255"/>
      <c r="U44" s="5" t="s">
        <v>47</v>
      </c>
      <c r="W44" s="1362">
        <f t="shared" si="5"/>
        <v>58.910046504459523</v>
      </c>
      <c r="X44" s="1362">
        <f t="shared" si="5"/>
        <v>58.98777481502264</v>
      </c>
      <c r="Y44" s="1362">
        <f t="shared" si="5"/>
        <v>63.699992070124082</v>
      </c>
    </row>
    <row r="45" spans="1:32" s="5" customFormat="1" x14ac:dyDescent="0.2">
      <c r="A45" s="1222"/>
      <c r="B45" s="1219" t="s">
        <v>1445</v>
      </c>
      <c r="C45" s="1339">
        <v>-0.24842165045107126</v>
      </c>
      <c r="D45" s="1339">
        <v>-0.21825297252307913</v>
      </c>
      <c r="E45" s="1339">
        <v>-0.19638385554999652</v>
      </c>
      <c r="F45" s="1233"/>
      <c r="G45" s="1239">
        <f t="shared" si="1"/>
        <v>-0.12144141975231793</v>
      </c>
      <c r="H45" s="1218"/>
    </row>
    <row r="46" spans="1:32" s="5" customFormat="1" x14ac:dyDescent="0.2">
      <c r="A46" s="1222"/>
      <c r="B46" s="1219" t="s">
        <v>1451</v>
      </c>
      <c r="C46" s="1340">
        <v>-0.14037080341215485</v>
      </c>
      <c r="D46" s="1340">
        <v>-0.11583064835784318</v>
      </c>
      <c r="E46" s="1340">
        <v>-0.1013352980529518</v>
      </c>
      <c r="F46" s="1270"/>
      <c r="G46" s="1239">
        <f t="shared" si="1"/>
        <v>-0.17482378427554623</v>
      </c>
      <c r="H46" s="1218"/>
    </row>
    <row r="47" spans="1:32" s="5" customFormat="1" x14ac:dyDescent="0.2">
      <c r="A47" s="1222"/>
      <c r="B47" s="1219" t="s">
        <v>1313</v>
      </c>
      <c r="C47" s="1341">
        <v>693634</v>
      </c>
      <c r="D47" s="1341">
        <v>642822.84550547274</v>
      </c>
      <c r="E47" s="1341">
        <v>590335.00000000023</v>
      </c>
      <c r="F47" s="1270"/>
      <c r="G47" s="1239">
        <f t="shared" si="1"/>
        <v>-7.3253552297792845E-2</v>
      </c>
      <c r="H47" s="1223" t="s">
        <v>1383</v>
      </c>
    </row>
    <row r="48" spans="1:32" s="5" customFormat="1" x14ac:dyDescent="0.2">
      <c r="A48" s="1222"/>
      <c r="B48" s="1219" t="s">
        <v>1293</v>
      </c>
      <c r="C48" s="1250">
        <v>0.39193831003535523</v>
      </c>
      <c r="D48" s="1250">
        <v>0.34115726403799129</v>
      </c>
      <c r="E48" s="1348">
        <v>0.30461655317109076</v>
      </c>
      <c r="F48" s="1270"/>
      <c r="G48" s="1239">
        <f t="shared" si="1"/>
        <v>-0.12956387445969031</v>
      </c>
      <c r="H48" s="1223"/>
    </row>
    <row r="49" spans="1:8" s="5" customFormat="1" x14ac:dyDescent="0.2">
      <c r="A49" s="1222"/>
      <c r="B49" s="1219" t="s">
        <v>1314</v>
      </c>
      <c r="C49" s="1229">
        <v>743213.99999999988</v>
      </c>
      <c r="D49" s="1229">
        <v>682543</v>
      </c>
      <c r="E49" s="1347">
        <v>576185</v>
      </c>
      <c r="F49" s="1270"/>
      <c r="G49" s="1239">
        <f t="shared" si="1"/>
        <v>-8.1633284625962199E-2</v>
      </c>
      <c r="H49" s="1223" t="s">
        <v>1383</v>
      </c>
    </row>
    <row r="50" spans="1:8" s="5" customFormat="1" x14ac:dyDescent="0.2">
      <c r="A50" s="1222"/>
      <c r="B50" s="1219" t="s">
        <v>1294</v>
      </c>
      <c r="C50" s="1250">
        <v>0.80225256878981088</v>
      </c>
      <c r="D50" s="1250">
        <v>0.67871909660970098</v>
      </c>
      <c r="E50" s="1348">
        <v>0.59418769890131196</v>
      </c>
      <c r="F50" s="1270"/>
      <c r="G50" s="1239">
        <f t="shared" si="1"/>
        <v>-0.15398326784600858</v>
      </c>
      <c r="H50" s="1218" t="s">
        <v>1488</v>
      </c>
    </row>
    <row r="51" spans="1:8" s="5" customFormat="1" x14ac:dyDescent="0.2">
      <c r="A51" s="1222"/>
      <c r="B51" s="1219" t="s">
        <v>1452</v>
      </c>
      <c r="C51" s="1340">
        <v>-0.17289347965203783</v>
      </c>
      <c r="D51" s="1340">
        <v>-0.1646737565052018</v>
      </c>
      <c r="E51" s="1340">
        <v>-0.16835018306586813</v>
      </c>
      <c r="F51" s="1270"/>
      <c r="G51" s="1239">
        <f t="shared" si="1"/>
        <v>-4.7542123412513182E-2</v>
      </c>
      <c r="H51" s="1218"/>
    </row>
    <row r="52" spans="1:8" s="5" customFormat="1" x14ac:dyDescent="0.2">
      <c r="A52" s="1231" t="s">
        <v>116</v>
      </c>
      <c r="B52" s="1219"/>
      <c r="C52" s="1227"/>
      <c r="D52" s="1227"/>
      <c r="E52" s="1227"/>
      <c r="F52" s="1270"/>
      <c r="G52" s="1249"/>
      <c r="H52" s="1218"/>
    </row>
    <row r="53" spans="1:8" s="5" customFormat="1" x14ac:dyDescent="0.2">
      <c r="A53" s="1231"/>
      <c r="B53" s="1237" t="s">
        <v>1445</v>
      </c>
      <c r="C53" s="1233">
        <v>15.875190107559831</v>
      </c>
      <c r="D53" s="1233">
        <v>16.410544636171224</v>
      </c>
      <c r="E53" s="1233">
        <v>16.623383290422922</v>
      </c>
      <c r="F53" s="1233"/>
      <c r="G53" s="1358">
        <f t="shared" ref="G53:H55" si="6">D53/C53-1</f>
        <v>3.3722716073582903E-2</v>
      </c>
      <c r="H53" s="1359">
        <f t="shared" si="6"/>
        <v>1.2969627697948072E-2</v>
      </c>
    </row>
    <row r="54" spans="1:8" s="5" customFormat="1" x14ac:dyDescent="0.2">
      <c r="A54" s="1231"/>
      <c r="B54" s="1237" t="s">
        <v>1370</v>
      </c>
      <c r="C54" s="1257">
        <v>1769753</v>
      </c>
      <c r="D54" s="1257">
        <v>1884242</v>
      </c>
      <c r="E54" s="1257">
        <v>1937961</v>
      </c>
      <c r="F54" s="1233"/>
      <c r="G54" s="1358">
        <f t="shared" si="6"/>
        <v>6.4692078499090089E-2</v>
      </c>
      <c r="H54" s="1359">
        <f t="shared" si="6"/>
        <v>2.8509607576945983E-2</v>
      </c>
    </row>
    <row r="55" spans="1:8" s="5" customFormat="1" x14ac:dyDescent="0.2">
      <c r="A55" s="1231"/>
      <c r="B55" s="1237" t="s">
        <v>1371</v>
      </c>
      <c r="C55" s="1257">
        <v>926409</v>
      </c>
      <c r="D55" s="1257">
        <v>1005634</v>
      </c>
      <c r="E55" s="1257">
        <v>969702</v>
      </c>
      <c r="F55" s="1233"/>
      <c r="G55" s="1358">
        <f t="shared" si="6"/>
        <v>8.5518383349039162E-2</v>
      </c>
      <c r="H55" s="1359">
        <f t="shared" si="6"/>
        <v>-3.5730693274093728E-2</v>
      </c>
    </row>
    <row r="56" spans="1:8" s="5" customFormat="1" x14ac:dyDescent="0.2">
      <c r="A56" s="1231"/>
      <c r="B56" s="1237" t="s">
        <v>1451</v>
      </c>
      <c r="C56" s="1233">
        <v>8.9702857447111732</v>
      </c>
      <c r="D56" s="1233">
        <v>8.7093614494163827</v>
      </c>
      <c r="E56" s="1233">
        <v>8.5777697747389769</v>
      </c>
      <c r="F56" s="1233"/>
      <c r="G56" s="1239">
        <f>D56/C56-1</f>
        <v>-2.9087623596453449E-2</v>
      </c>
      <c r="H56" s="1218"/>
    </row>
    <row r="57" spans="1:8" s="5" customFormat="1" x14ac:dyDescent="0.2">
      <c r="A57" s="1224" t="s">
        <v>1297</v>
      </c>
      <c r="B57" s="1225"/>
      <c r="C57" s="1226"/>
      <c r="D57" s="1226"/>
      <c r="E57" s="1325"/>
      <c r="F57" s="1325"/>
      <c r="G57" s="1360">
        <f>(D56/C56)^(1/5)-1</f>
        <v>-5.886417820251566E-3</v>
      </c>
      <c r="H57" s="1361">
        <f>(E53/D53)^(1/2)-1</f>
        <v>6.4639227006342281E-3</v>
      </c>
    </row>
    <row r="58" spans="1:8" s="5" customFormat="1" x14ac:dyDescent="0.2">
      <c r="A58" s="1222" t="s">
        <v>816</v>
      </c>
      <c r="B58" s="1219"/>
      <c r="C58" s="1227"/>
      <c r="D58" s="1227"/>
      <c r="E58" s="1227"/>
      <c r="F58" s="1270"/>
    </row>
    <row r="59" spans="1:8" s="5" customFormat="1" x14ac:dyDescent="0.2">
      <c r="A59" s="1222"/>
      <c r="B59" s="1219" t="s">
        <v>1445</v>
      </c>
      <c r="C59" s="2537">
        <v>0.87641263120056434</v>
      </c>
      <c r="D59" s="2537"/>
      <c r="F59" s="1270"/>
      <c r="H59" s="1218" t="s">
        <v>1458</v>
      </c>
    </row>
    <row r="60" spans="1:8" s="5" customFormat="1" x14ac:dyDescent="0.2">
      <c r="A60" s="1222"/>
      <c r="B60" s="1219" t="s">
        <v>1312</v>
      </c>
      <c r="C60" s="2538">
        <v>881971.28215999994</v>
      </c>
      <c r="D60" s="2538"/>
      <c r="E60" s="1227"/>
      <c r="F60" s="1270"/>
      <c r="G60" s="67"/>
      <c r="H60" s="1343"/>
    </row>
    <row r="61" spans="1:8" s="5" customFormat="1" x14ac:dyDescent="0.2">
      <c r="A61" s="1222"/>
      <c r="B61" s="1219" t="s">
        <v>1453</v>
      </c>
      <c r="C61" s="2539">
        <v>0.99369746943934256</v>
      </c>
      <c r="D61" s="2539"/>
      <c r="E61" s="1227"/>
      <c r="F61" s="1270"/>
      <c r="G61" s="67"/>
      <c r="H61" s="1343"/>
    </row>
    <row r="62" spans="1:8" s="5" customFormat="1" x14ac:dyDescent="0.2">
      <c r="A62" s="1222" t="s">
        <v>18</v>
      </c>
      <c r="B62" s="1219"/>
      <c r="C62" s="1227"/>
      <c r="D62" s="1227"/>
      <c r="E62" s="1227"/>
      <c r="F62" s="1270"/>
      <c r="G62" s="1249"/>
      <c r="H62" s="1232"/>
    </row>
    <row r="63" spans="1:8" s="5" customFormat="1" x14ac:dyDescent="0.2">
      <c r="A63" s="1222"/>
      <c r="B63" s="1219" t="s">
        <v>1444</v>
      </c>
      <c r="C63" s="2537">
        <v>0.14326025214116175</v>
      </c>
      <c r="D63" s="2537"/>
      <c r="E63" s="1227"/>
      <c r="F63" s="1270"/>
      <c r="G63" s="1249"/>
      <c r="H63" s="1232" t="s">
        <v>1454</v>
      </c>
    </row>
    <row r="64" spans="1:8" s="5" customFormat="1" x14ac:dyDescent="0.2">
      <c r="A64" s="1222"/>
      <c r="B64" s="1219" t="s">
        <v>1309</v>
      </c>
      <c r="C64" s="2540">
        <v>719369.24613999994</v>
      </c>
      <c r="D64" s="2540"/>
      <c r="E64" s="1227"/>
      <c r="F64" s="1270"/>
      <c r="G64" s="1249"/>
      <c r="H64" s="1232"/>
    </row>
    <row r="65" spans="1:25" s="5" customFormat="1" x14ac:dyDescent="0.2">
      <c r="A65" s="1222"/>
      <c r="B65" s="1219" t="s">
        <v>1456</v>
      </c>
      <c r="C65" s="2541">
        <v>0.19914703458602009</v>
      </c>
      <c r="D65" s="2541"/>
      <c r="E65" s="1227"/>
      <c r="F65" s="1270"/>
      <c r="G65" s="1249"/>
      <c r="H65" s="1232"/>
    </row>
    <row r="66" spans="1:25" s="5" customFormat="1" x14ac:dyDescent="0.2">
      <c r="A66" s="1222" t="s">
        <v>1145</v>
      </c>
      <c r="B66" s="1219"/>
      <c r="C66" s="1227"/>
      <c r="D66" s="1227"/>
      <c r="E66" s="1227"/>
      <c r="F66" s="1270"/>
      <c r="G66" s="1249"/>
      <c r="H66" s="1232"/>
    </row>
    <row r="67" spans="1:25" s="5" customFormat="1" x14ac:dyDescent="0.2">
      <c r="A67" s="1222"/>
      <c r="B67" s="1219" t="s">
        <v>1444</v>
      </c>
      <c r="C67" s="2537">
        <v>8.7434799387774279E-2</v>
      </c>
      <c r="D67" s="2537"/>
      <c r="E67" s="1227"/>
      <c r="F67" s="1270"/>
      <c r="G67" s="1249"/>
      <c r="H67" s="1232" t="e">
        <f>0.4*(1-#REF!)</f>
        <v>#REF!</v>
      </c>
    </row>
    <row r="68" spans="1:25" s="5" customFormat="1" x14ac:dyDescent="0.2">
      <c r="A68" s="1222"/>
      <c r="B68" s="1219" t="s">
        <v>1310</v>
      </c>
      <c r="C68" s="2540">
        <v>240917.07105999999</v>
      </c>
      <c r="D68" s="2540"/>
      <c r="E68" s="1227"/>
      <c r="F68" s="1270"/>
      <c r="G68" s="1249"/>
      <c r="H68" s="1232"/>
      <c r="W68" s="5">
        <v>2003</v>
      </c>
      <c r="X68" s="5">
        <v>2008</v>
      </c>
      <c r="Y68" s="5">
        <v>2010</v>
      </c>
    </row>
    <row r="69" spans="1:25" s="5" customFormat="1" x14ac:dyDescent="0.2">
      <c r="A69" s="1222"/>
      <c r="B69" s="1219" t="s">
        <v>1455</v>
      </c>
      <c r="C69" s="2541">
        <v>0.36292488117622346</v>
      </c>
      <c r="D69" s="2541"/>
      <c r="E69" s="1227"/>
      <c r="F69" s="1270"/>
      <c r="G69" s="1249"/>
      <c r="H69" s="1232"/>
      <c r="W69" s="1363">
        <f>C56</f>
        <v>8.9702857447111732</v>
      </c>
      <c r="X69" s="1363">
        <f>D56</f>
        <v>8.7093614494163827</v>
      </c>
      <c r="Y69" s="1363">
        <f>E56</f>
        <v>8.5777697747389769</v>
      </c>
    </row>
    <row r="70" spans="1:25" s="5" customFormat="1" x14ac:dyDescent="0.2">
      <c r="A70" s="1222" t="s">
        <v>1298</v>
      </c>
      <c r="E70" s="1227"/>
      <c r="F70" s="1270"/>
      <c r="G70" s="1249"/>
    </row>
    <row r="71" spans="1:25" s="5" customFormat="1" x14ac:dyDescent="0.2">
      <c r="A71" s="1333"/>
      <c r="B71" s="1219" t="s">
        <v>1445</v>
      </c>
      <c r="C71" s="1228">
        <v>1.5149795893257656</v>
      </c>
      <c r="D71" s="1228">
        <v>2.6771505867711394</v>
      </c>
      <c r="E71" s="1334"/>
      <c r="F71" s="1334"/>
      <c r="G71" s="1334"/>
      <c r="H71" s="1232" t="s">
        <v>1459</v>
      </c>
    </row>
    <row r="72" spans="1:25" s="5" customFormat="1" x14ac:dyDescent="0.2">
      <c r="A72" s="1222"/>
      <c r="B72" s="1219" t="s">
        <v>1334</v>
      </c>
      <c r="C72" s="1228"/>
      <c r="D72" s="1342">
        <v>29287415157.547657</v>
      </c>
      <c r="E72" s="1227"/>
      <c r="F72" s="1270"/>
      <c r="H72" s="1343" t="s">
        <v>1457</v>
      </c>
    </row>
    <row r="73" spans="1:25" s="5" customFormat="1" x14ac:dyDescent="0.2">
      <c r="A73" s="1222" t="s">
        <v>1298</v>
      </c>
      <c r="B73" s="1219" t="s">
        <v>1345</v>
      </c>
      <c r="C73" s="1228"/>
      <c r="D73" s="1338">
        <v>9.1409589148437054E-2</v>
      </c>
      <c r="E73" s="1227"/>
      <c r="F73" s="1270"/>
      <c r="G73" s="1249"/>
      <c r="H73" s="1232"/>
    </row>
    <row r="74" spans="1:25" s="5" customFormat="1" x14ac:dyDescent="0.2">
      <c r="A74" s="1222" t="s">
        <v>933</v>
      </c>
      <c r="B74" s="1219" t="s">
        <v>1445</v>
      </c>
      <c r="C74" s="1227">
        <v>0.13705547710096153</v>
      </c>
      <c r="D74" s="1332">
        <v>0.15102286365156642</v>
      </c>
      <c r="E74" s="1227"/>
      <c r="F74" s="1270"/>
      <c r="G74" s="1249"/>
      <c r="H74" s="1232"/>
    </row>
    <row r="75" spans="1:25" s="5" customFormat="1" x14ac:dyDescent="0.2">
      <c r="A75" s="1222"/>
      <c r="B75" s="1219" t="s">
        <v>1335</v>
      </c>
      <c r="C75" s="1229">
        <v>42215</v>
      </c>
      <c r="D75" s="1229">
        <v>51050.549146131169</v>
      </c>
      <c r="E75" s="1227"/>
      <c r="F75" s="1270"/>
      <c r="G75" s="1249"/>
      <c r="H75" s="1232"/>
    </row>
    <row r="76" spans="1:25" s="5" customFormat="1" x14ac:dyDescent="0.2">
      <c r="A76" s="1222"/>
      <c r="B76" s="1219" t="s">
        <v>1351</v>
      </c>
      <c r="C76" s="1229">
        <v>17294.326699999998</v>
      </c>
      <c r="D76" s="1229">
        <v>19663.236591461311</v>
      </c>
      <c r="E76" s="1227"/>
      <c r="F76" s="1270"/>
      <c r="G76" s="1249"/>
      <c r="H76" s="1232"/>
    </row>
    <row r="77" spans="1:25" s="5" customFormat="1" x14ac:dyDescent="0.2">
      <c r="A77" s="1222"/>
      <c r="B77" s="1219" t="s">
        <v>1460</v>
      </c>
      <c r="C77" s="1227">
        <v>3.2466061139633191</v>
      </c>
      <c r="D77" s="1227">
        <v>2.9583004723272714</v>
      </c>
      <c r="E77" s="1227"/>
      <c r="F77" s="1270"/>
      <c r="G77" s="1249"/>
      <c r="H77" s="1232"/>
    </row>
    <row r="78" spans="1:25" s="5" customFormat="1" x14ac:dyDescent="0.2">
      <c r="A78" s="1222"/>
      <c r="B78" s="1219" t="s">
        <v>1461</v>
      </c>
      <c r="C78" s="1228">
        <v>7.9248807703488993</v>
      </c>
      <c r="D78" s="1228">
        <v>7.6804682153469859</v>
      </c>
      <c r="E78" s="1227"/>
      <c r="F78" s="1270"/>
      <c r="G78" s="1249"/>
      <c r="H78" s="1232"/>
    </row>
    <row r="79" spans="1:25" s="5" customFormat="1" x14ac:dyDescent="0.2">
      <c r="A79" s="1222" t="s">
        <v>1299</v>
      </c>
      <c r="E79" s="1227"/>
      <c r="F79" s="1270"/>
      <c r="G79" s="1249"/>
      <c r="H79" s="1232"/>
    </row>
    <row r="80" spans="1:25" s="5" customFormat="1" x14ac:dyDescent="0.2">
      <c r="A80" s="1336"/>
      <c r="B80" s="1219" t="s">
        <v>1445</v>
      </c>
      <c r="C80" s="1228">
        <v>0.17143510984147675</v>
      </c>
      <c r="D80" s="1228">
        <v>0.21619026324034582</v>
      </c>
      <c r="E80" s="1337"/>
      <c r="F80" s="1337"/>
      <c r="G80" s="1337"/>
      <c r="H80" s="1232"/>
    </row>
    <row r="81" spans="1:26" s="5" customFormat="1" x14ac:dyDescent="0.2">
      <c r="A81" s="1222"/>
      <c r="B81" s="1219" t="s">
        <v>1336</v>
      </c>
      <c r="C81" s="1229">
        <v>13973296</v>
      </c>
      <c r="D81" s="1229">
        <v>19977215</v>
      </c>
      <c r="E81" s="1227"/>
      <c r="F81" s="1270"/>
      <c r="G81" s="1249"/>
      <c r="H81" s="1232"/>
    </row>
    <row r="82" spans="1:26" s="5" customFormat="1" x14ac:dyDescent="0.2">
      <c r="A82" s="1222"/>
      <c r="B82" s="1219" t="s">
        <v>1462</v>
      </c>
      <c r="C82" s="1235">
        <v>1.2268766784978773E-2</v>
      </c>
      <c r="D82" s="1235">
        <v>1.0821841945453648E-2</v>
      </c>
      <c r="E82" s="1227"/>
      <c r="F82" s="1270"/>
      <c r="G82" s="1249"/>
      <c r="H82" s="1232"/>
    </row>
    <row r="83" spans="1:26" s="5" customFormat="1" x14ac:dyDescent="0.2">
      <c r="A83" s="1222" t="s">
        <v>1300</v>
      </c>
      <c r="E83" s="1227"/>
      <c r="F83" s="1270"/>
      <c r="G83" s="1249"/>
      <c r="H83" s="1232"/>
    </row>
    <row r="84" spans="1:26" s="5" customFormat="1" x14ac:dyDescent="0.2">
      <c r="A84" s="1336"/>
      <c r="B84" s="1219" t="s">
        <v>1445</v>
      </c>
      <c r="C84" s="2536">
        <v>-0.4434678928179952</v>
      </c>
      <c r="D84" s="2536"/>
      <c r="E84" s="1337"/>
      <c r="F84" s="1337"/>
      <c r="G84" s="1337"/>
      <c r="H84" s="1232"/>
    </row>
    <row r="85" spans="1:26" s="5" customFormat="1" x14ac:dyDescent="0.2">
      <c r="A85" s="1222" t="s">
        <v>1301</v>
      </c>
      <c r="E85" s="1227"/>
      <c r="F85" s="1270"/>
      <c r="G85" s="1249"/>
      <c r="H85" s="1232"/>
    </row>
    <row r="86" spans="1:26" s="5" customFormat="1" x14ac:dyDescent="0.2">
      <c r="A86" s="1336"/>
      <c r="B86" s="1219" t="s">
        <v>1445</v>
      </c>
      <c r="C86" s="1228">
        <v>0.21423546650713612</v>
      </c>
      <c r="D86" s="1228">
        <v>0.21278480998784158</v>
      </c>
      <c r="E86" s="1337"/>
      <c r="F86" s="1337"/>
      <c r="G86" s="1337"/>
      <c r="H86" s="1232"/>
    </row>
    <row r="87" spans="1:26" s="5" customFormat="1" x14ac:dyDescent="0.2">
      <c r="A87" s="1224" t="s">
        <v>1295</v>
      </c>
      <c r="B87" s="1224"/>
      <c r="C87" s="1224"/>
      <c r="D87" s="1224"/>
      <c r="E87" s="1325"/>
      <c r="F87" s="1325"/>
      <c r="G87" s="1325"/>
      <c r="H87" s="1218"/>
    </row>
    <row r="88" spans="1:26" s="67" customFormat="1" x14ac:dyDescent="0.2">
      <c r="A88" s="1222" t="s">
        <v>1343</v>
      </c>
      <c r="B88" s="1231"/>
      <c r="C88" s="1231"/>
      <c r="D88" s="1231"/>
      <c r="E88" s="1231"/>
      <c r="F88" s="1231"/>
      <c r="G88" s="1231"/>
      <c r="H88" s="1232"/>
    </row>
    <row r="89" spans="1:26" s="5" customFormat="1" x14ac:dyDescent="0.2">
      <c r="A89" s="1231"/>
      <c r="B89" s="1219" t="s">
        <v>1463</v>
      </c>
      <c r="C89" s="1227" t="s">
        <v>1296</v>
      </c>
      <c r="D89" s="1233">
        <v>24</v>
      </c>
      <c r="E89" s="1227"/>
      <c r="F89" s="1270"/>
      <c r="G89" s="1249"/>
      <c r="H89" s="1218"/>
    </row>
    <row r="90" spans="1:26" s="5" customFormat="1" x14ac:dyDescent="0.2">
      <c r="A90" s="1231"/>
      <c r="B90" s="1219" t="s">
        <v>1451</v>
      </c>
      <c r="C90" s="1227" t="s">
        <v>1296</v>
      </c>
      <c r="D90" s="1233">
        <v>12.737217406256734</v>
      </c>
      <c r="E90" s="1227"/>
      <c r="F90" s="1270"/>
      <c r="G90" s="1249"/>
      <c r="H90" s="1218"/>
    </row>
    <row r="91" spans="1:26" s="5" customFormat="1" x14ac:dyDescent="0.2">
      <c r="A91" s="1222" t="s">
        <v>1354</v>
      </c>
      <c r="B91" s="1219"/>
      <c r="C91" s="1227"/>
      <c r="D91" s="1233"/>
      <c r="E91" s="1227"/>
      <c r="F91" s="1270"/>
      <c r="G91" s="1249"/>
      <c r="H91" s="1218"/>
    </row>
    <row r="92" spans="1:26" s="5" customFormat="1" x14ac:dyDescent="0.2">
      <c r="A92" s="1231"/>
      <c r="B92" s="1219" t="s">
        <v>1355</v>
      </c>
      <c r="C92" s="1227"/>
      <c r="D92" s="1233">
        <v>2.5</v>
      </c>
      <c r="E92" s="1227"/>
      <c r="F92" s="1270"/>
      <c r="G92" s="1249"/>
      <c r="H92" s="1218"/>
    </row>
    <row r="93" spans="1:26" s="5" customFormat="1" x14ac:dyDescent="0.2">
      <c r="A93" s="1231"/>
      <c r="B93" s="1219" t="s">
        <v>1356</v>
      </c>
      <c r="C93" s="1227"/>
      <c r="D93" s="1233">
        <v>1.7</v>
      </c>
      <c r="E93" s="1227"/>
      <c r="F93" s="1270"/>
      <c r="G93" s="1249"/>
      <c r="H93" s="1218"/>
    </row>
    <row r="94" spans="1:26" s="5" customFormat="1" x14ac:dyDescent="0.2">
      <c r="A94" s="1231"/>
      <c r="B94" s="1219" t="s">
        <v>1357</v>
      </c>
      <c r="C94" s="1227"/>
      <c r="D94" s="1227">
        <v>1.3267934798184098</v>
      </c>
      <c r="E94" s="1227"/>
      <c r="F94" s="1270"/>
      <c r="G94" s="1249"/>
      <c r="H94" s="1218"/>
    </row>
    <row r="95" spans="1:26" s="5" customFormat="1" x14ac:dyDescent="0.2">
      <c r="A95" s="1231"/>
      <c r="B95" s="1219" t="s">
        <v>1358</v>
      </c>
      <c r="C95" s="1227"/>
      <c r="D95" s="1227">
        <v>0.90221956627651867</v>
      </c>
      <c r="E95" s="1227"/>
      <c r="F95" s="1270"/>
      <c r="G95" s="1249"/>
      <c r="H95" s="1218"/>
    </row>
    <row r="96" spans="1:26" s="5" customFormat="1" x14ac:dyDescent="0.2">
      <c r="A96" s="1222" t="s">
        <v>1344</v>
      </c>
      <c r="B96" s="1219"/>
      <c r="C96" s="1227"/>
      <c r="D96" s="1233"/>
      <c r="E96" s="1227"/>
      <c r="F96" s="1270"/>
      <c r="G96" s="1249"/>
      <c r="H96" s="1218"/>
      <c r="X96" s="5">
        <v>2003</v>
      </c>
      <c r="Y96" s="5">
        <v>2008</v>
      </c>
      <c r="Z96" s="5">
        <v>2010</v>
      </c>
    </row>
    <row r="97" spans="1:26" s="5" customFormat="1" x14ac:dyDescent="0.2">
      <c r="A97" s="1222"/>
      <c r="B97" s="1219" t="s">
        <v>1353</v>
      </c>
      <c r="C97" s="1239">
        <v>0.36241227371688017</v>
      </c>
      <c r="D97" s="1239">
        <v>0.48307060400431373</v>
      </c>
      <c r="E97" s="1227"/>
      <c r="F97" s="1270"/>
      <c r="G97" s="1249"/>
      <c r="H97" s="1218"/>
      <c r="W97" s="795" t="s">
        <v>1504</v>
      </c>
      <c r="X97" s="1362">
        <f>C41</f>
        <v>60.825032397460191</v>
      </c>
      <c r="Y97" s="1362">
        <f>D41</f>
        <v>60.689448662934858</v>
      </c>
      <c r="Z97" s="1362">
        <f>E41</f>
        <v>64.98941698667447</v>
      </c>
    </row>
    <row r="98" spans="1:26" s="5" customFormat="1" x14ac:dyDescent="0.2">
      <c r="A98" s="1222"/>
      <c r="B98" s="1219" t="s">
        <v>1341</v>
      </c>
      <c r="C98" s="1229">
        <v>158802.38305379415</v>
      </c>
      <c r="D98" s="1229">
        <v>274152.25376414263</v>
      </c>
      <c r="E98" s="1227"/>
      <c r="F98" s="1270"/>
      <c r="G98" s="1249"/>
      <c r="H98" s="1218"/>
      <c r="W98" s="795" t="s">
        <v>1505</v>
      </c>
      <c r="X98" s="5">
        <v>0.42117242861944132</v>
      </c>
      <c r="Y98" s="5">
        <v>0.42951235377527697</v>
      </c>
      <c r="Z98" s="5">
        <v>0.46984850852436194</v>
      </c>
    </row>
    <row r="99" spans="1:26" s="5" customFormat="1" x14ac:dyDescent="0.2">
      <c r="A99" s="1231"/>
      <c r="B99" s="1219" t="s">
        <v>1342</v>
      </c>
      <c r="C99" s="1228">
        <v>8.9731382319337305E-2</v>
      </c>
      <c r="D99" s="1228">
        <v>0.14549736910871461</v>
      </c>
      <c r="E99" s="1227"/>
      <c r="F99" s="1270"/>
      <c r="G99" s="1249"/>
      <c r="H99" s="1218"/>
    </row>
    <row r="100" spans="1:26" s="5" customFormat="1" x14ac:dyDescent="0.2">
      <c r="A100" s="1231"/>
      <c r="B100" s="1219" t="s">
        <v>1363</v>
      </c>
      <c r="C100" s="1227">
        <v>-3.3075982956291075</v>
      </c>
      <c r="D100" s="1233">
        <v>-2.7351135402616058</v>
      </c>
      <c r="E100" s="1227"/>
      <c r="F100" s="1270"/>
      <c r="G100" s="1249"/>
      <c r="H100" s="1218"/>
    </row>
    <row r="101" spans="1:26" s="5" customFormat="1" x14ac:dyDescent="0.2">
      <c r="A101" s="1231"/>
      <c r="B101" s="1219" t="s">
        <v>1361</v>
      </c>
      <c r="C101" s="1234">
        <v>-0.52525449153057024</v>
      </c>
      <c r="D101" s="1234">
        <v>-0.7498375413635423</v>
      </c>
      <c r="E101" s="1227"/>
      <c r="F101" s="1270"/>
      <c r="G101" s="1249"/>
      <c r="H101" s="1218"/>
    </row>
    <row r="102" spans="1:26" s="5" customFormat="1" x14ac:dyDescent="0.2">
      <c r="A102" s="1231"/>
      <c r="B102" s="1219" t="s">
        <v>1362</v>
      </c>
      <c r="C102" s="1234">
        <v>-0.29679536722388389</v>
      </c>
      <c r="D102" s="1234">
        <v>-0.39795182432168602</v>
      </c>
      <c r="E102" s="1227"/>
      <c r="F102" s="1270"/>
      <c r="G102" s="1249"/>
      <c r="H102" s="1218"/>
    </row>
    <row r="103" spans="1:26" s="5" customFormat="1" x14ac:dyDescent="0.2">
      <c r="A103" s="1231"/>
      <c r="B103" s="1219" t="s">
        <v>1359</v>
      </c>
      <c r="C103" s="1241">
        <v>92282.412764431268</v>
      </c>
      <c r="D103" s="1241">
        <v>135779.36585177138</v>
      </c>
      <c r="E103" s="1227"/>
      <c r="F103" s="1270"/>
      <c r="G103" s="1249"/>
      <c r="H103" s="1218"/>
    </row>
    <row r="104" spans="1:26" s="5" customFormat="1" x14ac:dyDescent="0.2">
      <c r="A104" s="1231"/>
      <c r="B104" s="1219" t="s">
        <v>1342</v>
      </c>
      <c r="C104" s="1228">
        <v>5.214423298868897E-2</v>
      </c>
      <c r="D104" s="1228">
        <v>7.2060470922403475E-2</v>
      </c>
      <c r="E104" s="1227"/>
      <c r="F104" s="1270"/>
      <c r="G104" s="1249"/>
      <c r="H104" s="1218"/>
    </row>
    <row r="105" spans="1:26" s="5" customFormat="1" x14ac:dyDescent="0.2">
      <c r="A105" s="1231"/>
      <c r="B105" s="1219" t="s">
        <v>1364</v>
      </c>
      <c r="C105" s="1228">
        <v>-1.8894857579122574E-2</v>
      </c>
      <c r="D105" s="1228">
        <v>-2.9591033024463583E-2</v>
      </c>
      <c r="E105" s="1227"/>
      <c r="F105" s="1270"/>
      <c r="G105" s="1249"/>
      <c r="H105" s="1218"/>
    </row>
    <row r="106" spans="1:26" s="5" customFormat="1" x14ac:dyDescent="0.2">
      <c r="A106" s="1231"/>
      <c r="B106" s="1219" t="s">
        <v>1362</v>
      </c>
      <c r="C106" s="1240">
        <v>-1.0676550670699569E-2</v>
      </c>
      <c r="D106" s="1240">
        <v>-1.5704475871179808E-2</v>
      </c>
      <c r="E106" s="1227"/>
      <c r="F106" s="1270"/>
      <c r="G106" s="1249"/>
      <c r="H106" s="1218"/>
    </row>
    <row r="107" spans="1:26" s="5" customFormat="1" x14ac:dyDescent="0.2">
      <c r="A107" s="1231"/>
      <c r="B107" s="1219" t="s">
        <v>1360</v>
      </c>
      <c r="C107" s="1240">
        <v>-0.20475036372700134</v>
      </c>
      <c r="D107" s="1240">
        <v>-0.21793468277623082</v>
      </c>
      <c r="E107" s="1227"/>
      <c r="F107" s="1270"/>
      <c r="G107" s="1249"/>
      <c r="H107" s="1218"/>
    </row>
    <row r="108" spans="1:26" s="5" customFormat="1" x14ac:dyDescent="0.2">
      <c r="A108" s="1231"/>
      <c r="B108" s="1219"/>
      <c r="C108" s="1234"/>
      <c r="D108" s="1234"/>
      <c r="E108" s="1227"/>
      <c r="F108" s="1270"/>
      <c r="G108" s="1249"/>
      <c r="H108" s="1218"/>
    </row>
    <row r="109" spans="1:26" s="5" customFormat="1" x14ac:dyDescent="0.2">
      <c r="A109" s="1222" t="s">
        <v>1352</v>
      </c>
      <c r="B109" s="1219"/>
      <c r="C109" s="1227"/>
      <c r="D109" s="1233"/>
      <c r="E109" s="1227"/>
      <c r="F109" s="1270"/>
      <c r="G109" s="1249"/>
      <c r="H109" s="1218"/>
    </row>
    <row r="110" spans="1:26" s="5" customFormat="1" x14ac:dyDescent="0.2">
      <c r="A110" s="1222"/>
      <c r="B110" s="1219" t="s">
        <v>1288</v>
      </c>
      <c r="C110" s="1227">
        <f>'Trans- Air'!B46/10^6</f>
        <v>1.7566982214198048</v>
      </c>
      <c r="D110" s="1233">
        <f>'Trans- Air'!F46/10^6</f>
        <v>2.0434502112939601</v>
      </c>
      <c r="E110" s="1227"/>
      <c r="F110" s="1270"/>
      <c r="G110" s="1249"/>
      <c r="H110" s="1218"/>
    </row>
    <row r="111" spans="1:26" s="5" customFormat="1" x14ac:dyDescent="0.2">
      <c r="A111" s="1222"/>
      <c r="B111" s="1219" t="s">
        <v>1292</v>
      </c>
      <c r="C111" s="1227">
        <f>C110*10^6/popKC03</f>
        <v>0.99262338948983542</v>
      </c>
      <c r="D111" s="1227">
        <f>D110*10^6/popKC08</f>
        <v>1.084494566671351</v>
      </c>
      <c r="E111" s="1227"/>
      <c r="F111" s="1270"/>
      <c r="G111" s="1249"/>
      <c r="H111" s="1218"/>
    </row>
    <row r="112" spans="1:26" s="5" customFormat="1" x14ac:dyDescent="0.2">
      <c r="A112" s="1222" t="s">
        <v>1346</v>
      </c>
      <c r="B112" s="1219"/>
      <c r="C112" s="1234"/>
      <c r="D112" s="1234"/>
      <c r="E112" s="1227"/>
      <c r="F112" s="1270"/>
      <c r="G112" s="1249"/>
      <c r="H112" s="1218"/>
    </row>
    <row r="113" spans="1:8" s="5" customFormat="1" x14ac:dyDescent="0.2">
      <c r="A113" s="1231"/>
      <c r="B113" s="1219" t="s">
        <v>1340</v>
      </c>
      <c r="C113" s="1227" t="s">
        <v>1296</v>
      </c>
      <c r="D113" s="1234">
        <f>D89+D101</f>
        <v>23.250162458636456</v>
      </c>
      <c r="E113" s="1227"/>
      <c r="F113" s="1270"/>
      <c r="G113" s="1249"/>
      <c r="H113" s="1218"/>
    </row>
    <row r="114" spans="1:8" s="5" customFormat="1" x14ac:dyDescent="0.2">
      <c r="A114" s="1231"/>
      <c r="B114" s="1219" t="s">
        <v>1292</v>
      </c>
      <c r="C114" s="1227" t="s">
        <v>1296</v>
      </c>
      <c r="D114" s="1234">
        <f>D90+D102</f>
        <v>12.339265581935049</v>
      </c>
      <c r="E114" s="1227"/>
      <c r="F114" s="1270"/>
      <c r="G114" s="1249"/>
      <c r="H114" s="1218"/>
    </row>
    <row r="115" spans="1:8" s="5" customFormat="1" x14ac:dyDescent="0.2">
      <c r="A115" s="1231"/>
      <c r="B115" s="1219"/>
      <c r="C115" s="1233"/>
      <c r="D115" s="1233"/>
      <c r="E115" s="1227"/>
      <c r="F115" s="1270"/>
      <c r="G115" s="1249"/>
    </row>
    <row r="116" spans="1:8" s="5" customFormat="1" x14ac:dyDescent="0.2">
      <c r="B116" s="795"/>
    </row>
    <row r="117" spans="1:8" x14ac:dyDescent="0.2">
      <c r="A117" s="1213"/>
      <c r="B117" s="1214"/>
      <c r="C117" s="1213"/>
      <c r="D117" s="1213"/>
      <c r="E117" s="1213"/>
      <c r="F117" s="1213"/>
      <c r="G117" s="1213"/>
      <c r="H117" s="1213"/>
    </row>
    <row r="121" spans="1:8" x14ac:dyDescent="0.2">
      <c r="A121" s="569"/>
      <c r="B121" s="1238"/>
      <c r="C121" s="219"/>
      <c r="D121" s="219"/>
      <c r="E121" s="5"/>
      <c r="F121" s="5"/>
      <c r="G121" s="5"/>
    </row>
    <row r="122" spans="1:8" x14ac:dyDescent="0.2">
      <c r="A122" s="505"/>
      <c r="B122" s="1238"/>
      <c r="C122" s="219"/>
      <c r="D122" s="219"/>
      <c r="E122" s="5"/>
      <c r="F122" s="5"/>
      <c r="G122" s="5"/>
    </row>
    <row r="123" spans="1:8" x14ac:dyDescent="0.2">
      <c r="A123" s="569"/>
      <c r="B123" s="1238"/>
      <c r="C123" s="219"/>
      <c r="D123" s="219"/>
      <c r="E123" s="5"/>
      <c r="F123" s="5"/>
      <c r="G123" s="5"/>
    </row>
    <row r="124" spans="1:8" x14ac:dyDescent="0.2">
      <c r="A124" s="551"/>
      <c r="B124" s="1238"/>
      <c r="C124" s="219"/>
      <c r="D124" s="219"/>
      <c r="E124" s="5"/>
      <c r="F124" s="5"/>
      <c r="G124" s="5"/>
    </row>
    <row r="125" spans="1:8" x14ac:dyDescent="0.2">
      <c r="A125" s="569"/>
      <c r="B125" s="1238"/>
      <c r="C125" s="219"/>
      <c r="D125" s="219"/>
      <c r="E125" s="5"/>
      <c r="F125" s="5"/>
      <c r="G125" s="5"/>
    </row>
    <row r="126" spans="1:8" x14ac:dyDescent="0.2">
      <c r="A126" s="569"/>
      <c r="B126" s="1238"/>
      <c r="C126" s="219"/>
      <c r="D126" s="219"/>
      <c r="E126" s="5"/>
      <c r="F126" s="5"/>
      <c r="G126" s="5"/>
    </row>
    <row r="127" spans="1:8" x14ac:dyDescent="0.2">
      <c r="A127" s="569"/>
      <c r="B127" s="1238"/>
      <c r="C127" s="219"/>
      <c r="D127" s="219"/>
      <c r="E127" s="5"/>
      <c r="F127" s="5"/>
      <c r="G127" s="5"/>
    </row>
    <row r="128" spans="1:8" x14ac:dyDescent="0.2">
      <c r="A128" s="569"/>
      <c r="B128" s="1238"/>
      <c r="C128" s="219"/>
      <c r="D128" s="219"/>
      <c r="E128" s="5"/>
      <c r="F128" s="5"/>
      <c r="G128" s="5"/>
    </row>
    <row r="129" spans="1:7" x14ac:dyDescent="0.2">
      <c r="A129" s="569"/>
      <c r="B129" s="1238"/>
      <c r="C129" s="219"/>
      <c r="D129" s="219"/>
      <c r="E129" s="5"/>
      <c r="F129" s="5"/>
      <c r="G129" s="5"/>
    </row>
    <row r="130" spans="1:7" x14ac:dyDescent="0.2">
      <c r="A130" s="5"/>
      <c r="B130" s="795"/>
      <c r="C130" s="5"/>
      <c r="D130" s="5"/>
      <c r="E130" s="5"/>
      <c r="F130" s="5"/>
      <c r="G130" s="5"/>
    </row>
    <row r="131" spans="1:7" x14ac:dyDescent="0.2">
      <c r="A131" s="5"/>
      <c r="B131" s="795"/>
      <c r="C131" s="5"/>
      <c r="D131" s="5"/>
      <c r="E131" s="5"/>
      <c r="F131" s="5"/>
      <c r="G131" s="5"/>
    </row>
    <row r="132" spans="1:7" x14ac:dyDescent="0.2">
      <c r="A132" s="5"/>
      <c r="B132" s="795"/>
      <c r="C132" s="5"/>
      <c r="D132" s="5"/>
      <c r="E132" s="5"/>
      <c r="F132" s="5"/>
      <c r="G132" s="5"/>
    </row>
    <row r="133" spans="1:7" x14ac:dyDescent="0.2">
      <c r="A133" s="5"/>
      <c r="B133" s="795"/>
      <c r="C133" s="5"/>
      <c r="D133" s="5"/>
      <c r="E133" s="5"/>
      <c r="F133" s="5"/>
      <c r="G133" s="5"/>
    </row>
    <row r="134" spans="1:7" x14ac:dyDescent="0.2">
      <c r="A134" s="5"/>
      <c r="B134" s="795"/>
      <c r="C134" s="5"/>
      <c r="D134" s="5"/>
      <c r="E134" s="5"/>
      <c r="F134" s="5"/>
      <c r="G134" s="5"/>
    </row>
    <row r="135" spans="1:7" x14ac:dyDescent="0.2">
      <c r="A135" s="5"/>
      <c r="B135" s="795"/>
      <c r="C135" s="5"/>
      <c r="D135" s="5"/>
      <c r="E135" s="5"/>
      <c r="F135" s="5"/>
      <c r="G135" s="5"/>
    </row>
    <row r="136" spans="1:7" x14ac:dyDescent="0.2">
      <c r="A136" s="5"/>
      <c r="B136" s="795"/>
      <c r="C136" s="5"/>
      <c r="D136" s="5"/>
      <c r="E136" s="5"/>
      <c r="F136" s="5"/>
      <c r="G136" s="5"/>
    </row>
  </sheetData>
  <customSheetViews>
    <customSheetView guid="{9BEC6399-AE85-4D88-8FBA-3674E2F30307}" state="hidden">
      <selection activeCell="G52" sqref="G52"/>
      <pageMargins left="0.7" right="0.7" top="0.75" bottom="0.75" header="0.3" footer="0.3"/>
      <pageSetup orientation="portrait" r:id="rId1"/>
    </customSheetView>
    <customSheetView guid="{0347A67A-6027-4907-965C-6EA2A8295536}" state="hidden">
      <selection activeCell="G52" sqref="G52"/>
      <pageMargins left="0.7" right="0.7" top="0.75" bottom="0.75" header="0.3" footer="0.3"/>
      <pageSetup orientation="portrait" r:id="rId2"/>
    </customSheetView>
    <customSheetView guid="{15CC7F3D-99AB-49C1-AC00-E04D3FE3FBC1}" state="hidden">
      <selection activeCell="G52" sqref="G52"/>
      <pageMargins left="0.7" right="0.7" top="0.75" bottom="0.75" header="0.3" footer="0.3"/>
      <pageSetup orientation="portrait" r:id="rId3"/>
    </customSheetView>
  </customSheetViews>
  <mergeCells count="14">
    <mergeCell ref="A4:D4"/>
    <mergeCell ref="A5:B5"/>
    <mergeCell ref="A20:B20"/>
    <mergeCell ref="A44:B44"/>
    <mergeCell ref="C84:D84"/>
    <mergeCell ref="C59:D59"/>
    <mergeCell ref="C60:D60"/>
    <mergeCell ref="C61:D61"/>
    <mergeCell ref="C63:D63"/>
    <mergeCell ref="C64:D64"/>
    <mergeCell ref="C65:D65"/>
    <mergeCell ref="C67:D67"/>
    <mergeCell ref="C68:D68"/>
    <mergeCell ref="C69:D69"/>
  </mergeCells>
  <pageMargins left="0.7" right="0.7" top="0.75" bottom="0.75" header="0.3" footer="0.3"/>
  <pageSetup orientation="portrait" r:id="rId4"/>
  <drawing r:id="rId5"/>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94"/>
  <sheetViews>
    <sheetView topLeftCell="A135" workbookViewId="0">
      <selection activeCell="F144" sqref="F144"/>
    </sheetView>
  </sheetViews>
  <sheetFormatPr defaultColWidth="8.85546875" defaultRowHeight="12" x14ac:dyDescent="0.2"/>
  <cols>
    <col min="1" max="1" width="25.5703125" style="143" customWidth="1"/>
    <col min="2" max="2" width="12.7109375" customWidth="1"/>
    <col min="3" max="3" width="14.5703125" style="232" bestFit="1" customWidth="1"/>
    <col min="4" max="4" width="11.28515625" bestFit="1" customWidth="1"/>
    <col min="5" max="5" width="40.7109375" style="72" customWidth="1"/>
    <col min="6" max="6" width="40.7109375" customWidth="1"/>
    <col min="7" max="7" width="60.7109375" customWidth="1"/>
    <col min="8" max="8" width="21.7109375" bestFit="1" customWidth="1"/>
    <col min="9" max="9" width="12" customWidth="1"/>
    <col min="10" max="10" width="11.5703125" customWidth="1"/>
    <col min="11" max="11" width="11" customWidth="1"/>
    <col min="12" max="12" width="12.28515625" customWidth="1"/>
    <col min="13" max="13" width="12.42578125" customWidth="1"/>
  </cols>
  <sheetData>
    <row r="1" spans="1:6" s="16" customFormat="1" ht="27.75" customHeight="1" x14ac:dyDescent="0.2">
      <c r="A1" s="149" t="s">
        <v>421</v>
      </c>
      <c r="B1" s="15"/>
      <c r="C1" s="227"/>
      <c r="E1" s="69"/>
    </row>
    <row r="2" spans="1:6" s="65" customFormat="1" x14ac:dyDescent="0.2">
      <c r="A2" s="150" t="s">
        <v>593</v>
      </c>
      <c r="B2" s="65" t="s">
        <v>398</v>
      </c>
      <c r="C2" s="78" t="s">
        <v>602</v>
      </c>
      <c r="D2" s="65" t="s">
        <v>601</v>
      </c>
      <c r="E2" s="70" t="s">
        <v>627</v>
      </c>
      <c r="F2" s="65" t="s">
        <v>420</v>
      </c>
    </row>
    <row r="3" spans="1:6" x14ac:dyDescent="0.2">
      <c r="A3" s="151" t="s">
        <v>460</v>
      </c>
      <c r="B3" s="21"/>
      <c r="C3" s="73"/>
      <c r="D3" s="21"/>
      <c r="E3" s="71"/>
    </row>
    <row r="4" spans="1:6" x14ac:dyDescent="0.2">
      <c r="A4" s="152" t="s">
        <v>564</v>
      </c>
      <c r="B4" s="60" t="s">
        <v>401</v>
      </c>
      <c r="C4" s="228">
        <f>(massC+2*massO)/massC</f>
        <v>3.6640912818506139</v>
      </c>
      <c r="D4" s="60" t="s">
        <v>565</v>
      </c>
    </row>
    <row r="5" spans="1:6" x14ac:dyDescent="0.2">
      <c r="A5" s="152" t="s">
        <v>325</v>
      </c>
      <c r="B5" s="60" t="s">
        <v>326</v>
      </c>
      <c r="C5" s="228">
        <f>massCO2/massCH4</f>
        <v>2.7432647817634086</v>
      </c>
      <c r="D5" s="60" t="s">
        <v>565</v>
      </c>
    </row>
    <row r="6" spans="1:6" x14ac:dyDescent="0.2">
      <c r="A6" s="152" t="s">
        <v>423</v>
      </c>
      <c r="B6" s="60" t="s">
        <v>424</v>
      </c>
      <c r="C6" s="228">
        <f>(massC+4*massH)/massC</f>
        <v>1.3356681083826276</v>
      </c>
      <c r="D6" s="60" t="s">
        <v>565</v>
      </c>
    </row>
    <row r="7" spans="1:6" x14ac:dyDescent="0.2">
      <c r="A7" s="152" t="s">
        <v>566</v>
      </c>
      <c r="B7" s="60" t="s">
        <v>402</v>
      </c>
      <c r="C7" s="228">
        <f>(massS+2*massO)/massS</f>
        <v>1.9979043223351838</v>
      </c>
      <c r="D7" s="60" t="s">
        <v>565</v>
      </c>
    </row>
    <row r="8" spans="1:6" x14ac:dyDescent="0.2">
      <c r="A8" s="152" t="s">
        <v>567</v>
      </c>
      <c r="B8" s="60" t="s">
        <v>403</v>
      </c>
      <c r="C8" s="229">
        <f>2*massH/(2*massH+massO)</f>
        <v>0.11189834407236524</v>
      </c>
      <c r="D8" s="60" t="s">
        <v>565</v>
      </c>
    </row>
    <row r="9" spans="1:6" x14ac:dyDescent="0.2">
      <c r="A9" s="152"/>
      <c r="B9" s="60"/>
      <c r="C9" s="230"/>
      <c r="D9" s="60"/>
    </row>
    <row r="10" spans="1:6" x14ac:dyDescent="0.2">
      <c r="A10" s="151" t="s">
        <v>461</v>
      </c>
      <c r="B10" s="21"/>
      <c r="C10" s="73"/>
      <c r="D10" s="21"/>
      <c r="E10" s="71"/>
    </row>
    <row r="11" spans="1:6" x14ac:dyDescent="0.2">
      <c r="A11" s="152" t="s">
        <v>568</v>
      </c>
      <c r="B11" s="60" t="s">
        <v>404</v>
      </c>
      <c r="C11" s="231">
        <f>9/5</f>
        <v>1.8</v>
      </c>
      <c r="D11" s="60" t="s">
        <v>565</v>
      </c>
    </row>
    <row r="12" spans="1:6" x14ac:dyDescent="0.2">
      <c r="A12" s="152" t="s">
        <v>569</v>
      </c>
      <c r="B12" s="60" t="s">
        <v>569</v>
      </c>
      <c r="C12" s="230">
        <v>32</v>
      </c>
      <c r="D12" s="62" t="s">
        <v>570</v>
      </c>
    </row>
    <row r="13" spans="1:6" x14ac:dyDescent="0.2">
      <c r="A13" s="152" t="s">
        <v>571</v>
      </c>
      <c r="B13" s="60" t="s">
        <v>571</v>
      </c>
      <c r="C13" s="230">
        <v>0</v>
      </c>
      <c r="D13" s="60" t="s">
        <v>572</v>
      </c>
    </row>
    <row r="14" spans="1:6" x14ac:dyDescent="0.2">
      <c r="A14" s="153"/>
      <c r="B14" s="63"/>
      <c r="D14" s="63"/>
    </row>
    <row r="15" spans="1:6" x14ac:dyDescent="0.2">
      <c r="A15" s="151" t="s">
        <v>462</v>
      </c>
      <c r="B15" s="21"/>
      <c r="C15" s="73"/>
      <c r="D15" s="21"/>
      <c r="E15" s="71"/>
    </row>
    <row r="16" spans="1:6" x14ac:dyDescent="0.2">
      <c r="A16" s="127" t="s">
        <v>573</v>
      </c>
      <c r="B16" s="64" t="s">
        <v>405</v>
      </c>
      <c r="C16" s="233">
        <v>12.011150000000001</v>
      </c>
      <c r="D16" s="64" t="s">
        <v>574</v>
      </c>
      <c r="E16" s="64" t="s">
        <v>311</v>
      </c>
    </row>
    <row r="17" spans="1:5" x14ac:dyDescent="0.2">
      <c r="A17" s="127" t="s">
        <v>575</v>
      </c>
      <c r="B17" s="64" t="s">
        <v>406</v>
      </c>
      <c r="C17" s="233">
        <v>1.0079400000000001</v>
      </c>
      <c r="D17" s="64" t="s">
        <v>574</v>
      </c>
      <c r="E17" s="64" t="s">
        <v>311</v>
      </c>
    </row>
    <row r="18" spans="1:5" x14ac:dyDescent="0.2">
      <c r="A18" s="127" t="s">
        <v>670</v>
      </c>
      <c r="B18" s="64" t="s">
        <v>407</v>
      </c>
      <c r="C18" s="233">
        <v>14.006740000000001</v>
      </c>
      <c r="D18" s="64" t="s">
        <v>574</v>
      </c>
      <c r="E18" s="64" t="s">
        <v>311</v>
      </c>
    </row>
    <row r="19" spans="1:5" x14ac:dyDescent="0.2">
      <c r="A19" s="127" t="s">
        <v>576</v>
      </c>
      <c r="B19" s="64" t="s">
        <v>408</v>
      </c>
      <c r="C19" s="234">
        <v>15.9994</v>
      </c>
      <c r="D19" s="64" t="s">
        <v>574</v>
      </c>
      <c r="E19" s="64" t="s">
        <v>311</v>
      </c>
    </row>
    <row r="20" spans="1:5" x14ac:dyDescent="0.2">
      <c r="A20" s="127" t="s">
        <v>577</v>
      </c>
      <c r="B20" s="64" t="s">
        <v>409</v>
      </c>
      <c r="C20" s="235">
        <v>32.066000000000003</v>
      </c>
      <c r="D20" s="64" t="s">
        <v>574</v>
      </c>
      <c r="E20" s="64" t="s">
        <v>311</v>
      </c>
    </row>
    <row r="21" spans="1:5" x14ac:dyDescent="0.2">
      <c r="A21" s="127"/>
      <c r="B21" s="64"/>
      <c r="C21" s="236"/>
      <c r="D21" s="64"/>
      <c r="E21" s="64"/>
    </row>
    <row r="22" spans="1:5" x14ac:dyDescent="0.2">
      <c r="A22" s="151" t="s">
        <v>463</v>
      </c>
      <c r="B22" s="21"/>
      <c r="C22" s="73"/>
      <c r="D22" s="21"/>
      <c r="E22" s="73"/>
    </row>
    <row r="23" spans="1:5" ht="13.5" x14ac:dyDescent="0.25">
      <c r="A23" s="127" t="s">
        <v>581</v>
      </c>
      <c r="B23" s="64" t="s">
        <v>413</v>
      </c>
      <c r="C23" s="237">
        <f>3*massC+8*massH</f>
        <v>44.096969999999999</v>
      </c>
      <c r="D23" s="64" t="s">
        <v>574</v>
      </c>
      <c r="E23" s="64"/>
    </row>
    <row r="24" spans="1:5" ht="13.5" x14ac:dyDescent="0.25">
      <c r="A24" s="127" t="s">
        <v>623</v>
      </c>
      <c r="B24" s="64" t="s">
        <v>624</v>
      </c>
      <c r="C24" s="237">
        <f>massC+4*massH</f>
        <v>16.042909999999999</v>
      </c>
      <c r="D24" s="64" t="s">
        <v>574</v>
      </c>
      <c r="E24" s="64"/>
    </row>
    <row r="25" spans="1:5" x14ac:dyDescent="0.2">
      <c r="A25" s="127" t="s">
        <v>580</v>
      </c>
      <c r="B25" s="64" t="s">
        <v>412</v>
      </c>
      <c r="C25" s="237">
        <f>massC+massO</f>
        <v>28.010550000000002</v>
      </c>
      <c r="D25" s="64" t="s">
        <v>574</v>
      </c>
      <c r="E25" s="64"/>
    </row>
    <row r="26" spans="1:5" ht="13.5" x14ac:dyDescent="0.25">
      <c r="A26" s="127" t="s">
        <v>621</v>
      </c>
      <c r="B26" s="64" t="s">
        <v>622</v>
      </c>
      <c r="C26" s="237">
        <f>massC+2*massO</f>
        <v>44.009950000000003</v>
      </c>
      <c r="D26" s="64" t="s">
        <v>574</v>
      </c>
      <c r="E26" s="64"/>
    </row>
    <row r="27" spans="1:5" ht="13.5" x14ac:dyDescent="0.25">
      <c r="A27" s="127" t="s">
        <v>628</v>
      </c>
      <c r="B27" s="64" t="s">
        <v>629</v>
      </c>
      <c r="C27" s="237">
        <f>2*massN+massO</f>
        <v>44.012880000000003</v>
      </c>
      <c r="D27" s="64" t="s">
        <v>574</v>
      </c>
      <c r="E27" s="64"/>
    </row>
    <row r="28" spans="1:5" ht="13.5" x14ac:dyDescent="0.25">
      <c r="A28" s="127" t="s">
        <v>578</v>
      </c>
      <c r="B28" s="64" t="s">
        <v>410</v>
      </c>
      <c r="C28" s="237">
        <f>massN+2*massO</f>
        <v>46.005539999999996</v>
      </c>
      <c r="D28" s="64" t="s">
        <v>574</v>
      </c>
      <c r="E28" s="64"/>
    </row>
    <row r="29" spans="1:5" ht="13.5" x14ac:dyDescent="0.25">
      <c r="A29" s="127" t="s">
        <v>579</v>
      </c>
      <c r="B29" s="64" t="s">
        <v>411</v>
      </c>
      <c r="C29" s="237">
        <f>massS+2*massO</f>
        <v>64.064800000000005</v>
      </c>
      <c r="D29" s="64" t="s">
        <v>574</v>
      </c>
      <c r="E29" s="64"/>
    </row>
    <row r="30" spans="1:5" x14ac:dyDescent="0.2">
      <c r="A30" s="127"/>
      <c r="B30" s="64"/>
      <c r="C30" s="237"/>
      <c r="D30" s="64"/>
      <c r="E30" s="64"/>
    </row>
    <row r="31" spans="1:5" x14ac:dyDescent="0.2">
      <c r="A31" s="151" t="s">
        <v>582</v>
      </c>
      <c r="B31" s="21"/>
      <c r="C31" s="73"/>
      <c r="D31" s="21"/>
      <c r="E31" s="73"/>
    </row>
    <row r="32" spans="1:5" x14ac:dyDescent="0.2">
      <c r="A32" s="127" t="s">
        <v>583</v>
      </c>
      <c r="B32" s="64" t="s">
        <v>419</v>
      </c>
      <c r="C32" s="238">
        <v>8.20578E-2</v>
      </c>
      <c r="D32" s="64" t="s">
        <v>584</v>
      </c>
      <c r="E32" s="64" t="s">
        <v>311</v>
      </c>
    </row>
    <row r="33" spans="1:6" x14ac:dyDescent="0.2">
      <c r="A33" s="127" t="s">
        <v>436</v>
      </c>
      <c r="B33" s="64" t="s">
        <v>432</v>
      </c>
      <c r="C33" s="238">
        <v>273.14999999999998</v>
      </c>
      <c r="D33" s="64" t="s">
        <v>585</v>
      </c>
      <c r="E33" s="64" t="s">
        <v>311</v>
      </c>
    </row>
    <row r="34" spans="1:6" x14ac:dyDescent="0.2">
      <c r="A34" s="127" t="s">
        <v>437</v>
      </c>
      <c r="B34" s="64" t="s">
        <v>433</v>
      </c>
      <c r="C34" s="238">
        <v>288.14999999999998</v>
      </c>
      <c r="D34" s="64" t="s">
        <v>585</v>
      </c>
      <c r="E34" s="64" t="s">
        <v>311</v>
      </c>
      <c r="F34" t="s">
        <v>447</v>
      </c>
    </row>
    <row r="35" spans="1:6" x14ac:dyDescent="0.2">
      <c r="A35" s="127" t="s">
        <v>438</v>
      </c>
      <c r="B35" s="64" t="s">
        <v>434</v>
      </c>
      <c r="C35" s="237">
        <f>(60-freezeF)/F.C+K0degC</f>
        <v>288.70555555555552</v>
      </c>
      <c r="D35" s="64" t="s">
        <v>585</v>
      </c>
      <c r="F35" s="64" t="s">
        <v>650</v>
      </c>
    </row>
    <row r="36" spans="1:6" x14ac:dyDescent="0.2">
      <c r="A36" s="127" t="s">
        <v>441</v>
      </c>
      <c r="B36" s="64" t="s">
        <v>435</v>
      </c>
      <c r="C36" s="237">
        <f>gasconstant*K0degC</f>
        <v>22.414088069999998</v>
      </c>
      <c r="D36" s="64" t="s">
        <v>586</v>
      </c>
      <c r="E36" s="64"/>
      <c r="F36" s="64" t="s">
        <v>448</v>
      </c>
    </row>
    <row r="37" spans="1:6" x14ac:dyDescent="0.2">
      <c r="A37" s="127" t="s">
        <v>442</v>
      </c>
      <c r="B37" s="64" t="s">
        <v>444</v>
      </c>
      <c r="C37" s="237">
        <f>gasconstant*K15degC</f>
        <v>23.644955069999998</v>
      </c>
      <c r="D37" s="64" t="s">
        <v>586</v>
      </c>
      <c r="E37" s="64"/>
      <c r="F37" s="64" t="s">
        <v>448</v>
      </c>
    </row>
    <row r="38" spans="1:6" x14ac:dyDescent="0.2">
      <c r="A38" s="127" t="s">
        <v>443</v>
      </c>
      <c r="B38" s="64" t="s">
        <v>445</v>
      </c>
      <c r="C38" s="237">
        <f>gasconstant*K60degF</f>
        <v>23.690542736666664</v>
      </c>
      <c r="D38" s="64" t="s">
        <v>586</v>
      </c>
      <c r="E38" s="64"/>
      <c r="F38" s="64" t="s">
        <v>448</v>
      </c>
    </row>
    <row r="39" spans="1:6" x14ac:dyDescent="0.2">
      <c r="A39" s="127"/>
      <c r="B39" s="64"/>
      <c r="C39" s="236"/>
      <c r="D39" s="64"/>
      <c r="E39" s="64"/>
    </row>
    <row r="40" spans="1:6" x14ac:dyDescent="0.2">
      <c r="A40" s="151" t="s">
        <v>446</v>
      </c>
      <c r="B40" s="21"/>
      <c r="C40" s="73"/>
      <c r="D40" s="21"/>
      <c r="E40" s="73"/>
    </row>
    <row r="41" spans="1:6" ht="13.5" x14ac:dyDescent="0.25">
      <c r="A41" s="127" t="s">
        <v>581</v>
      </c>
      <c r="B41" s="64" t="s">
        <v>631</v>
      </c>
      <c r="C41" s="237">
        <f t="shared" ref="C41:C47" si="0">C23/molVol15degC</f>
        <v>1.8649631546963223</v>
      </c>
      <c r="D41" s="64" t="s">
        <v>594</v>
      </c>
      <c r="E41" s="64"/>
      <c r="F41" s="64" t="s">
        <v>431</v>
      </c>
    </row>
    <row r="42" spans="1:6" ht="13.5" x14ac:dyDescent="0.25">
      <c r="A42" s="127" t="s">
        <v>623</v>
      </c>
      <c r="B42" s="64" t="s">
        <v>632</v>
      </c>
      <c r="C42" s="237">
        <f t="shared" si="0"/>
        <v>0.67849187924043708</v>
      </c>
      <c r="D42" s="64" t="s">
        <v>594</v>
      </c>
      <c r="E42" s="64"/>
    </row>
    <row r="43" spans="1:6" x14ac:dyDescent="0.2">
      <c r="A43" s="127" t="s">
        <v>580</v>
      </c>
      <c r="B43" s="64" t="s">
        <v>633</v>
      </c>
      <c r="C43" s="237">
        <f t="shared" si="0"/>
        <v>1.1846311366241054</v>
      </c>
      <c r="D43" s="64" t="s">
        <v>594</v>
      </c>
      <c r="E43" s="64"/>
    </row>
    <row r="44" spans="1:6" ht="13.5" x14ac:dyDescent="0.25">
      <c r="A44" s="127" t="s">
        <v>621</v>
      </c>
      <c r="B44" s="64" t="s">
        <v>634</v>
      </c>
      <c r="C44" s="237">
        <f t="shared" si="0"/>
        <v>1.8612828770327625</v>
      </c>
      <c r="D44" s="64" t="s">
        <v>594</v>
      </c>
      <c r="E44" s="64"/>
    </row>
    <row r="45" spans="1:6" ht="13.5" x14ac:dyDescent="0.25">
      <c r="A45" s="127" t="s">
        <v>628</v>
      </c>
      <c r="B45" s="64" t="s">
        <v>635</v>
      </c>
      <c r="C45" s="237">
        <f t="shared" si="0"/>
        <v>1.8614067935295935</v>
      </c>
      <c r="D45" s="64" t="s">
        <v>594</v>
      </c>
      <c r="E45" s="64"/>
    </row>
    <row r="46" spans="1:6" ht="13.5" x14ac:dyDescent="0.25">
      <c r="A46" s="127" t="s">
        <v>578</v>
      </c>
      <c r="B46" s="64" t="s">
        <v>429</v>
      </c>
      <c r="C46" s="237">
        <f t="shared" si="0"/>
        <v>1.9456810073777822</v>
      </c>
      <c r="D46" s="64" t="s">
        <v>594</v>
      </c>
      <c r="E46" s="64"/>
    </row>
    <row r="47" spans="1:6" ht="13.5" x14ac:dyDescent="0.25">
      <c r="A47" s="127" t="s">
        <v>579</v>
      </c>
      <c r="B47" s="64" t="s">
        <v>430</v>
      </c>
      <c r="C47" s="237">
        <f t="shared" si="0"/>
        <v>2.709449005520991</v>
      </c>
      <c r="D47" s="64" t="s">
        <v>594</v>
      </c>
      <c r="E47" s="64"/>
    </row>
    <row r="48" spans="1:6" x14ac:dyDescent="0.2">
      <c r="A48" s="127"/>
      <c r="B48" s="64"/>
      <c r="C48" s="237"/>
      <c r="D48" s="64"/>
      <c r="E48" s="64"/>
    </row>
    <row r="49" spans="1:6" x14ac:dyDescent="0.2">
      <c r="A49" s="151" t="s">
        <v>449</v>
      </c>
      <c r="B49" s="21"/>
      <c r="C49" s="73"/>
      <c r="D49" s="21"/>
      <c r="E49" s="73"/>
    </row>
    <row r="50" spans="1:6" ht="13.5" x14ac:dyDescent="0.25">
      <c r="A50" s="127" t="s">
        <v>581</v>
      </c>
      <c r="B50" s="64" t="s">
        <v>450</v>
      </c>
      <c r="C50" s="237">
        <f t="shared" ref="C50:C56" si="1">C23/molVol60degF</f>
        <v>1.8613744096182991</v>
      </c>
      <c r="D50" s="64" t="s">
        <v>594</v>
      </c>
      <c r="E50" s="64"/>
      <c r="F50" s="64"/>
    </row>
    <row r="51" spans="1:6" ht="13.5" x14ac:dyDescent="0.25">
      <c r="A51" s="127" t="s">
        <v>623</v>
      </c>
      <c r="B51" s="64" t="s">
        <v>451</v>
      </c>
      <c r="C51" s="237">
        <f t="shared" si="1"/>
        <v>0.67718625859802861</v>
      </c>
      <c r="D51" s="64" t="s">
        <v>594</v>
      </c>
      <c r="E51" s="64"/>
    </row>
    <row r="52" spans="1:6" x14ac:dyDescent="0.2">
      <c r="A52" s="127" t="s">
        <v>580</v>
      </c>
      <c r="B52" s="64" t="s">
        <v>452</v>
      </c>
      <c r="C52" s="237">
        <f t="shared" si="1"/>
        <v>1.1823515531641711</v>
      </c>
      <c r="D52" s="64" t="s">
        <v>594</v>
      </c>
      <c r="E52" s="64"/>
    </row>
    <row r="53" spans="1:6" ht="13.5" x14ac:dyDescent="0.25">
      <c r="A53" s="127" t="s">
        <v>621</v>
      </c>
      <c r="B53" s="64" t="s">
        <v>672</v>
      </c>
      <c r="C53" s="237">
        <f t="shared" si="1"/>
        <v>1.8577012139061</v>
      </c>
      <c r="D53" s="64" t="s">
        <v>594</v>
      </c>
      <c r="E53" s="64"/>
    </row>
    <row r="54" spans="1:6" ht="13.5" x14ac:dyDescent="0.25">
      <c r="A54" s="127" t="s">
        <v>628</v>
      </c>
      <c r="B54" s="64" t="s">
        <v>673</v>
      </c>
      <c r="C54" s="237">
        <f t="shared" si="1"/>
        <v>1.8578248919506499</v>
      </c>
      <c r="D54" s="64" t="s">
        <v>594</v>
      </c>
      <c r="E54" s="64"/>
    </row>
    <row r="55" spans="1:6" ht="13.5" x14ac:dyDescent="0.25">
      <c r="A55" s="127" t="s">
        <v>578</v>
      </c>
      <c r="B55" s="64" t="s">
        <v>674</v>
      </c>
      <c r="C55" s="237">
        <f t="shared" si="1"/>
        <v>1.9419369370882182</v>
      </c>
      <c r="D55" s="64" t="s">
        <v>594</v>
      </c>
      <c r="E55" s="64"/>
    </row>
    <row r="56" spans="1:6" ht="13.5" x14ac:dyDescent="0.25">
      <c r="A56" s="127" t="s">
        <v>579</v>
      </c>
      <c r="B56" s="64" t="s">
        <v>675</v>
      </c>
      <c r="C56" s="237">
        <f t="shared" si="1"/>
        <v>2.7042352179143925</v>
      </c>
      <c r="D56" s="64" t="s">
        <v>594</v>
      </c>
      <c r="E56" s="64"/>
    </row>
    <row r="57" spans="1:6" x14ac:dyDescent="0.2">
      <c r="A57" s="127"/>
      <c r="B57" s="64"/>
      <c r="C57" s="237"/>
      <c r="D57" s="64"/>
      <c r="E57" s="64"/>
    </row>
    <row r="58" spans="1:6" x14ac:dyDescent="0.2">
      <c r="A58" s="151" t="s">
        <v>459</v>
      </c>
      <c r="B58" s="21"/>
      <c r="C58" s="73"/>
      <c r="D58" s="21"/>
      <c r="E58" s="73"/>
    </row>
    <row r="59" spans="1:6" ht="13.5" x14ac:dyDescent="0.2">
      <c r="A59" s="152" t="s">
        <v>587</v>
      </c>
      <c r="B59" s="64" t="s">
        <v>414</v>
      </c>
      <c r="C59" s="239">
        <v>0.78083999999999998</v>
      </c>
      <c r="D59" s="61" t="s">
        <v>588</v>
      </c>
      <c r="E59" s="74" t="s">
        <v>311</v>
      </c>
    </row>
    <row r="60" spans="1:6" ht="13.5" x14ac:dyDescent="0.2">
      <c r="A60" s="152" t="s">
        <v>589</v>
      </c>
      <c r="B60" s="64" t="s">
        <v>415</v>
      </c>
      <c r="C60" s="239">
        <v>0.20946999999999999</v>
      </c>
      <c r="D60" s="61" t="s">
        <v>588</v>
      </c>
      <c r="E60" s="74" t="s">
        <v>311</v>
      </c>
    </row>
    <row r="61" spans="1:6" x14ac:dyDescent="0.2">
      <c r="A61" s="152" t="s">
        <v>590</v>
      </c>
      <c r="B61" s="64" t="s">
        <v>416</v>
      </c>
      <c r="C61" s="239">
        <v>9.3399999999999993E-3</v>
      </c>
      <c r="D61" s="61" t="s">
        <v>588</v>
      </c>
      <c r="E61" s="74" t="s">
        <v>311</v>
      </c>
    </row>
    <row r="62" spans="1:6" ht="13.5" x14ac:dyDescent="0.2">
      <c r="A62" s="152" t="s">
        <v>591</v>
      </c>
      <c r="B62" s="64" t="s">
        <v>417</v>
      </c>
      <c r="C62" s="239">
        <v>3.3E-4</v>
      </c>
      <c r="D62" s="61" t="s">
        <v>588</v>
      </c>
      <c r="E62" s="74" t="s">
        <v>311</v>
      </c>
    </row>
    <row r="63" spans="1:6" x14ac:dyDescent="0.2">
      <c r="A63" s="152" t="s">
        <v>592</v>
      </c>
      <c r="B63" s="64" t="s">
        <v>418</v>
      </c>
      <c r="C63" s="240">
        <v>2.0000000000000002E-5</v>
      </c>
      <c r="D63" s="61" t="s">
        <v>588</v>
      </c>
      <c r="E63" s="74"/>
    </row>
    <row r="65" spans="1:6" x14ac:dyDescent="0.2">
      <c r="A65" s="151" t="s">
        <v>380</v>
      </c>
      <c r="B65" s="21"/>
      <c r="C65" s="73"/>
      <c r="D65" s="21"/>
      <c r="E65" s="73"/>
    </row>
    <row r="66" spans="1:6" ht="13.5" x14ac:dyDescent="0.2">
      <c r="A66" s="152" t="s">
        <v>623</v>
      </c>
      <c r="B66" s="64" t="s">
        <v>625</v>
      </c>
      <c r="C66" s="230">
        <v>21</v>
      </c>
      <c r="D66" s="60" t="s">
        <v>565</v>
      </c>
      <c r="E66" s="74" t="s">
        <v>352</v>
      </c>
      <c r="F66" s="60" t="s">
        <v>381</v>
      </c>
    </row>
    <row r="67" spans="1:6" ht="13.5" x14ac:dyDescent="0.2">
      <c r="A67" s="152" t="s">
        <v>628</v>
      </c>
      <c r="B67" s="64" t="s">
        <v>626</v>
      </c>
      <c r="C67" s="230">
        <v>310</v>
      </c>
      <c r="D67" s="60" t="s">
        <v>565</v>
      </c>
      <c r="E67" s="74" t="s">
        <v>352</v>
      </c>
    </row>
    <row r="68" spans="1:6" x14ac:dyDescent="0.2">
      <c r="A68" s="152" t="s">
        <v>382</v>
      </c>
      <c r="B68" s="64" t="s">
        <v>395</v>
      </c>
      <c r="C68" s="241">
        <v>11700</v>
      </c>
      <c r="D68" s="60" t="s">
        <v>565</v>
      </c>
      <c r="E68" s="74" t="s">
        <v>352</v>
      </c>
    </row>
    <row r="69" spans="1:6" x14ac:dyDescent="0.2">
      <c r="A69" s="152" t="s">
        <v>383</v>
      </c>
      <c r="B69" s="64" t="s">
        <v>310</v>
      </c>
      <c r="C69" s="241">
        <v>650</v>
      </c>
      <c r="D69" s="60" t="s">
        <v>565</v>
      </c>
      <c r="E69" s="74" t="s">
        <v>352</v>
      </c>
    </row>
    <row r="70" spans="1:6" x14ac:dyDescent="0.2">
      <c r="A70" s="152" t="s">
        <v>384</v>
      </c>
      <c r="B70" s="64" t="s">
        <v>397</v>
      </c>
      <c r="C70" s="241">
        <v>2800</v>
      </c>
      <c r="D70" s="60" t="s">
        <v>565</v>
      </c>
      <c r="E70" s="74" t="s">
        <v>352</v>
      </c>
    </row>
    <row r="71" spans="1:6" x14ac:dyDescent="0.2">
      <c r="A71" s="152" t="s">
        <v>385</v>
      </c>
      <c r="B71" s="64" t="s">
        <v>396</v>
      </c>
      <c r="C71" s="241">
        <v>1300</v>
      </c>
      <c r="D71" s="60" t="s">
        <v>565</v>
      </c>
      <c r="E71" s="74" t="s">
        <v>352</v>
      </c>
    </row>
    <row r="72" spans="1:6" x14ac:dyDescent="0.2">
      <c r="A72" s="152" t="s">
        <v>386</v>
      </c>
      <c r="B72" s="64" t="s">
        <v>301</v>
      </c>
      <c r="C72" s="241">
        <v>3800</v>
      </c>
      <c r="D72" s="60" t="s">
        <v>565</v>
      </c>
      <c r="E72" s="74" t="s">
        <v>352</v>
      </c>
    </row>
    <row r="73" spans="1:6" x14ac:dyDescent="0.2">
      <c r="A73" s="152" t="s">
        <v>387</v>
      </c>
      <c r="B73" s="64" t="s">
        <v>302</v>
      </c>
      <c r="C73" s="241">
        <v>140</v>
      </c>
      <c r="D73" s="60" t="s">
        <v>565</v>
      </c>
      <c r="E73" s="74" t="s">
        <v>352</v>
      </c>
    </row>
    <row r="74" spans="1:6" x14ac:dyDescent="0.2">
      <c r="A74" s="152" t="s">
        <v>388</v>
      </c>
      <c r="B74" s="64" t="s">
        <v>303</v>
      </c>
      <c r="C74" s="241">
        <v>2900</v>
      </c>
      <c r="D74" s="60" t="s">
        <v>565</v>
      </c>
      <c r="E74" s="74" t="s">
        <v>352</v>
      </c>
    </row>
    <row r="75" spans="1:6" x14ac:dyDescent="0.2">
      <c r="A75" s="152" t="s">
        <v>389</v>
      </c>
      <c r="B75" s="64" t="s">
        <v>304</v>
      </c>
      <c r="C75" s="241">
        <v>6300</v>
      </c>
      <c r="D75" s="60" t="s">
        <v>565</v>
      </c>
      <c r="E75" s="74" t="s">
        <v>352</v>
      </c>
    </row>
    <row r="76" spans="1:6" x14ac:dyDescent="0.2">
      <c r="A76" s="152" t="s">
        <v>390</v>
      </c>
      <c r="B76" s="64" t="s">
        <v>305</v>
      </c>
      <c r="C76" s="241">
        <v>560</v>
      </c>
      <c r="D76" s="60" t="s">
        <v>565</v>
      </c>
      <c r="E76" s="74" t="s">
        <v>352</v>
      </c>
    </row>
    <row r="77" spans="1:6" x14ac:dyDescent="0.2">
      <c r="A77" s="152" t="s">
        <v>391</v>
      </c>
      <c r="B77" s="64" t="s">
        <v>306</v>
      </c>
      <c r="C77" s="241">
        <v>9200</v>
      </c>
      <c r="D77" s="60" t="s">
        <v>565</v>
      </c>
      <c r="E77" s="74" t="s">
        <v>352</v>
      </c>
    </row>
    <row r="78" spans="1:6" x14ac:dyDescent="0.2">
      <c r="A78" s="152" t="s">
        <v>392</v>
      </c>
      <c r="B78" s="64" t="s">
        <v>307</v>
      </c>
      <c r="C78" s="241">
        <v>7000</v>
      </c>
      <c r="D78" s="60" t="s">
        <v>565</v>
      </c>
      <c r="E78" s="74" t="s">
        <v>352</v>
      </c>
    </row>
    <row r="79" spans="1:6" x14ac:dyDescent="0.2">
      <c r="A79" s="152" t="s">
        <v>393</v>
      </c>
      <c r="B79" s="64" t="s">
        <v>308</v>
      </c>
      <c r="C79" s="241">
        <v>7000</v>
      </c>
      <c r="D79" s="60" t="s">
        <v>565</v>
      </c>
      <c r="E79" s="74" t="s">
        <v>352</v>
      </c>
    </row>
    <row r="80" spans="1:6" x14ac:dyDescent="0.2">
      <c r="A80" s="152" t="s">
        <v>394</v>
      </c>
      <c r="B80" s="64" t="s">
        <v>309</v>
      </c>
      <c r="C80" s="241">
        <v>23900</v>
      </c>
      <c r="D80" s="60" t="s">
        <v>565</v>
      </c>
      <c r="E80" s="74" t="s">
        <v>352</v>
      </c>
    </row>
    <row r="81" spans="1:6" x14ac:dyDescent="0.2">
      <c r="A81" s="152"/>
      <c r="B81" s="64"/>
      <c r="C81" s="241"/>
      <c r="D81" s="60"/>
      <c r="E81" s="74"/>
    </row>
    <row r="82" spans="1:6" x14ac:dyDescent="0.2">
      <c r="A82" s="156" t="s">
        <v>180</v>
      </c>
      <c r="B82" s="156"/>
      <c r="C82" s="156"/>
      <c r="D82" s="156"/>
      <c r="E82" s="156"/>
      <c r="F82" s="156"/>
    </row>
    <row r="83" spans="1:6" x14ac:dyDescent="0.2">
      <c r="A83" s="146">
        <v>2005</v>
      </c>
      <c r="B83" s="64" t="s">
        <v>178</v>
      </c>
      <c r="C83" s="244">
        <v>20564860</v>
      </c>
      <c r="D83" s="478" t="s">
        <v>769</v>
      </c>
      <c r="E83" s="243" t="s">
        <v>209</v>
      </c>
      <c r="F83" t="s">
        <v>1076</v>
      </c>
    </row>
    <row r="84" spans="1:6" x14ac:dyDescent="0.2">
      <c r="A84" s="146">
        <v>2008</v>
      </c>
      <c r="B84" s="64" t="s">
        <v>179</v>
      </c>
      <c r="C84" s="244">
        <v>19977215</v>
      </c>
      <c r="D84" s="478" t="s">
        <v>769</v>
      </c>
      <c r="E84" s="243" t="s">
        <v>209</v>
      </c>
      <c r="F84" t="s">
        <v>1076</v>
      </c>
    </row>
    <row r="85" spans="1:6" x14ac:dyDescent="0.2">
      <c r="A85" s="146">
        <v>2014</v>
      </c>
      <c r="B85" s="1838" t="s">
        <v>1849</v>
      </c>
      <c r="C85" s="531">
        <v>22362104</v>
      </c>
      <c r="D85" s="478" t="s">
        <v>769</v>
      </c>
      <c r="E85" s="531" t="s">
        <v>1806</v>
      </c>
    </row>
    <row r="86" spans="1:6" x14ac:dyDescent="0.2">
      <c r="A86" s="146">
        <v>2015</v>
      </c>
      <c r="B86" s="1838" t="s">
        <v>1848</v>
      </c>
      <c r="C86" s="531">
        <v>22600000</v>
      </c>
      <c r="D86" s="478" t="s">
        <v>769</v>
      </c>
      <c r="E86" s="531" t="s">
        <v>1807</v>
      </c>
    </row>
    <row r="87" spans="1:6" x14ac:dyDescent="0.2">
      <c r="A87" s="146"/>
      <c r="B87" s="64"/>
      <c r="D87" s="60"/>
      <c r="E87" s="243"/>
    </row>
    <row r="88" spans="1:6" x14ac:dyDescent="0.2">
      <c r="A88" s="156" t="s">
        <v>257</v>
      </c>
      <c r="B88" s="156"/>
      <c r="C88" s="156"/>
      <c r="D88" s="156"/>
      <c r="E88" s="156"/>
      <c r="F88" s="156"/>
    </row>
    <row r="89" spans="1:6" x14ac:dyDescent="0.2">
      <c r="A89" s="198" t="s">
        <v>258</v>
      </c>
      <c r="B89" s="245"/>
      <c r="C89" s="245"/>
      <c r="D89" s="245"/>
      <c r="E89" s="245"/>
      <c r="F89" s="245"/>
    </row>
    <row r="90" spans="1:6" x14ac:dyDescent="0.2">
      <c r="A90" s="246" t="s">
        <v>596</v>
      </c>
      <c r="B90" s="198" t="s">
        <v>194</v>
      </c>
      <c r="C90" s="92">
        <v>1345</v>
      </c>
      <c r="D90" s="198" t="s">
        <v>198</v>
      </c>
      <c r="E90" s="198" t="s">
        <v>209</v>
      </c>
      <c r="F90" t="s">
        <v>1843</v>
      </c>
    </row>
    <row r="91" spans="1:6" x14ac:dyDescent="0.2">
      <c r="A91" s="145">
        <v>2008</v>
      </c>
      <c r="B91" s="198" t="s">
        <v>195</v>
      </c>
      <c r="C91" s="92">
        <v>1226</v>
      </c>
      <c r="D91" s="198" t="s">
        <v>198</v>
      </c>
      <c r="E91" s="243" t="s">
        <v>209</v>
      </c>
      <c r="F91" t="s">
        <v>1843</v>
      </c>
    </row>
    <row r="92" spans="1:6" x14ac:dyDescent="0.2">
      <c r="A92" s="145">
        <v>2015</v>
      </c>
      <c r="B92" s="873" t="s">
        <v>1845</v>
      </c>
      <c r="C92" s="531">
        <v>2339</v>
      </c>
      <c r="D92" s="198"/>
      <c r="E92" s="531" t="s">
        <v>1800</v>
      </c>
    </row>
    <row r="93" spans="1:6" x14ac:dyDescent="0.2">
      <c r="A93" s="146" t="s">
        <v>146</v>
      </c>
      <c r="B93" s="64"/>
      <c r="D93" s="60"/>
    </row>
    <row r="94" spans="1:6" x14ac:dyDescent="0.2">
      <c r="A94" s="145">
        <v>2005</v>
      </c>
      <c r="B94" s="64" t="s">
        <v>197</v>
      </c>
      <c r="C94" s="92">
        <v>167</v>
      </c>
      <c r="D94" s="198" t="s">
        <v>198</v>
      </c>
      <c r="E94" s="243" t="s">
        <v>208</v>
      </c>
      <c r="F94" t="s">
        <v>1843</v>
      </c>
    </row>
    <row r="95" spans="1:6" x14ac:dyDescent="0.2">
      <c r="A95" s="247">
        <v>2008</v>
      </c>
      <c r="B95" s="60" t="s">
        <v>196</v>
      </c>
      <c r="C95" s="92">
        <v>209</v>
      </c>
      <c r="D95" s="198" t="s">
        <v>198</v>
      </c>
      <c r="E95" s="243" t="s">
        <v>208</v>
      </c>
      <c r="F95" t="s">
        <v>1843</v>
      </c>
    </row>
    <row r="96" spans="1:6" x14ac:dyDescent="0.2">
      <c r="A96" s="247">
        <v>2015</v>
      </c>
      <c r="B96" s="412" t="s">
        <v>1844</v>
      </c>
      <c r="C96" s="531">
        <v>192</v>
      </c>
      <c r="D96" s="198" t="s">
        <v>198</v>
      </c>
      <c r="E96" s="531" t="s">
        <v>1803</v>
      </c>
    </row>
    <row r="97" spans="1:14" x14ac:dyDescent="0.2">
      <c r="A97" s="146" t="s">
        <v>141</v>
      </c>
      <c r="B97" s="60"/>
      <c r="C97" s="92"/>
      <c r="D97" s="198"/>
      <c r="E97" s="243"/>
    </row>
    <row r="98" spans="1:14" x14ac:dyDescent="0.2">
      <c r="A98" s="145">
        <v>2005</v>
      </c>
      <c r="B98" s="60" t="s">
        <v>142</v>
      </c>
      <c r="C98" s="92">
        <v>31</v>
      </c>
      <c r="D98" s="198" t="s">
        <v>198</v>
      </c>
      <c r="E98" s="243" t="s">
        <v>144</v>
      </c>
      <c r="F98" t="s">
        <v>1843</v>
      </c>
    </row>
    <row r="99" spans="1:14" x14ac:dyDescent="0.2">
      <c r="A99" s="145">
        <v>2008</v>
      </c>
      <c r="B99" s="60" t="s">
        <v>143</v>
      </c>
      <c r="C99" s="92">
        <v>108</v>
      </c>
      <c r="D99" s="198" t="s">
        <v>198</v>
      </c>
      <c r="E99" s="1836" t="s">
        <v>144</v>
      </c>
      <c r="F99" t="s">
        <v>1843</v>
      </c>
    </row>
    <row r="100" spans="1:14" x14ac:dyDescent="0.2">
      <c r="A100" s="247">
        <v>2015</v>
      </c>
      <c r="B100" s="412" t="s">
        <v>1846</v>
      </c>
      <c r="C100" s="1837">
        <f>shorepow05*(C96/cruisecalls05)</f>
        <v>35.640718562874248</v>
      </c>
      <c r="D100" s="198" t="s">
        <v>198</v>
      </c>
      <c r="F100" t="s">
        <v>1847</v>
      </c>
    </row>
    <row r="101" spans="1:14" s="5" customFormat="1" ht="12.75" thickBot="1" x14ac:dyDescent="0.25">
      <c r="A101" s="156" t="s">
        <v>293</v>
      </c>
      <c r="B101" s="129"/>
      <c r="C101" s="12"/>
      <c r="D101" s="12"/>
      <c r="E101" s="12"/>
      <c r="F101"/>
      <c r="G101"/>
      <c r="H101" s="2350"/>
    </row>
    <row r="102" spans="1:14" ht="12.75" thickTop="1" x14ac:dyDescent="0.2">
      <c r="A102" s="163" t="s">
        <v>294</v>
      </c>
      <c r="B102" s="64"/>
      <c r="C102" s="241"/>
      <c r="D102" s="60"/>
      <c r="E102" s="74"/>
      <c r="H102" s="433"/>
      <c r="I102" s="433">
        <v>2003</v>
      </c>
      <c r="J102" s="433">
        <v>2008</v>
      </c>
      <c r="K102" s="433">
        <v>2011</v>
      </c>
      <c r="L102" s="433">
        <v>2014</v>
      </c>
      <c r="M102" s="433">
        <v>2015</v>
      </c>
    </row>
    <row r="103" spans="1:14" s="5" customFormat="1" x14ac:dyDescent="0.2">
      <c r="A103" s="164" t="s">
        <v>517</v>
      </c>
      <c r="B103" s="130" t="s">
        <v>1388</v>
      </c>
      <c r="C103" s="142">
        <v>516259</v>
      </c>
      <c r="D103" s="67" t="s">
        <v>271</v>
      </c>
      <c r="E103" s="158" t="s">
        <v>270</v>
      </c>
      <c r="F103"/>
      <c r="G103"/>
      <c r="H103" s="510" t="s">
        <v>853</v>
      </c>
      <c r="I103" s="502"/>
      <c r="J103" s="502"/>
      <c r="K103" s="502"/>
      <c r="L103" s="502"/>
      <c r="M103" s="502"/>
    </row>
    <row r="104" spans="1:14" s="5" customFormat="1" x14ac:dyDescent="0.2">
      <c r="A104" s="164" t="s">
        <v>595</v>
      </c>
      <c r="B104" s="130" t="s">
        <v>1389</v>
      </c>
      <c r="C104" s="142">
        <v>564092</v>
      </c>
      <c r="D104" s="67" t="s">
        <v>271</v>
      </c>
      <c r="E104" s="158" t="s">
        <v>1870</v>
      </c>
      <c r="F104"/>
      <c r="G104"/>
      <c r="H104" s="513" t="s">
        <v>850</v>
      </c>
      <c r="I104" s="502">
        <f>popKC03</f>
        <v>1769753</v>
      </c>
      <c r="J104" s="502">
        <f>popKC08</f>
        <v>1884242</v>
      </c>
      <c r="K104" s="502">
        <v>1942600</v>
      </c>
      <c r="L104" s="502">
        <v>2017250</v>
      </c>
      <c r="M104" s="502">
        <v>2052800</v>
      </c>
      <c r="N104" s="5" t="s">
        <v>1652</v>
      </c>
    </row>
    <row r="105" spans="1:14" s="5" customFormat="1" x14ac:dyDescent="0.2">
      <c r="A105" s="164" t="s">
        <v>857</v>
      </c>
      <c r="B105" s="130" t="s">
        <v>2023</v>
      </c>
      <c r="C105" s="142">
        <v>570789</v>
      </c>
      <c r="D105" s="67" t="s">
        <v>271</v>
      </c>
      <c r="E105" s="158" t="s">
        <v>1870</v>
      </c>
      <c r="F105"/>
      <c r="G105"/>
      <c r="H105" s="513"/>
      <c r="I105" s="502"/>
      <c r="J105" s="502"/>
      <c r="K105" s="502"/>
      <c r="L105" s="502"/>
      <c r="M105" s="502"/>
    </row>
    <row r="106" spans="1:14" s="5" customFormat="1" x14ac:dyDescent="0.2">
      <c r="A106" s="164" t="s">
        <v>596</v>
      </c>
      <c r="B106" s="130" t="s">
        <v>1390</v>
      </c>
      <c r="C106" s="142">
        <v>575036</v>
      </c>
      <c r="D106" s="67" t="s">
        <v>271</v>
      </c>
      <c r="E106" s="158" t="s">
        <v>1870</v>
      </c>
      <c r="F106"/>
      <c r="G106"/>
      <c r="H106" s="513" t="s">
        <v>851</v>
      </c>
      <c r="I106" s="502">
        <f>empComKC03</f>
        <v>926409</v>
      </c>
      <c r="J106" s="502">
        <f>empComKC08</f>
        <v>860583</v>
      </c>
      <c r="K106" s="502"/>
      <c r="L106" s="502"/>
      <c r="M106" s="502"/>
    </row>
    <row r="107" spans="1:14" s="5" customFormat="1" ht="12.75" x14ac:dyDescent="0.2">
      <c r="A107" s="223" t="s">
        <v>205</v>
      </c>
      <c r="B107" s="226" t="s">
        <v>1391</v>
      </c>
      <c r="C107" s="1260">
        <v>602934</v>
      </c>
      <c r="D107" s="224" t="s">
        <v>271</v>
      </c>
      <c r="E107" s="158" t="s">
        <v>1870</v>
      </c>
      <c r="F107"/>
      <c r="G107"/>
      <c r="H107" s="513" t="s">
        <v>852</v>
      </c>
      <c r="I107" s="502">
        <f>empIndKC03</f>
        <v>104316</v>
      </c>
      <c r="J107" s="502">
        <f>empIndKC08</f>
        <v>223167</v>
      </c>
      <c r="K107" s="502"/>
      <c r="L107" s="502"/>
      <c r="M107" s="502"/>
    </row>
    <row r="108" spans="1:14" s="5" customFormat="1" ht="12.75" x14ac:dyDescent="0.2">
      <c r="A108" s="774" t="s">
        <v>1535</v>
      </c>
      <c r="B108" s="226" t="s">
        <v>1850</v>
      </c>
      <c r="C108" s="1260">
        <v>662400</v>
      </c>
      <c r="D108" s="224" t="s">
        <v>271</v>
      </c>
      <c r="E108" s="158" t="s">
        <v>1855</v>
      </c>
      <c r="F108"/>
      <c r="G108"/>
      <c r="H108" s="513"/>
      <c r="I108" s="502"/>
      <c r="J108" s="502"/>
      <c r="K108" s="502"/>
      <c r="L108" s="502"/>
      <c r="M108" s="502"/>
    </row>
    <row r="109" spans="1:14" s="5" customFormat="1" ht="12.75" x14ac:dyDescent="0.2">
      <c r="A109" s="774"/>
      <c r="B109" s="226"/>
      <c r="C109" s="1260"/>
      <c r="D109" s="224"/>
      <c r="E109" s="158"/>
      <c r="F109"/>
      <c r="G109"/>
      <c r="H109" s="513"/>
      <c r="I109" s="502"/>
      <c r="J109" s="502"/>
      <c r="K109" s="502"/>
      <c r="L109" s="502"/>
      <c r="M109" s="502"/>
    </row>
    <row r="110" spans="1:14" s="5" customFormat="1" x14ac:dyDescent="0.2">
      <c r="A110" s="157"/>
      <c r="B110" s="130"/>
      <c r="C110" s="142"/>
      <c r="D110" s="67"/>
      <c r="E110" s="158"/>
      <c r="F110"/>
      <c r="G110"/>
      <c r="H110" s="510" t="s">
        <v>286</v>
      </c>
      <c r="I110" s="502"/>
      <c r="J110" s="502"/>
      <c r="K110" s="502"/>
      <c r="L110" s="502"/>
      <c r="M110" s="502"/>
    </row>
    <row r="111" spans="1:14" s="5" customFormat="1" x14ac:dyDescent="0.2">
      <c r="A111" s="157"/>
      <c r="B111" s="130"/>
      <c r="C111" s="142"/>
      <c r="D111" s="67"/>
      <c r="E111" s="158"/>
      <c r="F111"/>
      <c r="G111"/>
      <c r="H111" s="513" t="s">
        <v>850</v>
      </c>
      <c r="I111" s="502">
        <f>popWA03</f>
        <v>6113262</v>
      </c>
      <c r="J111" s="502">
        <f>popWA08</f>
        <v>6566073</v>
      </c>
      <c r="K111" s="502">
        <v>6767900</v>
      </c>
      <c r="L111" s="502">
        <v>6968170</v>
      </c>
      <c r="M111" s="502">
        <v>7183700</v>
      </c>
    </row>
    <row r="112" spans="1:14" s="5" customFormat="1" x14ac:dyDescent="0.2">
      <c r="A112" s="272"/>
      <c r="B112" s="187"/>
      <c r="C112" s="242"/>
      <c r="D112" s="224"/>
      <c r="E112" s="225"/>
      <c r="F112"/>
      <c r="G112"/>
      <c r="H112" s="513" t="s">
        <v>851</v>
      </c>
      <c r="I112" s="502">
        <f>empComWA03</f>
        <v>2180230</v>
      </c>
      <c r="J112" s="502">
        <f>empComWA08</f>
        <v>1921999</v>
      </c>
      <c r="K112" s="502"/>
      <c r="L112" s="502"/>
      <c r="M112" s="502"/>
    </row>
    <row r="113" spans="1:13" s="5" customFormat="1" ht="12.75" thickBot="1" x14ac:dyDescent="0.25">
      <c r="A113" s="272"/>
      <c r="B113" s="187"/>
      <c r="C113" s="242"/>
      <c r="D113" s="224"/>
      <c r="E113" s="225"/>
      <c r="F113"/>
      <c r="G113"/>
      <c r="H113" s="1129" t="s">
        <v>852</v>
      </c>
      <c r="I113" s="567">
        <f>empIndWA03</f>
        <v>283569</v>
      </c>
      <c r="J113" s="568">
        <f>empIndWA08</f>
        <v>600388</v>
      </c>
      <c r="K113" s="567"/>
      <c r="L113" s="568"/>
      <c r="M113" s="568"/>
    </row>
    <row r="114" spans="1:13" s="5" customFormat="1" ht="12.75" thickTop="1" x14ac:dyDescent="0.2">
      <c r="A114" s="157" t="s">
        <v>295</v>
      </c>
      <c r="B114" s="130"/>
      <c r="C114" s="142"/>
      <c r="D114" s="67"/>
      <c r="E114" s="158"/>
      <c r="F114"/>
      <c r="G114"/>
      <c r="H114"/>
    </row>
    <row r="115" spans="1:13" s="5" customFormat="1" x14ac:dyDescent="0.2">
      <c r="A115" s="164" t="s">
        <v>595</v>
      </c>
      <c r="B115" s="130" t="s">
        <v>296</v>
      </c>
      <c r="C115" s="142">
        <v>1739277</v>
      </c>
      <c r="D115" s="67" t="s">
        <v>271</v>
      </c>
      <c r="E115" s="158" t="s">
        <v>1869</v>
      </c>
      <c r="F115"/>
      <c r="G115"/>
      <c r="H115"/>
    </row>
    <row r="116" spans="1:13" s="5" customFormat="1" x14ac:dyDescent="0.2">
      <c r="A116" s="164" t="s">
        <v>935</v>
      </c>
      <c r="B116" s="226" t="s">
        <v>1379</v>
      </c>
      <c r="C116" s="142">
        <v>1756988</v>
      </c>
      <c r="D116" s="67" t="s">
        <v>271</v>
      </c>
      <c r="E116" s="158" t="s">
        <v>1869</v>
      </c>
      <c r="F116"/>
      <c r="G116"/>
      <c r="H116"/>
    </row>
    <row r="117" spans="1:13" s="5" customFormat="1" x14ac:dyDescent="0.2">
      <c r="A117" s="164" t="s">
        <v>936</v>
      </c>
      <c r="B117" s="187" t="s">
        <v>1380</v>
      </c>
      <c r="C117" s="142">
        <v>1763669</v>
      </c>
      <c r="D117" s="67" t="s">
        <v>271</v>
      </c>
      <c r="E117" s="158" t="s">
        <v>1869</v>
      </c>
      <c r="F117"/>
      <c r="G117"/>
      <c r="H117"/>
    </row>
    <row r="118" spans="1:13" s="5" customFormat="1" x14ac:dyDescent="0.2">
      <c r="A118" s="164" t="s">
        <v>857</v>
      </c>
      <c r="B118" s="226" t="s">
        <v>1072</v>
      </c>
      <c r="C118" s="142">
        <v>1769753</v>
      </c>
      <c r="D118" s="67" t="s">
        <v>271</v>
      </c>
      <c r="E118" s="158" t="s">
        <v>1869</v>
      </c>
      <c r="F118"/>
      <c r="G118"/>
      <c r="H118"/>
    </row>
    <row r="119" spans="1:13" s="5" customFormat="1" x14ac:dyDescent="0.2">
      <c r="A119" s="164" t="s">
        <v>937</v>
      </c>
      <c r="B119" s="226" t="s">
        <v>1182</v>
      </c>
      <c r="C119" s="142">
        <v>1782942</v>
      </c>
      <c r="D119" s="67" t="s">
        <v>271</v>
      </c>
      <c r="E119" s="158" t="s">
        <v>1869</v>
      </c>
      <c r="F119"/>
      <c r="G119"/>
      <c r="H119"/>
    </row>
    <row r="120" spans="1:13" s="5" customFormat="1" x14ac:dyDescent="0.2">
      <c r="A120" s="164" t="s">
        <v>596</v>
      </c>
      <c r="B120" s="187" t="s">
        <v>297</v>
      </c>
      <c r="C120" s="142">
        <v>1803691</v>
      </c>
      <c r="D120" s="67" t="s">
        <v>271</v>
      </c>
      <c r="E120" s="158" t="s">
        <v>1869</v>
      </c>
      <c r="F120"/>
      <c r="G120"/>
      <c r="H120"/>
    </row>
    <row r="121" spans="1:13" s="5" customFormat="1" x14ac:dyDescent="0.2">
      <c r="A121" s="164" t="s">
        <v>938</v>
      </c>
      <c r="B121" s="226" t="s">
        <v>1381</v>
      </c>
      <c r="C121" s="142">
        <v>1832059</v>
      </c>
      <c r="D121" s="67" t="s">
        <v>271</v>
      </c>
      <c r="E121" s="158" t="s">
        <v>1869</v>
      </c>
      <c r="F121"/>
      <c r="G121"/>
      <c r="H121"/>
    </row>
    <row r="122" spans="1:13" s="1259" customFormat="1" x14ac:dyDescent="0.2">
      <c r="A122" s="774" t="s">
        <v>939</v>
      </c>
      <c r="B122" s="226" t="s">
        <v>1378</v>
      </c>
      <c r="C122" s="142">
        <v>1857506</v>
      </c>
      <c r="D122" s="67" t="s">
        <v>271</v>
      </c>
      <c r="E122" s="158" t="s">
        <v>1869</v>
      </c>
      <c r="F122" s="1258"/>
      <c r="G122" s="1258"/>
      <c r="H122" s="1258"/>
    </row>
    <row r="123" spans="1:13" s="5" customFormat="1" x14ac:dyDescent="0.2">
      <c r="A123" s="223" t="s">
        <v>205</v>
      </c>
      <c r="B123" s="187" t="s">
        <v>164</v>
      </c>
      <c r="C123" s="142">
        <v>1884242</v>
      </c>
      <c r="D123" s="67" t="s">
        <v>271</v>
      </c>
      <c r="E123" s="158" t="s">
        <v>1869</v>
      </c>
      <c r="F123"/>
      <c r="G123"/>
      <c r="H123"/>
    </row>
    <row r="124" spans="1:13" s="5" customFormat="1" x14ac:dyDescent="0.2">
      <c r="A124" s="774" t="s">
        <v>1369</v>
      </c>
      <c r="B124" s="226" t="s">
        <v>1382</v>
      </c>
      <c r="C124" s="142">
        <v>1916441</v>
      </c>
      <c r="D124" s="224" t="s">
        <v>271</v>
      </c>
      <c r="E124" s="158" t="s">
        <v>1869</v>
      </c>
      <c r="F124"/>
      <c r="G124"/>
      <c r="H124"/>
    </row>
    <row r="125" spans="1:13" s="5" customFormat="1" x14ac:dyDescent="0.2">
      <c r="A125" s="774" t="s">
        <v>1401</v>
      </c>
      <c r="B125" s="226" t="s">
        <v>1402</v>
      </c>
      <c r="C125" s="104">
        <v>1937961</v>
      </c>
      <c r="D125" s="224" t="s">
        <v>271</v>
      </c>
      <c r="E125" s="158" t="s">
        <v>1869</v>
      </c>
      <c r="F125"/>
      <c r="G125"/>
      <c r="H125"/>
    </row>
    <row r="126" spans="1:13" s="5" customFormat="1" x14ac:dyDescent="0.2">
      <c r="A126" s="774" t="s">
        <v>1410</v>
      </c>
      <c r="B126" s="226" t="s">
        <v>1411</v>
      </c>
      <c r="C126" s="104">
        <v>1942600</v>
      </c>
      <c r="D126" s="224" t="s">
        <v>271</v>
      </c>
      <c r="E126" s="158" t="s">
        <v>1652</v>
      </c>
      <c r="F126"/>
      <c r="G126"/>
      <c r="H126"/>
    </row>
    <row r="127" spans="1:13" s="5" customFormat="1" x14ac:dyDescent="0.2">
      <c r="A127" s="774" t="s">
        <v>1562</v>
      </c>
      <c r="B127" s="226" t="s">
        <v>1851</v>
      </c>
      <c r="C127" s="104">
        <v>1957000</v>
      </c>
      <c r="D127" s="224" t="s">
        <v>271</v>
      </c>
      <c r="E127" s="158" t="s">
        <v>1652</v>
      </c>
      <c r="F127"/>
      <c r="G127"/>
      <c r="H127"/>
    </row>
    <row r="128" spans="1:13" s="5" customFormat="1" x14ac:dyDescent="0.2">
      <c r="A128" s="774" t="s">
        <v>1561</v>
      </c>
      <c r="B128" s="226" t="s">
        <v>1852</v>
      </c>
      <c r="C128" s="104">
        <v>1981900</v>
      </c>
      <c r="D128" s="224" t="s">
        <v>271</v>
      </c>
      <c r="E128" s="158" t="s">
        <v>1652</v>
      </c>
      <c r="F128"/>
      <c r="G128"/>
      <c r="H128"/>
    </row>
    <row r="129" spans="1:8" s="5" customFormat="1" x14ac:dyDescent="0.2">
      <c r="A129" s="774" t="s">
        <v>1560</v>
      </c>
      <c r="B129" s="226" t="s">
        <v>1853</v>
      </c>
      <c r="C129" s="104">
        <v>2017250</v>
      </c>
      <c r="D129" s="224" t="s">
        <v>271</v>
      </c>
      <c r="E129" s="158" t="s">
        <v>1652</v>
      </c>
      <c r="F129"/>
      <c r="G129"/>
      <c r="H129"/>
    </row>
    <row r="130" spans="1:8" s="5" customFormat="1" x14ac:dyDescent="0.2">
      <c r="A130" s="774" t="s">
        <v>1535</v>
      </c>
      <c r="B130" s="226" t="s">
        <v>1854</v>
      </c>
      <c r="C130" s="104">
        <v>2052800</v>
      </c>
      <c r="D130" s="224" t="s">
        <v>271</v>
      </c>
      <c r="E130" s="158" t="s">
        <v>1652</v>
      </c>
      <c r="F130"/>
      <c r="G130"/>
      <c r="H130"/>
    </row>
    <row r="131" spans="1:8" s="5" customFormat="1" x14ac:dyDescent="0.2">
      <c r="A131" s="774"/>
      <c r="B131" s="226"/>
      <c r="C131" s="91"/>
      <c r="D131" s="224"/>
      <c r="E131"/>
      <c r="F131"/>
      <c r="G131"/>
      <c r="H131"/>
    </row>
    <row r="132" spans="1:8" s="5" customFormat="1" x14ac:dyDescent="0.2">
      <c r="A132" s="164" t="s">
        <v>1372</v>
      </c>
      <c r="B132" s="130" t="s">
        <v>1373</v>
      </c>
      <c r="C132" s="142">
        <v>926409</v>
      </c>
      <c r="D132" s="67" t="s">
        <v>271</v>
      </c>
      <c r="E132" s="590" t="s">
        <v>1857</v>
      </c>
      <c r="F132" s="60"/>
      <c r="G132"/>
      <c r="H132"/>
    </row>
    <row r="133" spans="1:8" s="5" customFormat="1" x14ac:dyDescent="0.2">
      <c r="A133" s="164" t="s">
        <v>1375</v>
      </c>
      <c r="B133" s="130" t="s">
        <v>1374</v>
      </c>
      <c r="C133" s="142">
        <v>104316</v>
      </c>
      <c r="D133" s="67" t="s">
        <v>271</v>
      </c>
      <c r="E133" s="590" t="s">
        <v>1857</v>
      </c>
      <c r="F133"/>
      <c r="G133"/>
      <c r="H133"/>
    </row>
    <row r="134" spans="1:8" s="5" customFormat="1" x14ac:dyDescent="0.2">
      <c r="A134" s="223" t="s">
        <v>165</v>
      </c>
      <c r="B134" s="187" t="s">
        <v>122</v>
      </c>
      <c r="C134" s="375">
        <v>860583</v>
      </c>
      <c r="D134" s="224" t="s">
        <v>271</v>
      </c>
      <c r="E134" s="590" t="s">
        <v>1872</v>
      </c>
      <c r="F134" s="242"/>
      <c r="G134"/>
      <c r="H134"/>
    </row>
    <row r="135" spans="1:8" s="5" customFormat="1" x14ac:dyDescent="0.2">
      <c r="A135" s="223" t="s">
        <v>166</v>
      </c>
      <c r="B135" s="187" t="s">
        <v>175</v>
      </c>
      <c r="C135" s="241">
        <v>223167</v>
      </c>
      <c r="D135" s="224" t="s">
        <v>271</v>
      </c>
      <c r="E135" s="590" t="s">
        <v>1872</v>
      </c>
      <c r="F135"/>
      <c r="G135"/>
      <c r="H135"/>
    </row>
    <row r="136" spans="1:8" s="5" customFormat="1" x14ac:dyDescent="0.2">
      <c r="A136" s="774" t="s">
        <v>1479</v>
      </c>
      <c r="B136" s="226" t="s">
        <v>1481</v>
      </c>
      <c r="C136" s="241">
        <v>969702</v>
      </c>
      <c r="D136" s="224" t="s">
        <v>271</v>
      </c>
      <c r="E136" s="590" t="s">
        <v>1857</v>
      </c>
      <c r="F136"/>
      <c r="G136"/>
      <c r="H136"/>
    </row>
    <row r="137" spans="1:8" s="5" customFormat="1" x14ac:dyDescent="0.2">
      <c r="A137" s="774" t="s">
        <v>1480</v>
      </c>
      <c r="B137" s="226" t="s">
        <v>1482</v>
      </c>
      <c r="C137" s="241">
        <v>2180230</v>
      </c>
      <c r="D137" s="224" t="s">
        <v>271</v>
      </c>
      <c r="E137" s="590" t="s">
        <v>1857</v>
      </c>
      <c r="F137"/>
      <c r="G137"/>
      <c r="H137"/>
    </row>
    <row r="138" spans="1:8" s="5" customFormat="1" x14ac:dyDescent="0.2">
      <c r="A138" s="576" t="s">
        <v>2041</v>
      </c>
      <c r="B138" s="226" t="s">
        <v>2043</v>
      </c>
      <c r="C138" s="643">
        <v>211235</v>
      </c>
      <c r="D138" s="67" t="s">
        <v>271</v>
      </c>
      <c r="E138" s="158" t="s">
        <v>1872</v>
      </c>
      <c r="F138"/>
      <c r="G138"/>
      <c r="H138"/>
    </row>
    <row r="139" spans="1:8" s="5" customFormat="1" x14ac:dyDescent="0.2">
      <c r="A139" s="576" t="s">
        <v>2042</v>
      </c>
      <c r="B139" s="226" t="s">
        <v>2044</v>
      </c>
      <c r="C139" s="643">
        <v>920750</v>
      </c>
      <c r="D139" s="67" t="s">
        <v>271</v>
      </c>
      <c r="E139" s="158" t="s">
        <v>1871</v>
      </c>
      <c r="F139"/>
      <c r="G139"/>
      <c r="H139"/>
    </row>
    <row r="140" spans="1:8" s="5" customFormat="1" x14ac:dyDescent="0.2">
      <c r="A140" s="157" t="s">
        <v>286</v>
      </c>
      <c r="B140" s="130"/>
      <c r="C140" s="142"/>
      <c r="D140" s="67"/>
      <c r="E140" s="590"/>
      <c r="F140"/>
      <c r="G140"/>
      <c r="H140"/>
    </row>
    <row r="141" spans="1:8" s="5" customFormat="1" x14ac:dyDescent="0.2">
      <c r="A141" s="164" t="s">
        <v>1372</v>
      </c>
      <c r="B141" s="130" t="s">
        <v>1376</v>
      </c>
      <c r="C141" s="142">
        <v>2180230</v>
      </c>
      <c r="D141" s="67" t="s">
        <v>271</v>
      </c>
      <c r="E141" s="590" t="s">
        <v>1856</v>
      </c>
      <c r="F141"/>
      <c r="G141"/>
      <c r="H141"/>
    </row>
    <row r="142" spans="1:8" s="5" customFormat="1" x14ac:dyDescent="0.2">
      <c r="A142" s="164" t="s">
        <v>1375</v>
      </c>
      <c r="B142" s="130" t="s">
        <v>1377</v>
      </c>
      <c r="C142" s="142">
        <v>283569</v>
      </c>
      <c r="D142" s="67" t="s">
        <v>271</v>
      </c>
      <c r="E142" s="590" t="s">
        <v>1856</v>
      </c>
      <c r="F142"/>
      <c r="G142"/>
      <c r="H142"/>
    </row>
    <row r="143" spans="1:8" s="5" customFormat="1" x14ac:dyDescent="0.2">
      <c r="A143" s="223" t="s">
        <v>165</v>
      </c>
      <c r="B143" s="187" t="s">
        <v>176</v>
      </c>
      <c r="C143" s="142">
        <v>1921999</v>
      </c>
      <c r="D143" s="224" t="s">
        <v>271</v>
      </c>
      <c r="E143" s="590" t="s">
        <v>1872</v>
      </c>
      <c r="F143"/>
      <c r="G143"/>
      <c r="H143"/>
    </row>
    <row r="144" spans="1:8" s="5" customFormat="1" x14ac:dyDescent="0.2">
      <c r="A144" s="223" t="s">
        <v>166</v>
      </c>
      <c r="B144" s="187" t="s">
        <v>177</v>
      </c>
      <c r="C144" s="142">
        <v>600388</v>
      </c>
      <c r="D144" s="224" t="s">
        <v>271</v>
      </c>
      <c r="E144" s="590" t="s">
        <v>1872</v>
      </c>
      <c r="F144" s="2358">
        <v>294</v>
      </c>
      <c r="H144"/>
    </row>
    <row r="145" spans="1:8" s="5" customFormat="1" x14ac:dyDescent="0.2">
      <c r="A145" s="774" t="s">
        <v>1479</v>
      </c>
      <c r="B145" s="226" t="s">
        <v>1483</v>
      </c>
      <c r="C145" s="142">
        <v>2328292</v>
      </c>
      <c r="D145" s="224" t="s">
        <v>271</v>
      </c>
      <c r="E145" s="590" t="s">
        <v>1857</v>
      </c>
      <c r="F145"/>
      <c r="G145"/>
      <c r="H145"/>
    </row>
    <row r="146" spans="1:8" s="5" customFormat="1" x14ac:dyDescent="0.2">
      <c r="A146" s="774" t="s">
        <v>1480</v>
      </c>
      <c r="B146" s="226" t="s">
        <v>1484</v>
      </c>
      <c r="C146" s="142">
        <v>261806</v>
      </c>
      <c r="D146" s="224" t="s">
        <v>271</v>
      </c>
      <c r="E146" s="590" t="s">
        <v>1857</v>
      </c>
      <c r="F146"/>
      <c r="G146"/>
      <c r="H146"/>
    </row>
    <row r="147" spans="1:8" s="5" customFormat="1" ht="12" customHeight="1" x14ac:dyDescent="0.2">
      <c r="A147" s="774" t="s">
        <v>2048</v>
      </c>
      <c r="B147" s="226" t="s">
        <v>2045</v>
      </c>
      <c r="C147" s="142">
        <v>2019721</v>
      </c>
      <c r="D147" s="224" t="s">
        <v>271</v>
      </c>
      <c r="E147" s="590" t="s">
        <v>1872</v>
      </c>
      <c r="F147"/>
      <c r="G147"/>
      <c r="H147"/>
    </row>
    <row r="148" spans="1:8" s="5" customFormat="1" x14ac:dyDescent="0.2">
      <c r="A148" s="774" t="s">
        <v>2047</v>
      </c>
      <c r="B148" s="226" t="s">
        <v>2046</v>
      </c>
      <c r="C148" s="142">
        <v>568733</v>
      </c>
      <c r="D148" s="224" t="s">
        <v>271</v>
      </c>
      <c r="E148" s="590" t="s">
        <v>1872</v>
      </c>
      <c r="F148"/>
      <c r="G148"/>
      <c r="H148"/>
    </row>
    <row r="149" spans="1:8" s="5" customFormat="1" x14ac:dyDescent="0.2">
      <c r="A149" s="774" t="s">
        <v>1196</v>
      </c>
      <c r="B149" s="226" t="s">
        <v>1197</v>
      </c>
      <c r="C149" s="142">
        <v>6113262</v>
      </c>
      <c r="D149" s="224" t="s">
        <v>271</v>
      </c>
      <c r="E149" s="158" t="s">
        <v>1868</v>
      </c>
      <c r="F149"/>
      <c r="G149"/>
      <c r="H149"/>
    </row>
    <row r="150" spans="1:8" s="5" customFormat="1" x14ac:dyDescent="0.2">
      <c r="A150" s="774" t="s">
        <v>1193</v>
      </c>
      <c r="B150" s="226" t="s">
        <v>1195</v>
      </c>
      <c r="C150" s="142">
        <v>6464979</v>
      </c>
      <c r="D150" s="224" t="s">
        <v>271</v>
      </c>
      <c r="E150" s="158" t="s">
        <v>1868</v>
      </c>
      <c r="F150"/>
      <c r="G150"/>
      <c r="H150"/>
    </row>
    <row r="151" spans="1:8" s="5" customFormat="1" x14ac:dyDescent="0.2">
      <c r="A151" s="774" t="s">
        <v>1192</v>
      </c>
      <c r="B151" s="226" t="s">
        <v>1194</v>
      </c>
      <c r="C151" s="142">
        <v>6566073</v>
      </c>
      <c r="D151" s="224" t="s">
        <v>271</v>
      </c>
      <c r="E151" s="158" t="s">
        <v>1868</v>
      </c>
      <c r="F151"/>
      <c r="G151"/>
      <c r="H151"/>
    </row>
    <row r="152" spans="1:8" s="5" customFormat="1" x14ac:dyDescent="0.2">
      <c r="A152" s="164" t="s">
        <v>1441</v>
      </c>
      <c r="B152" s="130" t="s">
        <v>1442</v>
      </c>
      <c r="C152" s="142">
        <v>6742950</v>
      </c>
      <c r="D152" s="224" t="s">
        <v>271</v>
      </c>
      <c r="E152" s="158" t="s">
        <v>1868</v>
      </c>
      <c r="F152"/>
      <c r="G152"/>
      <c r="H152"/>
    </row>
    <row r="153" spans="1:8" s="5" customFormat="1" x14ac:dyDescent="0.2">
      <c r="A153" s="164" t="s">
        <v>1858</v>
      </c>
      <c r="B153" s="130" t="s">
        <v>1863</v>
      </c>
      <c r="C153" s="142">
        <v>6767900</v>
      </c>
      <c r="D153" s="224" t="s">
        <v>271</v>
      </c>
      <c r="E153" s="158" t="s">
        <v>1869</v>
      </c>
      <c r="F153"/>
      <c r="G153"/>
      <c r="H153"/>
    </row>
    <row r="154" spans="1:8" s="5" customFormat="1" x14ac:dyDescent="0.2">
      <c r="A154" s="164" t="s">
        <v>1859</v>
      </c>
      <c r="B154" s="130" t="s">
        <v>1864</v>
      </c>
      <c r="C154" s="142">
        <v>6817770</v>
      </c>
      <c r="D154" s="224" t="s">
        <v>271</v>
      </c>
      <c r="E154" s="158" t="s">
        <v>1869</v>
      </c>
      <c r="F154"/>
      <c r="G154"/>
      <c r="H154"/>
    </row>
    <row r="155" spans="1:8" s="5" customFormat="1" x14ac:dyDescent="0.2">
      <c r="A155" s="164" t="s">
        <v>1860</v>
      </c>
      <c r="B155" s="130" t="s">
        <v>1865</v>
      </c>
      <c r="C155" s="142">
        <v>6882400</v>
      </c>
      <c r="D155" s="224" t="s">
        <v>271</v>
      </c>
      <c r="E155" s="158" t="s">
        <v>1869</v>
      </c>
      <c r="F155"/>
      <c r="G155"/>
      <c r="H155"/>
    </row>
    <row r="156" spans="1:8" s="5" customFormat="1" x14ac:dyDescent="0.2">
      <c r="A156" s="164" t="s">
        <v>1861</v>
      </c>
      <c r="B156" s="130" t="s">
        <v>1866</v>
      </c>
      <c r="C156" s="142">
        <v>6968170</v>
      </c>
      <c r="D156" s="224" t="s">
        <v>271</v>
      </c>
      <c r="E156" s="158" t="s">
        <v>1869</v>
      </c>
      <c r="F156"/>
      <c r="G156"/>
      <c r="H156"/>
    </row>
    <row r="157" spans="1:8" s="5" customFormat="1" x14ac:dyDescent="0.2">
      <c r="A157" s="164" t="s">
        <v>1862</v>
      </c>
      <c r="B157" s="130" t="s">
        <v>1867</v>
      </c>
      <c r="C157" s="2357">
        <v>7061410</v>
      </c>
      <c r="D157" s="224" t="s">
        <v>271</v>
      </c>
      <c r="E157" s="158" t="s">
        <v>1869</v>
      </c>
      <c r="F157"/>
      <c r="G157"/>
      <c r="H157"/>
    </row>
    <row r="158" spans="1:8" x14ac:dyDescent="0.2">
      <c r="A158" s="164"/>
      <c r="B158" s="130"/>
      <c r="C158" s="142"/>
      <c r="D158" s="224"/>
      <c r="E158" s="158"/>
    </row>
    <row r="159" spans="1:8" x14ac:dyDescent="0.2">
      <c r="A159" s="157" t="s">
        <v>237</v>
      </c>
      <c r="B159" s="130"/>
      <c r="C159" s="142"/>
      <c r="D159" s="67"/>
      <c r="E159" s="158"/>
    </row>
    <row r="160" spans="1:8" x14ac:dyDescent="0.2">
      <c r="A160" s="157" t="s">
        <v>857</v>
      </c>
      <c r="B160" s="130" t="s">
        <v>1394</v>
      </c>
      <c r="C160" s="142">
        <v>290326418</v>
      </c>
      <c r="D160" s="67" t="s">
        <v>271</v>
      </c>
      <c r="E160" s="158" t="s">
        <v>1856</v>
      </c>
    </row>
    <row r="161" spans="1:5" x14ac:dyDescent="0.2">
      <c r="A161" s="157" t="s">
        <v>937</v>
      </c>
      <c r="B161" s="130" t="s">
        <v>1395</v>
      </c>
      <c r="C161" s="142">
        <v>293045739</v>
      </c>
      <c r="D161" s="67" t="s">
        <v>271</v>
      </c>
      <c r="E161" s="158" t="s">
        <v>1856</v>
      </c>
    </row>
    <row r="162" spans="1:5" x14ac:dyDescent="0.2">
      <c r="A162" s="157" t="s">
        <v>596</v>
      </c>
      <c r="B162" s="130" t="s">
        <v>238</v>
      </c>
      <c r="C162" s="142">
        <v>295753151</v>
      </c>
      <c r="D162" s="67" t="s">
        <v>271</v>
      </c>
      <c r="E162" s="158" t="s">
        <v>1856</v>
      </c>
    </row>
    <row r="163" spans="1:5" x14ac:dyDescent="0.2">
      <c r="A163" s="157" t="s">
        <v>938</v>
      </c>
      <c r="B163" s="130" t="s">
        <v>1392</v>
      </c>
      <c r="C163" s="142">
        <v>298593212</v>
      </c>
      <c r="D163" s="67" t="s">
        <v>271</v>
      </c>
      <c r="E163" s="158" t="s">
        <v>1856</v>
      </c>
    </row>
    <row r="164" spans="1:5" x14ac:dyDescent="0.2">
      <c r="A164" s="157" t="s">
        <v>939</v>
      </c>
      <c r="B164" s="130" t="s">
        <v>1393</v>
      </c>
      <c r="C164" s="142">
        <v>301579895</v>
      </c>
      <c r="D164" s="67" t="s">
        <v>271</v>
      </c>
      <c r="E164" s="158" t="s">
        <v>1856</v>
      </c>
    </row>
    <row r="165" spans="1:5" x14ac:dyDescent="0.2">
      <c r="A165" s="576">
        <v>2008</v>
      </c>
      <c r="B165" s="226" t="s">
        <v>167</v>
      </c>
      <c r="C165" s="142">
        <v>304374846</v>
      </c>
      <c r="D165" s="67" t="s">
        <v>271</v>
      </c>
      <c r="E165" s="158" t="s">
        <v>1856</v>
      </c>
    </row>
    <row r="166" spans="1:5" x14ac:dyDescent="0.2">
      <c r="A166" s="576">
        <v>2009</v>
      </c>
      <c r="B166" s="226" t="s">
        <v>2176</v>
      </c>
      <c r="C166" s="142">
        <v>307006550</v>
      </c>
      <c r="D166" s="67" t="s">
        <v>271</v>
      </c>
      <c r="E166" s="158" t="s">
        <v>1856</v>
      </c>
    </row>
    <row r="167" spans="1:5" x14ac:dyDescent="0.2">
      <c r="A167" s="576">
        <v>2015</v>
      </c>
      <c r="B167" s="226" t="s">
        <v>1874</v>
      </c>
      <c r="C167" s="1296">
        <v>320896618</v>
      </c>
      <c r="D167" s="67" t="s">
        <v>1875</v>
      </c>
      <c r="E167" s="158" t="s">
        <v>1856</v>
      </c>
    </row>
    <row r="168" spans="1:5" x14ac:dyDescent="0.2">
      <c r="A168"/>
      <c r="C168" s="5"/>
      <c r="E168"/>
    </row>
    <row r="169" spans="1:5" x14ac:dyDescent="0.2">
      <c r="A169"/>
      <c r="C169" s="5"/>
      <c r="E169"/>
    </row>
    <row r="170" spans="1:5" x14ac:dyDescent="0.2">
      <c r="A170"/>
      <c r="C170" s="5"/>
      <c r="E170"/>
    </row>
    <row r="171" spans="1:5" x14ac:dyDescent="0.2">
      <c r="A171"/>
      <c r="C171" s="5"/>
      <c r="E171"/>
    </row>
    <row r="172" spans="1:5" x14ac:dyDescent="0.2">
      <c r="A172"/>
      <c r="C172" s="5"/>
      <c r="E172"/>
    </row>
    <row r="173" spans="1:5" x14ac:dyDescent="0.2">
      <c r="A173"/>
      <c r="C173" s="5"/>
      <c r="E173"/>
    </row>
    <row r="174" spans="1:5" x14ac:dyDescent="0.2">
      <c r="A174"/>
      <c r="C174" s="5"/>
      <c r="E174"/>
    </row>
    <row r="175" spans="1:5" x14ac:dyDescent="0.2">
      <c r="A175"/>
      <c r="C175" s="5"/>
      <c r="E175"/>
    </row>
    <row r="176" spans="1:5" x14ac:dyDescent="0.2">
      <c r="A176"/>
      <c r="C176" s="5"/>
      <c r="E176"/>
    </row>
    <row r="177" spans="1:5" x14ac:dyDescent="0.2">
      <c r="A177"/>
      <c r="C177" s="5"/>
      <c r="E177"/>
    </row>
    <row r="178" spans="1:5" x14ac:dyDescent="0.2">
      <c r="A178"/>
      <c r="C178" s="5"/>
      <c r="E178"/>
    </row>
    <row r="179" spans="1:5" x14ac:dyDescent="0.2">
      <c r="A179"/>
      <c r="C179" s="5"/>
      <c r="E179"/>
    </row>
    <row r="180" spans="1:5" x14ac:dyDescent="0.2">
      <c r="A180"/>
      <c r="C180" s="5"/>
      <c r="E180"/>
    </row>
    <row r="181" spans="1:5" x14ac:dyDescent="0.2">
      <c r="A181"/>
      <c r="C181" s="5"/>
      <c r="E181"/>
    </row>
    <row r="182" spans="1:5" x14ac:dyDescent="0.2">
      <c r="A182"/>
      <c r="C182" s="5"/>
      <c r="E182"/>
    </row>
    <row r="183" spans="1:5" x14ac:dyDescent="0.2">
      <c r="A183"/>
      <c r="C183" s="5"/>
      <c r="E183"/>
    </row>
    <row r="184" spans="1:5" x14ac:dyDescent="0.2">
      <c r="A184"/>
      <c r="C184" s="5"/>
      <c r="E184"/>
    </row>
    <row r="185" spans="1:5" x14ac:dyDescent="0.2">
      <c r="A185"/>
      <c r="C185" s="5"/>
      <c r="E185"/>
    </row>
    <row r="186" spans="1:5" x14ac:dyDescent="0.2">
      <c r="A186"/>
      <c r="C186" s="5"/>
      <c r="E186"/>
    </row>
    <row r="187" spans="1:5" x14ac:dyDescent="0.2">
      <c r="A187"/>
      <c r="C187" s="5"/>
      <c r="E187"/>
    </row>
    <row r="188" spans="1:5" x14ac:dyDescent="0.2">
      <c r="A188"/>
      <c r="C188" s="5"/>
      <c r="E188"/>
    </row>
    <row r="189" spans="1:5" x14ac:dyDescent="0.2">
      <c r="A189"/>
      <c r="C189" s="5"/>
      <c r="E189"/>
    </row>
    <row r="190" spans="1:5" x14ac:dyDescent="0.2">
      <c r="A190"/>
      <c r="C190" s="5"/>
      <c r="E190"/>
    </row>
    <row r="191" spans="1:5" x14ac:dyDescent="0.2">
      <c r="A191"/>
      <c r="C191" s="5"/>
      <c r="E191"/>
    </row>
    <row r="192" spans="1:5" x14ac:dyDescent="0.2">
      <c r="A192"/>
      <c r="C192" s="5"/>
      <c r="E192"/>
    </row>
    <row r="193" spans="1:5" x14ac:dyDescent="0.2">
      <c r="A193"/>
      <c r="C193" s="5"/>
      <c r="E193"/>
    </row>
    <row r="194" spans="1:5" x14ac:dyDescent="0.2">
      <c r="A194"/>
      <c r="C194" s="5"/>
      <c r="E194"/>
    </row>
  </sheetData>
  <customSheetViews>
    <customSheetView guid="{9BEC6399-AE85-4D88-8FBA-3674E2F30307}" topLeftCell="A135">
      <selection activeCell="F144" sqref="F144"/>
      <pageMargins left="0.75" right="0.75" top="1" bottom="1" header="0.5" footer="0.5"/>
      <headerFooter alignWithMargins="0"/>
    </customSheetView>
    <customSheetView guid="{0347A67A-6027-4907-965C-6EA2A8295536}" topLeftCell="A135">
      <selection activeCell="F144" sqref="F144"/>
      <pageMargins left="0.75" right="0.75" top="1" bottom="1" header="0.5" footer="0.5"/>
      <headerFooter alignWithMargins="0"/>
    </customSheetView>
    <customSheetView guid="{15CC7F3D-99AB-49C1-AC00-E04D3FE3FBC1}">
      <selection activeCell="A23" sqref="A23"/>
      <pageMargins left="0.75" right="0.75" top="1" bottom="1" header="0.5" footer="0.5"/>
      <headerFooter alignWithMargins="0"/>
    </customSheetView>
  </customSheetViews>
  <phoneticPr fontId="0" type="noConversion"/>
  <pageMargins left="0.75" right="0.75" top="1" bottom="1" header="0.5" footer="0.5"/>
  <headerFooter alignWithMargins="0"/>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14"/>
  <sheetViews>
    <sheetView workbookViewId="0">
      <selection activeCell="D27" sqref="D27"/>
    </sheetView>
  </sheetViews>
  <sheetFormatPr defaultColWidth="8.85546875" defaultRowHeight="12" x14ac:dyDescent="0.2"/>
  <cols>
    <col min="1" max="2" width="14.7109375" style="16" customWidth="1"/>
    <col min="3" max="3" width="24.7109375" style="16" customWidth="1"/>
    <col min="4" max="4" width="12.7109375" style="16" customWidth="1"/>
    <col min="5" max="5" width="40.7109375" style="82" customWidth="1"/>
    <col min="6" max="6" width="12.7109375" style="16" customWidth="1"/>
    <col min="7" max="7" width="8.85546875" style="16"/>
    <col min="8" max="8" width="10.7109375" style="16" customWidth="1"/>
    <col min="9" max="16384" width="8.85546875" style="16"/>
  </cols>
  <sheetData>
    <row r="1" spans="1:9" ht="27.75" customHeight="1" x14ac:dyDescent="0.2">
      <c r="A1" s="14" t="s">
        <v>606</v>
      </c>
      <c r="B1" s="15"/>
    </row>
    <row r="2" spans="1:9" x14ac:dyDescent="0.2">
      <c r="A2" s="18" t="s">
        <v>607</v>
      </c>
      <c r="B2" s="18"/>
      <c r="D2" s="19" t="s">
        <v>608</v>
      </c>
      <c r="E2" s="83"/>
    </row>
    <row r="3" spans="1:9" x14ac:dyDescent="0.2">
      <c r="A3" s="20" t="s">
        <v>609</v>
      </c>
      <c r="B3" s="20" t="s">
        <v>610</v>
      </c>
      <c r="C3" s="17" t="s">
        <v>611</v>
      </c>
      <c r="D3" s="20" t="s">
        <v>612</v>
      </c>
      <c r="E3" s="83" t="s">
        <v>328</v>
      </c>
    </row>
    <row r="5" spans="1:9" s="22" customFormat="1" x14ac:dyDescent="0.2">
      <c r="A5" s="21"/>
      <c r="B5" s="21"/>
      <c r="C5" s="21" t="s">
        <v>464</v>
      </c>
      <c r="D5" s="21"/>
      <c r="E5" s="82"/>
      <c r="F5" s="16"/>
      <c r="G5" s="16"/>
      <c r="H5" s="16"/>
      <c r="I5" s="16"/>
    </row>
    <row r="6" spans="1:9" x14ac:dyDescent="0.2">
      <c r="A6" s="16" t="s">
        <v>613</v>
      </c>
      <c r="B6" s="16" t="s">
        <v>614</v>
      </c>
      <c r="C6" s="16" t="s">
        <v>615</v>
      </c>
      <c r="D6" s="23">
        <f>1/D8</f>
        <v>0.39370078740157477</v>
      </c>
    </row>
    <row r="7" spans="1:9" x14ac:dyDescent="0.2">
      <c r="A7" s="16" t="s">
        <v>616</v>
      </c>
      <c r="B7" s="16" t="s">
        <v>617</v>
      </c>
      <c r="C7" s="16" t="s">
        <v>618</v>
      </c>
      <c r="D7" s="24">
        <v>0.30480000000000002</v>
      </c>
    </row>
    <row r="8" spans="1:9" x14ac:dyDescent="0.2">
      <c r="A8" s="16" t="s">
        <v>614</v>
      </c>
      <c r="B8" s="16" t="s">
        <v>613</v>
      </c>
      <c r="C8" s="16" t="s">
        <v>619</v>
      </c>
      <c r="D8" s="25">
        <f>D9/10</f>
        <v>2.54</v>
      </c>
    </row>
    <row r="9" spans="1:9" x14ac:dyDescent="0.2">
      <c r="A9" s="16" t="s">
        <v>614</v>
      </c>
      <c r="B9" s="16" t="s">
        <v>754</v>
      </c>
      <c r="C9" s="16" t="s">
        <v>755</v>
      </c>
      <c r="D9" s="24">
        <v>25.4</v>
      </c>
    </row>
    <row r="10" spans="1:9" x14ac:dyDescent="0.2">
      <c r="A10" s="16" t="s">
        <v>756</v>
      </c>
      <c r="B10" s="16" t="s">
        <v>757</v>
      </c>
      <c r="C10" s="16" t="s">
        <v>758</v>
      </c>
      <c r="D10" s="23">
        <f>1/D11</f>
        <v>0.62150403977625857</v>
      </c>
    </row>
    <row r="11" spans="1:9" x14ac:dyDescent="0.2">
      <c r="A11" s="16" t="s">
        <v>757</v>
      </c>
      <c r="B11" s="16" t="s">
        <v>756</v>
      </c>
      <c r="C11" s="16" t="s">
        <v>759</v>
      </c>
      <c r="D11" s="24">
        <v>1.609</v>
      </c>
    </row>
    <row r="12" spans="1:9" x14ac:dyDescent="0.2">
      <c r="A12" s="16" t="s">
        <v>754</v>
      </c>
      <c r="B12" s="16" t="s">
        <v>614</v>
      </c>
      <c r="C12" s="16" t="s">
        <v>760</v>
      </c>
      <c r="D12" s="26">
        <f>1/D9</f>
        <v>3.937007874015748E-2</v>
      </c>
    </row>
    <row r="14" spans="1:9" x14ac:dyDescent="0.2">
      <c r="A14" s="21"/>
      <c r="B14" s="21"/>
      <c r="C14" s="21" t="s">
        <v>465</v>
      </c>
      <c r="D14" s="21"/>
    </row>
    <row r="15" spans="1:9" x14ac:dyDescent="0.2">
      <c r="A15" s="16" t="s">
        <v>761</v>
      </c>
      <c r="B15" s="16" t="s">
        <v>762</v>
      </c>
      <c r="C15" s="16" t="s">
        <v>763</v>
      </c>
      <c r="D15" s="24">
        <v>2.2049999999999999E-3</v>
      </c>
    </row>
    <row r="16" spans="1:9" x14ac:dyDescent="0.2">
      <c r="A16" s="16" t="s">
        <v>764</v>
      </c>
      <c r="B16" s="16" t="s">
        <v>761</v>
      </c>
      <c r="C16" s="16" t="s">
        <v>765</v>
      </c>
      <c r="D16" s="24">
        <v>1000</v>
      </c>
    </row>
    <row r="17" spans="1:9" x14ac:dyDescent="0.2">
      <c r="A17" s="16" t="s">
        <v>764</v>
      </c>
      <c r="B17" s="16" t="s">
        <v>762</v>
      </c>
      <c r="C17" s="16" t="s">
        <v>766</v>
      </c>
      <c r="D17" s="25">
        <f>1/D19</f>
        <v>2.204585537918871</v>
      </c>
    </row>
    <row r="18" spans="1:9" x14ac:dyDescent="0.2">
      <c r="A18" s="16" t="s">
        <v>762</v>
      </c>
      <c r="B18" s="16" t="s">
        <v>761</v>
      </c>
      <c r="C18" s="16" t="s">
        <v>767</v>
      </c>
      <c r="D18" s="27">
        <f>lbTOkg*1000</f>
        <v>453.6</v>
      </c>
    </row>
    <row r="19" spans="1:9" x14ac:dyDescent="0.2">
      <c r="A19" s="16" t="s">
        <v>762</v>
      </c>
      <c r="B19" s="16" t="s">
        <v>764</v>
      </c>
      <c r="C19" s="16" t="s">
        <v>768</v>
      </c>
      <c r="D19" s="24">
        <v>0.4536</v>
      </c>
    </row>
    <row r="20" spans="1:9" x14ac:dyDescent="0.2">
      <c r="A20" s="16" t="s">
        <v>762</v>
      </c>
      <c r="B20" s="16" t="s">
        <v>769</v>
      </c>
      <c r="C20" s="16" t="s">
        <v>770</v>
      </c>
      <c r="D20" s="28">
        <f>lbTOkg/1000</f>
        <v>4.5360000000000002E-4</v>
      </c>
    </row>
    <row r="21" spans="1:9" x14ac:dyDescent="0.2">
      <c r="A21" s="16" t="s">
        <v>762</v>
      </c>
      <c r="B21" s="16" t="s">
        <v>771</v>
      </c>
      <c r="C21" s="16" t="s">
        <v>772</v>
      </c>
      <c r="D21" s="28">
        <f>1/D25</f>
        <v>5.0000000000000001E-4</v>
      </c>
    </row>
    <row r="22" spans="1:9" x14ac:dyDescent="0.2">
      <c r="A22" s="16" t="s">
        <v>769</v>
      </c>
      <c r="B22" s="16" t="s">
        <v>771</v>
      </c>
      <c r="C22" s="16" t="s">
        <v>773</v>
      </c>
      <c r="D22" s="25">
        <f>1/D27</f>
        <v>1.1023170704821534</v>
      </c>
    </row>
    <row r="23" spans="1:9" x14ac:dyDescent="0.2">
      <c r="A23" s="16" t="s">
        <v>762</v>
      </c>
      <c r="B23" s="16" t="s">
        <v>428</v>
      </c>
      <c r="C23" s="16" t="s">
        <v>241</v>
      </c>
      <c r="D23" s="24">
        <v>16</v>
      </c>
    </row>
    <row r="24" spans="1:9" x14ac:dyDescent="0.2">
      <c r="A24" s="16" t="s">
        <v>428</v>
      </c>
      <c r="B24" s="16" t="s">
        <v>764</v>
      </c>
      <c r="C24" s="16" t="s">
        <v>242</v>
      </c>
      <c r="D24" s="56">
        <f>lbTOkg/lbTOoz</f>
        <v>2.835E-2</v>
      </c>
    </row>
    <row r="25" spans="1:9" x14ac:dyDescent="0.2">
      <c r="A25" s="16" t="s">
        <v>771</v>
      </c>
      <c r="B25" s="16" t="s">
        <v>762</v>
      </c>
      <c r="C25" s="16" t="s">
        <v>774</v>
      </c>
      <c r="D25" s="24">
        <v>2000</v>
      </c>
    </row>
    <row r="26" spans="1:9" x14ac:dyDescent="0.2">
      <c r="A26" s="16" t="s">
        <v>771</v>
      </c>
      <c r="B26" s="16" t="s">
        <v>764</v>
      </c>
      <c r="C26" s="16" t="s">
        <v>510</v>
      </c>
      <c r="D26" s="27">
        <f>tonTOMg*1000</f>
        <v>907.18</v>
      </c>
    </row>
    <row r="27" spans="1:9" x14ac:dyDescent="0.2">
      <c r="A27" s="16" t="s">
        <v>771</v>
      </c>
      <c r="B27" s="16" t="s">
        <v>769</v>
      </c>
      <c r="C27" s="16" t="s">
        <v>775</v>
      </c>
      <c r="D27" s="24">
        <v>0.90717999999999999</v>
      </c>
    </row>
    <row r="28" spans="1:9" x14ac:dyDescent="0.2">
      <c r="D28" s="26"/>
    </row>
    <row r="29" spans="1:9" s="29" customFormat="1" x14ac:dyDescent="0.2">
      <c r="A29" s="21"/>
      <c r="B29" s="21"/>
      <c r="C29" s="21" t="s">
        <v>466</v>
      </c>
      <c r="D29" s="21"/>
      <c r="E29" s="82"/>
      <c r="F29" s="16"/>
      <c r="G29" s="16"/>
      <c r="H29" s="16"/>
      <c r="I29" s="16"/>
    </row>
    <row r="30" spans="1:9" x14ac:dyDescent="0.2">
      <c r="A30" s="16" t="s">
        <v>777</v>
      </c>
      <c r="B30" s="16" t="s">
        <v>346</v>
      </c>
      <c r="C30" s="16" t="s">
        <v>348</v>
      </c>
      <c r="D30" s="51">
        <v>1440</v>
      </c>
      <c r="E30" s="82" t="s">
        <v>786</v>
      </c>
    </row>
    <row r="31" spans="1:9" x14ac:dyDescent="0.2">
      <c r="A31" s="16" t="s">
        <v>777</v>
      </c>
      <c r="B31" s="16" t="s">
        <v>781</v>
      </c>
      <c r="C31" s="16" t="s">
        <v>679</v>
      </c>
      <c r="D31" s="47">
        <f>1/D40</f>
        <v>2.7379257474537291E-3</v>
      </c>
    </row>
    <row r="32" spans="1:9" x14ac:dyDescent="0.2">
      <c r="A32" s="16" t="s">
        <v>776</v>
      </c>
      <c r="B32" s="16" t="s">
        <v>777</v>
      </c>
      <c r="C32" s="16" t="s">
        <v>778</v>
      </c>
      <c r="D32" s="30">
        <v>4.1669999999999999E-2</v>
      </c>
    </row>
    <row r="33" spans="1:5" x14ac:dyDescent="0.2">
      <c r="A33" s="16" t="s">
        <v>776</v>
      </c>
      <c r="B33" s="16" t="s">
        <v>779</v>
      </c>
      <c r="C33" s="16" t="s">
        <v>780</v>
      </c>
      <c r="D33" s="24">
        <v>3600</v>
      </c>
    </row>
    <row r="34" spans="1:5" x14ac:dyDescent="0.2">
      <c r="A34" s="16" t="s">
        <v>776</v>
      </c>
      <c r="B34" s="16" t="s">
        <v>781</v>
      </c>
      <c r="C34" s="16" t="s">
        <v>782</v>
      </c>
      <c r="D34" s="28">
        <f>1/D41</f>
        <v>1.1415525114155251E-4</v>
      </c>
    </row>
    <row r="35" spans="1:5" x14ac:dyDescent="0.2">
      <c r="A35" s="16" t="s">
        <v>346</v>
      </c>
      <c r="B35" s="16" t="s">
        <v>777</v>
      </c>
      <c r="C35" s="16" t="s">
        <v>347</v>
      </c>
      <c r="D35" s="16">
        <f>1/dayTOmin</f>
        <v>6.9444444444444447E-4</v>
      </c>
    </row>
    <row r="36" spans="1:5" x14ac:dyDescent="0.2">
      <c r="A36" s="16" t="s">
        <v>676</v>
      </c>
      <c r="B36" s="16" t="s">
        <v>777</v>
      </c>
      <c r="C36" s="16" t="s">
        <v>677</v>
      </c>
      <c r="D36" s="54">
        <f>yrTOday/yrTOmo</f>
        <v>30.436666666666667</v>
      </c>
    </row>
    <row r="37" spans="1:5" x14ac:dyDescent="0.2">
      <c r="A37" s="16" t="s">
        <v>676</v>
      </c>
      <c r="B37" s="16" t="s">
        <v>781</v>
      </c>
      <c r="C37" s="16" t="s">
        <v>680</v>
      </c>
      <c r="D37" s="56">
        <f>1/yrTOmo</f>
        <v>8.3333333333333329E-2</v>
      </c>
    </row>
    <row r="38" spans="1:5" x14ac:dyDescent="0.2">
      <c r="A38" s="16" t="s">
        <v>779</v>
      </c>
      <c r="B38" s="16" t="s">
        <v>777</v>
      </c>
      <c r="C38" s="16" t="s">
        <v>783</v>
      </c>
      <c r="D38" s="31">
        <v>1.1574E-5</v>
      </c>
      <c r="E38" s="84"/>
    </row>
    <row r="39" spans="1:5" x14ac:dyDescent="0.2">
      <c r="A39" s="16" t="s">
        <v>779</v>
      </c>
      <c r="B39" s="16" t="s">
        <v>776</v>
      </c>
      <c r="C39" s="16" t="s">
        <v>784</v>
      </c>
      <c r="D39" s="28">
        <f>1/D33</f>
        <v>2.7777777777777778E-4</v>
      </c>
    </row>
    <row r="40" spans="1:5" x14ac:dyDescent="0.2">
      <c r="A40" s="16" t="s">
        <v>781</v>
      </c>
      <c r="B40" s="16" t="s">
        <v>777</v>
      </c>
      <c r="C40" s="16" t="s">
        <v>425</v>
      </c>
      <c r="D40" s="32">
        <v>365.24</v>
      </c>
      <c r="E40" s="82" t="s">
        <v>786</v>
      </c>
    </row>
    <row r="41" spans="1:5" x14ac:dyDescent="0.2">
      <c r="A41" s="16" t="s">
        <v>781</v>
      </c>
      <c r="B41" s="16" t="s">
        <v>776</v>
      </c>
      <c r="C41" s="16" t="s">
        <v>636</v>
      </c>
      <c r="D41" s="24">
        <v>8760</v>
      </c>
    </row>
    <row r="42" spans="1:5" x14ac:dyDescent="0.2">
      <c r="A42" s="16" t="s">
        <v>781</v>
      </c>
      <c r="B42" s="16" t="s">
        <v>676</v>
      </c>
      <c r="C42" s="16" t="s">
        <v>678</v>
      </c>
      <c r="D42" s="24">
        <v>12</v>
      </c>
      <c r="E42" s="82" t="s">
        <v>786</v>
      </c>
    </row>
    <row r="44" spans="1:5" x14ac:dyDescent="0.2">
      <c r="A44" s="21"/>
      <c r="B44" s="21"/>
      <c r="C44" s="21" t="s">
        <v>467</v>
      </c>
      <c r="D44" s="21"/>
    </row>
    <row r="45" spans="1:5" x14ac:dyDescent="0.2">
      <c r="A45" s="16" t="s">
        <v>637</v>
      </c>
      <c r="B45" s="16" t="s">
        <v>638</v>
      </c>
      <c r="C45" s="16" t="s">
        <v>639</v>
      </c>
      <c r="D45" s="24">
        <v>43560</v>
      </c>
    </row>
    <row r="46" spans="1:5" x14ac:dyDescent="0.2">
      <c r="A46" s="16" t="s">
        <v>637</v>
      </c>
      <c r="B46" s="16" t="s">
        <v>640</v>
      </c>
      <c r="C46" s="16" t="s">
        <v>641</v>
      </c>
      <c r="D46" s="24">
        <v>0.40468700000000002</v>
      </c>
    </row>
    <row r="47" spans="1:5" x14ac:dyDescent="0.2">
      <c r="A47" s="16" t="s">
        <v>637</v>
      </c>
      <c r="B47" s="16" t="s">
        <v>642</v>
      </c>
      <c r="C47" s="16" t="s">
        <v>643</v>
      </c>
      <c r="D47" s="24">
        <v>4.0468600000000002E-3</v>
      </c>
    </row>
    <row r="48" spans="1:5" x14ac:dyDescent="0.2">
      <c r="A48" s="16" t="s">
        <v>637</v>
      </c>
      <c r="B48" s="16" t="s">
        <v>644</v>
      </c>
      <c r="C48" s="16" t="s">
        <v>645</v>
      </c>
      <c r="D48" s="24">
        <v>4046.856421</v>
      </c>
    </row>
    <row r="49" spans="1:5" x14ac:dyDescent="0.2">
      <c r="A49" s="16" t="s">
        <v>637</v>
      </c>
      <c r="B49" s="16" t="s">
        <v>646</v>
      </c>
      <c r="C49" s="16" t="s">
        <v>647</v>
      </c>
      <c r="D49" s="24">
        <v>1.5625000000000001E-3</v>
      </c>
    </row>
    <row r="50" spans="1:5" x14ac:dyDescent="0.2">
      <c r="A50" s="16" t="s">
        <v>638</v>
      </c>
      <c r="B50" s="16" t="s">
        <v>644</v>
      </c>
      <c r="C50" s="16" t="s">
        <v>648</v>
      </c>
      <c r="D50" s="24">
        <v>9.2899999999999996E-2</v>
      </c>
    </row>
    <row r="51" spans="1:5" x14ac:dyDescent="0.2">
      <c r="A51" s="16" t="s">
        <v>638</v>
      </c>
      <c r="B51" s="16" t="s">
        <v>340</v>
      </c>
      <c r="C51" s="16" t="s">
        <v>342</v>
      </c>
      <c r="D51" s="40">
        <f>1/D61</f>
        <v>0.1111111111111111</v>
      </c>
    </row>
    <row r="52" spans="1:5" x14ac:dyDescent="0.2">
      <c r="A52" s="16" t="s">
        <v>640</v>
      </c>
      <c r="B52" s="16" t="s">
        <v>637</v>
      </c>
      <c r="C52" s="16" t="s">
        <v>649</v>
      </c>
      <c r="D52" s="25">
        <f>1/D46</f>
        <v>2.4710455240716898</v>
      </c>
    </row>
    <row r="53" spans="1:5" x14ac:dyDescent="0.2">
      <c r="A53" s="16" t="s">
        <v>640</v>
      </c>
      <c r="B53" s="16" t="s">
        <v>642</v>
      </c>
      <c r="C53" s="16" t="s">
        <v>785</v>
      </c>
      <c r="D53" s="32">
        <v>0.01</v>
      </c>
      <c r="E53" s="82" t="s">
        <v>786</v>
      </c>
    </row>
    <row r="54" spans="1:5" x14ac:dyDescent="0.2">
      <c r="A54" s="16" t="s">
        <v>642</v>
      </c>
      <c r="B54" s="16" t="s">
        <v>637</v>
      </c>
      <c r="C54" s="16" t="s">
        <v>787</v>
      </c>
      <c r="D54" s="27">
        <f>1/acreTOkm2</f>
        <v>247.10516301527602</v>
      </c>
    </row>
    <row r="55" spans="1:5" x14ac:dyDescent="0.2">
      <c r="A55" s="16" t="s">
        <v>642</v>
      </c>
      <c r="B55" s="16" t="s">
        <v>644</v>
      </c>
      <c r="C55" s="16" t="s">
        <v>788</v>
      </c>
      <c r="D55" s="33">
        <v>1000000</v>
      </c>
    </row>
    <row r="56" spans="1:5" x14ac:dyDescent="0.2">
      <c r="A56" s="16" t="s">
        <v>642</v>
      </c>
      <c r="B56" s="16" t="s">
        <v>646</v>
      </c>
      <c r="C56" s="16" t="s">
        <v>789</v>
      </c>
      <c r="D56" s="34">
        <v>0.3861</v>
      </c>
    </row>
    <row r="57" spans="1:5" x14ac:dyDescent="0.2">
      <c r="A57" s="16" t="s">
        <v>644</v>
      </c>
      <c r="B57" s="16" t="s">
        <v>637</v>
      </c>
      <c r="C57" s="16" t="s">
        <v>790</v>
      </c>
      <c r="D57" s="28">
        <f>1/D48</f>
        <v>2.4710538155265082E-4</v>
      </c>
    </row>
    <row r="58" spans="1:5" x14ac:dyDescent="0.2">
      <c r="A58" s="16" t="s">
        <v>644</v>
      </c>
      <c r="B58" s="16" t="s">
        <v>638</v>
      </c>
      <c r="C58" s="16" t="s">
        <v>791</v>
      </c>
      <c r="D58" s="35">
        <f>1/D50</f>
        <v>10.764262648008613</v>
      </c>
    </row>
    <row r="59" spans="1:5" x14ac:dyDescent="0.2">
      <c r="A59" s="16" t="s">
        <v>644</v>
      </c>
      <c r="B59" s="16" t="s">
        <v>642</v>
      </c>
      <c r="C59" s="16" t="s">
        <v>792</v>
      </c>
      <c r="D59" s="31">
        <v>9.9999999999999995E-7</v>
      </c>
    </row>
    <row r="60" spans="1:5" x14ac:dyDescent="0.2">
      <c r="A60" s="16" t="s">
        <v>646</v>
      </c>
      <c r="B60" s="16" t="s">
        <v>637</v>
      </c>
      <c r="C60" s="16" t="s">
        <v>651</v>
      </c>
      <c r="D60" s="36">
        <f>1/D49</f>
        <v>640</v>
      </c>
    </row>
    <row r="61" spans="1:5" x14ac:dyDescent="0.2">
      <c r="A61" s="16" t="s">
        <v>340</v>
      </c>
      <c r="B61" s="16" t="s">
        <v>638</v>
      </c>
      <c r="C61" s="16" t="s">
        <v>341</v>
      </c>
      <c r="D61" s="51">
        <v>9</v>
      </c>
      <c r="E61" s="82" t="s">
        <v>786</v>
      </c>
    </row>
    <row r="62" spans="1:5" x14ac:dyDescent="0.2">
      <c r="A62" s="16" t="s">
        <v>646</v>
      </c>
      <c r="B62" s="16" t="s">
        <v>642</v>
      </c>
      <c r="C62" s="16" t="s">
        <v>652</v>
      </c>
      <c r="D62" s="30">
        <v>2.5899899999999998</v>
      </c>
    </row>
    <row r="64" spans="1:5" x14ac:dyDescent="0.2">
      <c r="A64" s="21"/>
      <c r="B64" s="21"/>
      <c r="C64" s="21" t="s">
        <v>468</v>
      </c>
      <c r="D64" s="21"/>
    </row>
    <row r="65" spans="1:4" x14ac:dyDescent="0.2">
      <c r="A65" s="16" t="s">
        <v>653</v>
      </c>
      <c r="B65" s="16" t="s">
        <v>654</v>
      </c>
      <c r="C65" s="16" t="s">
        <v>655</v>
      </c>
      <c r="D65" s="37">
        <v>325900</v>
      </c>
    </row>
    <row r="66" spans="1:4" x14ac:dyDescent="0.2">
      <c r="A66" s="16" t="s">
        <v>653</v>
      </c>
      <c r="B66" s="16" t="s">
        <v>656</v>
      </c>
      <c r="C66" s="16" t="s">
        <v>657</v>
      </c>
      <c r="D66" s="38">
        <v>1233.482</v>
      </c>
    </row>
    <row r="67" spans="1:4" x14ac:dyDescent="0.2">
      <c r="A67" s="16" t="s">
        <v>658</v>
      </c>
      <c r="B67" s="16" t="s">
        <v>654</v>
      </c>
      <c r="C67" s="16" t="s">
        <v>659</v>
      </c>
      <c r="D67" s="24">
        <v>27154.286</v>
      </c>
    </row>
    <row r="68" spans="1:4" x14ac:dyDescent="0.2">
      <c r="A68" s="16" t="s">
        <v>358</v>
      </c>
      <c r="B68" s="16" t="s">
        <v>654</v>
      </c>
      <c r="C68" s="16" t="s">
        <v>360</v>
      </c>
      <c r="D68" s="81">
        <v>42</v>
      </c>
    </row>
    <row r="69" spans="1:4" x14ac:dyDescent="0.2">
      <c r="A69" s="16" t="s">
        <v>358</v>
      </c>
      <c r="B69" s="16" t="s">
        <v>519</v>
      </c>
      <c r="C69" s="16" t="s">
        <v>361</v>
      </c>
      <c r="D69" s="27">
        <f>bblTOgal*galTOL</f>
        <v>158.98680000000002</v>
      </c>
    </row>
    <row r="70" spans="1:4" x14ac:dyDescent="0.2">
      <c r="A70" s="16" t="s">
        <v>660</v>
      </c>
      <c r="B70" s="16" t="s">
        <v>654</v>
      </c>
      <c r="C70" s="16" t="s">
        <v>661</v>
      </c>
      <c r="D70" s="24">
        <v>7.4805200000000003</v>
      </c>
    </row>
    <row r="71" spans="1:4" x14ac:dyDescent="0.2">
      <c r="A71" s="16" t="s">
        <v>660</v>
      </c>
      <c r="B71" s="16" t="s">
        <v>519</v>
      </c>
      <c r="C71" s="16" t="s">
        <v>366</v>
      </c>
      <c r="D71" s="24">
        <v>28.316870000000002</v>
      </c>
    </row>
    <row r="72" spans="1:4" x14ac:dyDescent="0.2">
      <c r="A72" s="16" t="s">
        <v>660</v>
      </c>
      <c r="B72" s="16" t="s">
        <v>656</v>
      </c>
      <c r="C72" s="16" t="s">
        <v>663</v>
      </c>
      <c r="D72" s="24">
        <v>2.8320000000000001E-2</v>
      </c>
    </row>
    <row r="73" spans="1:4" x14ac:dyDescent="0.2">
      <c r="A73" s="16" t="s">
        <v>654</v>
      </c>
      <c r="B73" s="16" t="s">
        <v>653</v>
      </c>
      <c r="C73" s="16" t="s">
        <v>664</v>
      </c>
      <c r="D73" s="39">
        <f>1/D65</f>
        <v>3.068425897514575E-6</v>
      </c>
    </row>
    <row r="74" spans="1:4" x14ac:dyDescent="0.2">
      <c r="A74" s="16" t="s">
        <v>654</v>
      </c>
      <c r="B74" s="16" t="s">
        <v>658</v>
      </c>
      <c r="C74" s="16" t="s">
        <v>665</v>
      </c>
      <c r="D74" s="39">
        <f>1/D67</f>
        <v>3.6826598939114067E-5</v>
      </c>
    </row>
    <row r="75" spans="1:4" x14ac:dyDescent="0.2">
      <c r="A75" s="16" t="s">
        <v>654</v>
      </c>
      <c r="B75" s="16" t="s">
        <v>358</v>
      </c>
      <c r="C75" s="16" t="s">
        <v>359</v>
      </c>
      <c r="D75" s="56">
        <f>1/bblTOgal</f>
        <v>2.3809523809523808E-2</v>
      </c>
    </row>
    <row r="76" spans="1:4" x14ac:dyDescent="0.2">
      <c r="A76" s="16" t="s">
        <v>654</v>
      </c>
      <c r="B76" s="16" t="s">
        <v>519</v>
      </c>
      <c r="C76" s="16" t="s">
        <v>520</v>
      </c>
      <c r="D76" s="24">
        <v>3.7854000000000001</v>
      </c>
    </row>
    <row r="77" spans="1:4" x14ac:dyDescent="0.2">
      <c r="A77" s="16" t="s">
        <v>654</v>
      </c>
      <c r="B77" s="16" t="s">
        <v>656</v>
      </c>
      <c r="C77" s="16" t="s">
        <v>666</v>
      </c>
      <c r="D77" s="24">
        <v>3.7850000000000002E-3</v>
      </c>
    </row>
    <row r="78" spans="1:4" x14ac:dyDescent="0.2">
      <c r="A78" s="16" t="s">
        <v>519</v>
      </c>
      <c r="B78" s="16" t="s">
        <v>660</v>
      </c>
      <c r="C78" s="16" t="s">
        <v>367</v>
      </c>
      <c r="D78" s="24">
        <v>3.5310000000000001E-2</v>
      </c>
    </row>
    <row r="79" spans="1:4" x14ac:dyDescent="0.2">
      <c r="A79" s="16" t="s">
        <v>519</v>
      </c>
      <c r="B79" s="16" t="s">
        <v>654</v>
      </c>
      <c r="C79" s="16" t="s">
        <v>368</v>
      </c>
      <c r="D79" s="40">
        <f>1/galTOliter</f>
        <v>0.2641728747292228</v>
      </c>
    </row>
    <row r="80" spans="1:4" x14ac:dyDescent="0.2">
      <c r="A80" s="16" t="s">
        <v>519</v>
      </c>
      <c r="B80" s="16" t="s">
        <v>656</v>
      </c>
      <c r="C80" s="16" t="s">
        <v>369</v>
      </c>
      <c r="D80" s="24">
        <v>1E-3</v>
      </c>
    </row>
    <row r="81" spans="1:4" x14ac:dyDescent="0.2">
      <c r="A81" s="16" t="s">
        <v>656</v>
      </c>
      <c r="B81" s="16" t="s">
        <v>653</v>
      </c>
      <c r="C81" s="16" t="s">
        <v>667</v>
      </c>
      <c r="D81" s="28">
        <f>1/D66</f>
        <v>8.1071308701707845E-4</v>
      </c>
    </row>
    <row r="82" spans="1:4" x14ac:dyDescent="0.2">
      <c r="A82" s="16" t="s">
        <v>656</v>
      </c>
      <c r="B82" s="16" t="s">
        <v>660</v>
      </c>
      <c r="C82" s="16" t="s">
        <v>668</v>
      </c>
      <c r="D82" s="35">
        <f>1/D72</f>
        <v>35.310734463276837</v>
      </c>
    </row>
    <row r="83" spans="1:4" x14ac:dyDescent="0.2">
      <c r="A83" s="16" t="s">
        <v>656</v>
      </c>
      <c r="B83" s="16" t="s">
        <v>654</v>
      </c>
      <c r="C83" s="16" t="s">
        <v>669</v>
      </c>
      <c r="D83" s="36">
        <f>1/D77</f>
        <v>264.20079260237782</v>
      </c>
    </row>
    <row r="84" spans="1:4" x14ac:dyDescent="0.2">
      <c r="A84" s="16" t="s">
        <v>656</v>
      </c>
      <c r="B84" s="16" t="s">
        <v>662</v>
      </c>
      <c r="C84" s="16" t="s">
        <v>351</v>
      </c>
      <c r="D84" s="50">
        <f>1/LTOm3</f>
        <v>1000</v>
      </c>
    </row>
    <row r="85" spans="1:4" x14ac:dyDescent="0.2">
      <c r="A85" s="16" t="s">
        <v>439</v>
      </c>
      <c r="B85" s="16" t="s">
        <v>656</v>
      </c>
      <c r="C85" s="16" t="s">
        <v>440</v>
      </c>
      <c r="D85" s="24">
        <v>0.76454999999999995</v>
      </c>
    </row>
    <row r="86" spans="1:4" x14ac:dyDescent="0.2">
      <c r="D86" s="36"/>
    </row>
    <row r="87" spans="1:4" x14ac:dyDescent="0.2">
      <c r="A87" s="21"/>
      <c r="B87" s="21"/>
      <c r="C87" s="21" t="s">
        <v>469</v>
      </c>
      <c r="D87" s="21"/>
    </row>
    <row r="88" spans="1:4" x14ac:dyDescent="0.2">
      <c r="A88" s="16" t="s">
        <v>762</v>
      </c>
      <c r="B88" s="16" t="s">
        <v>670</v>
      </c>
      <c r="C88" s="16" t="s">
        <v>671</v>
      </c>
      <c r="D88" s="41">
        <v>4.4482200000000001</v>
      </c>
    </row>
    <row r="89" spans="1:4" x14ac:dyDescent="0.2">
      <c r="D89" s="36"/>
    </row>
    <row r="90" spans="1:4" x14ac:dyDescent="0.2">
      <c r="A90" s="21"/>
      <c r="B90" s="21"/>
      <c r="C90" s="21" t="s">
        <v>470</v>
      </c>
      <c r="D90" s="21"/>
    </row>
    <row r="91" spans="1:4" x14ac:dyDescent="0.2">
      <c r="A91" s="16" t="s">
        <v>699</v>
      </c>
      <c r="B91" s="16" t="s">
        <v>700</v>
      </c>
      <c r="C91" s="16" t="s">
        <v>701</v>
      </c>
      <c r="D91" s="42">
        <v>1.01325</v>
      </c>
    </row>
    <row r="92" spans="1:4" x14ac:dyDescent="0.2">
      <c r="A92" s="16" t="s">
        <v>699</v>
      </c>
      <c r="B92" s="16" t="s">
        <v>702</v>
      </c>
      <c r="C92" s="16" t="s">
        <v>703</v>
      </c>
      <c r="D92" s="43">
        <v>14.696</v>
      </c>
    </row>
    <row r="93" spans="1:4" x14ac:dyDescent="0.2">
      <c r="A93" s="16" t="s">
        <v>700</v>
      </c>
      <c r="B93" s="16" t="s">
        <v>704</v>
      </c>
      <c r="C93" s="16" t="s">
        <v>705</v>
      </c>
      <c r="D93" s="24">
        <v>100000</v>
      </c>
    </row>
    <row r="94" spans="1:4" x14ac:dyDescent="0.2">
      <c r="A94" s="16" t="s">
        <v>700</v>
      </c>
      <c r="B94" s="16" t="s">
        <v>702</v>
      </c>
      <c r="C94" s="16" t="s">
        <v>706</v>
      </c>
      <c r="D94" s="43">
        <v>14.5038</v>
      </c>
    </row>
    <row r="95" spans="1:4" x14ac:dyDescent="0.2">
      <c r="A95" s="16" t="s">
        <v>702</v>
      </c>
      <c r="B95" s="16" t="s">
        <v>704</v>
      </c>
      <c r="C95" s="16" t="s">
        <v>707</v>
      </c>
      <c r="D95" s="44">
        <v>6894.76</v>
      </c>
    </row>
    <row r="97" spans="1:6" x14ac:dyDescent="0.2">
      <c r="A97" s="21"/>
      <c r="B97" s="21"/>
      <c r="C97" s="21" t="s">
        <v>329</v>
      </c>
      <c r="D97" s="21"/>
    </row>
    <row r="98" spans="1:6" x14ac:dyDescent="0.2">
      <c r="A98" s="16" t="s">
        <v>708</v>
      </c>
      <c r="B98" s="16" t="s">
        <v>709</v>
      </c>
      <c r="C98" s="16" t="s">
        <v>710</v>
      </c>
      <c r="D98" s="38">
        <v>251.99600000000001</v>
      </c>
      <c r="F98" s="45"/>
    </row>
    <row r="99" spans="1:6" x14ac:dyDescent="0.2">
      <c r="A99" s="16" t="s">
        <v>708</v>
      </c>
      <c r="B99" s="16" t="s">
        <v>711</v>
      </c>
      <c r="C99" s="16" t="s">
        <v>712</v>
      </c>
      <c r="D99" s="46">
        <v>1054.18</v>
      </c>
      <c r="F99" s="45"/>
    </row>
    <row r="100" spans="1:6" x14ac:dyDescent="0.2">
      <c r="A100" s="16" t="s">
        <v>708</v>
      </c>
      <c r="B100" s="16" t="s">
        <v>713</v>
      </c>
      <c r="C100" s="16" t="s">
        <v>714</v>
      </c>
      <c r="D100" s="25">
        <f>D99/1000</f>
        <v>1.0541800000000001</v>
      </c>
      <c r="F100" s="45"/>
    </row>
    <row r="101" spans="1:6" x14ac:dyDescent="0.2">
      <c r="A101" s="16" t="s">
        <v>708</v>
      </c>
      <c r="B101" s="16" t="s">
        <v>719</v>
      </c>
      <c r="C101" s="16" t="s">
        <v>720</v>
      </c>
      <c r="D101" s="24">
        <v>2.92875E-4</v>
      </c>
      <c r="F101" s="45"/>
    </row>
    <row r="102" spans="1:6" x14ac:dyDescent="0.2">
      <c r="A102" s="16" t="s">
        <v>708</v>
      </c>
      <c r="B102" s="16" t="s">
        <v>721</v>
      </c>
      <c r="C102" s="16" t="s">
        <v>722</v>
      </c>
      <c r="D102" s="47">
        <f>D99/1000000</f>
        <v>1.05418E-3</v>
      </c>
      <c r="F102" s="48"/>
    </row>
    <row r="103" spans="1:6" x14ac:dyDescent="0.2">
      <c r="A103" s="16" t="s">
        <v>708</v>
      </c>
      <c r="B103" s="16" t="s">
        <v>723</v>
      </c>
      <c r="C103" s="16" t="s">
        <v>724</v>
      </c>
      <c r="D103" s="23">
        <f>D101*1000</f>
        <v>0.292875</v>
      </c>
    </row>
    <row r="104" spans="1:6" x14ac:dyDescent="0.2">
      <c r="A104" s="16" t="s">
        <v>709</v>
      </c>
      <c r="B104" s="16" t="s">
        <v>708</v>
      </c>
      <c r="C104" s="16" t="s">
        <v>725</v>
      </c>
      <c r="D104" s="47">
        <f>1/D98</f>
        <v>3.9683169574120224E-3</v>
      </c>
    </row>
    <row r="105" spans="1:6" x14ac:dyDescent="0.2">
      <c r="A105" s="16" t="s">
        <v>709</v>
      </c>
      <c r="B105" s="16" t="s">
        <v>711</v>
      </c>
      <c r="C105" s="16" t="s">
        <v>726</v>
      </c>
      <c r="D105" s="24">
        <v>4.1840000000000002</v>
      </c>
    </row>
    <row r="106" spans="1:6" x14ac:dyDescent="0.2">
      <c r="A106" s="16" t="s">
        <v>727</v>
      </c>
      <c r="B106" s="16" t="s">
        <v>728</v>
      </c>
      <c r="C106" s="16" t="s">
        <v>729</v>
      </c>
      <c r="D106" s="36">
        <f>1/D140</f>
        <v>277.82330993134985</v>
      </c>
    </row>
    <row r="107" spans="1:6" x14ac:dyDescent="0.2">
      <c r="A107" s="16" t="s">
        <v>597</v>
      </c>
      <c r="B107" s="16" t="s">
        <v>721</v>
      </c>
      <c r="C107" s="16" t="s">
        <v>598</v>
      </c>
      <c r="D107" s="36">
        <f>galTOL*HHVgasoline</f>
        <v>131.84779857142857</v>
      </c>
    </row>
    <row r="108" spans="1:6" x14ac:dyDescent="0.2">
      <c r="A108" s="16" t="s">
        <v>730</v>
      </c>
      <c r="B108" s="16" t="s">
        <v>731</v>
      </c>
      <c r="C108" s="16" t="s">
        <v>732</v>
      </c>
      <c r="D108" s="23">
        <f>1/D130</f>
        <v>0.2778233099313499</v>
      </c>
    </row>
    <row r="109" spans="1:6" x14ac:dyDescent="0.2">
      <c r="A109" s="16" t="s">
        <v>730</v>
      </c>
      <c r="B109" s="16" t="s">
        <v>745</v>
      </c>
      <c r="C109" s="16" t="s">
        <v>454</v>
      </c>
      <c r="D109" s="23">
        <f>kJTOBtu</f>
        <v>0.94860460262953183</v>
      </c>
    </row>
    <row r="110" spans="1:6" x14ac:dyDescent="0.2">
      <c r="A110" s="16" t="s">
        <v>730</v>
      </c>
      <c r="B110" s="16" t="s">
        <v>620</v>
      </c>
      <c r="C110" s="16" t="s">
        <v>681</v>
      </c>
      <c r="D110" s="23">
        <f>GJTOmmBtu*mmBtuTOtherm</f>
        <v>9.4860460262953179</v>
      </c>
    </row>
    <row r="111" spans="1:6" x14ac:dyDescent="0.2">
      <c r="A111" s="16" t="s">
        <v>711</v>
      </c>
      <c r="B111" s="16" t="s">
        <v>708</v>
      </c>
      <c r="C111" s="16" t="s">
        <v>733</v>
      </c>
      <c r="D111" s="28">
        <f>1/D99</f>
        <v>9.4860460262953192E-4</v>
      </c>
    </row>
    <row r="112" spans="1:6" x14ac:dyDescent="0.2">
      <c r="A112" s="16" t="s">
        <v>711</v>
      </c>
      <c r="B112" s="16" t="s">
        <v>709</v>
      </c>
      <c r="C112" s="16" t="s">
        <v>734</v>
      </c>
      <c r="D112" s="23">
        <f>1/D105</f>
        <v>0.23900573613766729</v>
      </c>
    </row>
    <row r="113" spans="1:5" x14ac:dyDescent="0.2">
      <c r="A113" s="16" t="s">
        <v>711</v>
      </c>
      <c r="B113" s="16" t="s">
        <v>723</v>
      </c>
      <c r="C113" s="16" t="s">
        <v>735</v>
      </c>
      <c r="D113" s="28">
        <f>1/D143</f>
        <v>2.7782330993134986E-4</v>
      </c>
    </row>
    <row r="114" spans="1:5" x14ac:dyDescent="0.2">
      <c r="A114" s="16" t="s">
        <v>736</v>
      </c>
      <c r="B114" s="16" t="s">
        <v>721</v>
      </c>
      <c r="C114" s="16" t="s">
        <v>737</v>
      </c>
      <c r="D114" s="47">
        <f>D105/1000</f>
        <v>4.1840000000000002E-3</v>
      </c>
    </row>
    <row r="115" spans="1:5" x14ac:dyDescent="0.2">
      <c r="A115" s="16" t="s">
        <v>713</v>
      </c>
      <c r="B115" s="16" t="s">
        <v>708</v>
      </c>
      <c r="C115" s="16" t="s">
        <v>738</v>
      </c>
      <c r="D115" s="23">
        <f>1/D100</f>
        <v>0.94860460262953183</v>
      </c>
    </row>
    <row r="116" spans="1:5" x14ac:dyDescent="0.2">
      <c r="A116" s="16" t="s">
        <v>719</v>
      </c>
      <c r="B116" s="16" t="s">
        <v>708</v>
      </c>
      <c r="C116" s="16" t="s">
        <v>739</v>
      </c>
      <c r="D116" s="49">
        <f>1/D101</f>
        <v>3414.4259496372174</v>
      </c>
    </row>
    <row r="117" spans="1:5" x14ac:dyDescent="0.2">
      <c r="A117" s="16" t="s">
        <v>719</v>
      </c>
      <c r="B117" s="16" t="s">
        <v>721</v>
      </c>
      <c r="C117" s="16" t="s">
        <v>740</v>
      </c>
      <c r="D117" s="25">
        <f>D143/1000</f>
        <v>3.5994099999999998</v>
      </c>
    </row>
    <row r="118" spans="1:5" x14ac:dyDescent="0.2">
      <c r="A118" s="16" t="s">
        <v>721</v>
      </c>
      <c r="B118" s="16" t="s">
        <v>708</v>
      </c>
      <c r="C118" s="16" t="s">
        <v>741</v>
      </c>
      <c r="D118" s="36">
        <f>1000000/D99</f>
        <v>948.60460262953188</v>
      </c>
    </row>
    <row r="119" spans="1:5" x14ac:dyDescent="0.2">
      <c r="A119" s="16" t="s">
        <v>721</v>
      </c>
      <c r="B119" s="16" t="s">
        <v>719</v>
      </c>
      <c r="C119" s="16" t="s">
        <v>742</v>
      </c>
      <c r="D119" s="23">
        <f>1/D117</f>
        <v>0.2778233099313499</v>
      </c>
    </row>
    <row r="120" spans="1:5" x14ac:dyDescent="0.2">
      <c r="A120" s="16" t="s">
        <v>721</v>
      </c>
      <c r="B120" s="16" t="s">
        <v>736</v>
      </c>
      <c r="C120" s="16" t="s">
        <v>743</v>
      </c>
      <c r="D120" s="36">
        <f>1/D114</f>
        <v>239.0057361376673</v>
      </c>
    </row>
    <row r="121" spans="1:5" x14ac:dyDescent="0.2">
      <c r="A121" s="16" t="s">
        <v>721</v>
      </c>
      <c r="B121" s="16" t="s">
        <v>731</v>
      </c>
      <c r="C121" s="16" t="s">
        <v>744</v>
      </c>
      <c r="D121" s="28">
        <f>MJTOkWh/1000</f>
        <v>2.7782330993134991E-4</v>
      </c>
    </row>
    <row r="122" spans="1:5" x14ac:dyDescent="0.2">
      <c r="A122" s="16" t="s">
        <v>721</v>
      </c>
      <c r="B122" s="16" t="s">
        <v>620</v>
      </c>
      <c r="C122" s="16" t="s">
        <v>458</v>
      </c>
      <c r="D122" s="55">
        <f>GJTOtherm/1000</f>
        <v>9.4860460262953181E-3</v>
      </c>
    </row>
    <row r="123" spans="1:5" x14ac:dyDescent="0.2">
      <c r="A123" s="16" t="s">
        <v>745</v>
      </c>
      <c r="B123" s="16" t="s">
        <v>721</v>
      </c>
      <c r="C123" s="16" t="s">
        <v>746</v>
      </c>
      <c r="D123" s="50">
        <f>BtuTOJ</f>
        <v>1054.18</v>
      </c>
    </row>
    <row r="124" spans="1:5" x14ac:dyDescent="0.2">
      <c r="A124" s="16" t="s">
        <v>745</v>
      </c>
      <c r="B124" s="16" t="s">
        <v>731</v>
      </c>
      <c r="C124" s="16" t="s">
        <v>747</v>
      </c>
      <c r="D124" s="23">
        <f>D101*1000</f>
        <v>0.292875</v>
      </c>
    </row>
    <row r="125" spans="1:5" x14ac:dyDescent="0.2">
      <c r="A125" s="16" t="s">
        <v>745</v>
      </c>
      <c r="B125" s="16" t="s">
        <v>620</v>
      </c>
      <c r="C125" s="16" t="s">
        <v>455</v>
      </c>
      <c r="D125" s="32">
        <v>10</v>
      </c>
      <c r="E125" s="82" t="s">
        <v>786</v>
      </c>
    </row>
    <row r="126" spans="1:5" x14ac:dyDescent="0.2">
      <c r="A126" s="16" t="s">
        <v>745</v>
      </c>
      <c r="B126" s="16" t="s">
        <v>554</v>
      </c>
      <c r="C126" s="16" t="s">
        <v>345</v>
      </c>
      <c r="D126" s="55">
        <f>mmBtuTOMJ/1000000</f>
        <v>1.05418E-3</v>
      </c>
    </row>
    <row r="127" spans="1:5" x14ac:dyDescent="0.2">
      <c r="A127" s="16" t="s">
        <v>748</v>
      </c>
      <c r="B127" s="16" t="s">
        <v>560</v>
      </c>
      <c r="C127" s="16" t="s">
        <v>561</v>
      </c>
      <c r="D127" s="51">
        <v>11630</v>
      </c>
      <c r="E127" s="82">
        <v>10661</v>
      </c>
    </row>
    <row r="128" spans="1:5" x14ac:dyDescent="0.2">
      <c r="A128" s="16" t="s">
        <v>748</v>
      </c>
      <c r="B128" s="16" t="s">
        <v>745</v>
      </c>
      <c r="C128" s="16" t="s">
        <v>553</v>
      </c>
      <c r="D128" s="52">
        <v>39680000</v>
      </c>
      <c r="E128" s="82">
        <v>10661</v>
      </c>
    </row>
    <row r="129" spans="1:5" x14ac:dyDescent="0.2">
      <c r="A129" s="16" t="s">
        <v>748</v>
      </c>
      <c r="B129" s="16" t="s">
        <v>554</v>
      </c>
      <c r="C129" s="16" t="s">
        <v>555</v>
      </c>
      <c r="D129" s="51">
        <v>41868</v>
      </c>
      <c r="E129" s="82">
        <v>10661</v>
      </c>
    </row>
    <row r="130" spans="1:5" x14ac:dyDescent="0.2">
      <c r="A130" s="16" t="s">
        <v>731</v>
      </c>
      <c r="B130" s="16" t="s">
        <v>730</v>
      </c>
      <c r="C130" s="16" t="s">
        <v>556</v>
      </c>
      <c r="D130" s="25">
        <f>D117</f>
        <v>3.5994099999999998</v>
      </c>
    </row>
    <row r="131" spans="1:5" x14ac:dyDescent="0.2">
      <c r="A131" s="16" t="s">
        <v>731</v>
      </c>
      <c r="B131" s="16" t="s">
        <v>745</v>
      </c>
      <c r="C131" s="16" t="s">
        <v>471</v>
      </c>
      <c r="D131" s="25">
        <f>1/D124</f>
        <v>3.4144259496372174</v>
      </c>
    </row>
    <row r="132" spans="1:5" x14ac:dyDescent="0.2">
      <c r="A132" s="16" t="s">
        <v>731</v>
      </c>
      <c r="B132" s="16" t="s">
        <v>554</v>
      </c>
      <c r="C132" s="16" t="s">
        <v>324</v>
      </c>
      <c r="D132" s="47">
        <f>MWhTOGJ/1000</f>
        <v>3.5994099999999999E-3</v>
      </c>
    </row>
    <row r="133" spans="1:5" x14ac:dyDescent="0.2">
      <c r="A133" s="16" t="s">
        <v>472</v>
      </c>
      <c r="B133" s="16" t="s">
        <v>727</v>
      </c>
      <c r="C133" s="16" t="s">
        <v>473</v>
      </c>
      <c r="D133" s="25">
        <f>quadTOTWh*TWhTOEJ</f>
        <v>1.0541772037499999</v>
      </c>
    </row>
    <row r="134" spans="1:5" x14ac:dyDescent="0.2">
      <c r="A134" s="16" t="s">
        <v>472</v>
      </c>
      <c r="B134" s="16" t="s">
        <v>728</v>
      </c>
      <c r="C134" s="16" t="s">
        <v>474</v>
      </c>
      <c r="D134" s="27">
        <f>1/D141</f>
        <v>292.875</v>
      </c>
    </row>
    <row r="135" spans="1:5" x14ac:dyDescent="0.2">
      <c r="A135" s="16" t="s">
        <v>620</v>
      </c>
      <c r="B135" s="16" t="s">
        <v>708</v>
      </c>
      <c r="C135" s="16" t="s">
        <v>344</v>
      </c>
      <c r="D135" s="51">
        <v>100000</v>
      </c>
      <c r="E135" s="82" t="s">
        <v>786</v>
      </c>
    </row>
    <row r="136" spans="1:5" x14ac:dyDescent="0.2">
      <c r="A136" s="16" t="s">
        <v>620</v>
      </c>
      <c r="B136" s="16" t="s">
        <v>730</v>
      </c>
      <c r="C136" s="16" t="s">
        <v>327</v>
      </c>
      <c r="D136" s="55">
        <f>1/GJTOtherm</f>
        <v>0.10541800000000003</v>
      </c>
    </row>
    <row r="137" spans="1:5" x14ac:dyDescent="0.2">
      <c r="A137" s="16" t="s">
        <v>620</v>
      </c>
      <c r="B137" s="16" t="s">
        <v>719</v>
      </c>
      <c r="C137" s="16" t="s">
        <v>343</v>
      </c>
      <c r="D137" s="54">
        <f>thermTOBtu*BtuTOkWh</f>
        <v>29.287500000000001</v>
      </c>
    </row>
    <row r="138" spans="1:5" x14ac:dyDescent="0.2">
      <c r="A138" s="16" t="s">
        <v>620</v>
      </c>
      <c r="B138" s="16" t="s">
        <v>721</v>
      </c>
      <c r="C138" s="16" t="s">
        <v>457</v>
      </c>
      <c r="D138" s="27">
        <f>1/MJTOtherm</f>
        <v>105.41800000000002</v>
      </c>
    </row>
    <row r="139" spans="1:5" x14ac:dyDescent="0.2">
      <c r="A139" s="16" t="s">
        <v>620</v>
      </c>
      <c r="B139" s="16" t="s">
        <v>554</v>
      </c>
      <c r="C139" s="16" t="s">
        <v>511</v>
      </c>
      <c r="D139" s="16">
        <f>thermTOMJ/1000000</f>
        <v>1.0541800000000003E-4</v>
      </c>
    </row>
    <row r="140" spans="1:5" x14ac:dyDescent="0.2">
      <c r="A140" s="16" t="s">
        <v>728</v>
      </c>
      <c r="B140" s="16" t="s">
        <v>727</v>
      </c>
      <c r="C140" s="16" t="s">
        <v>475</v>
      </c>
      <c r="D140" s="47">
        <f>WhTOJ/1000000</f>
        <v>3.5994099999999999E-3</v>
      </c>
    </row>
    <row r="141" spans="1:5" x14ac:dyDescent="0.2">
      <c r="A141" s="16" t="s">
        <v>728</v>
      </c>
      <c r="B141" s="16" t="s">
        <v>472</v>
      </c>
      <c r="C141" s="16" t="s">
        <v>476</v>
      </c>
      <c r="D141" s="47">
        <f>D131/1000</f>
        <v>3.4144259496372174E-3</v>
      </c>
    </row>
    <row r="142" spans="1:5" x14ac:dyDescent="0.2">
      <c r="A142" s="16" t="s">
        <v>723</v>
      </c>
      <c r="B142" s="16" t="s">
        <v>708</v>
      </c>
      <c r="C142" s="16" t="s">
        <v>477</v>
      </c>
      <c r="D142" s="25">
        <f>1/D103</f>
        <v>3.4144259496372174</v>
      </c>
    </row>
    <row r="143" spans="1:5" x14ac:dyDescent="0.2">
      <c r="A143" s="16" t="s">
        <v>723</v>
      </c>
      <c r="B143" s="16" t="s">
        <v>711</v>
      </c>
      <c r="C143" s="16" t="s">
        <v>478</v>
      </c>
      <c r="D143" s="24">
        <v>3599.41</v>
      </c>
    </row>
    <row r="145" spans="1:4" x14ac:dyDescent="0.2">
      <c r="A145" s="21"/>
      <c r="B145" s="21"/>
      <c r="C145" s="21" t="s">
        <v>330</v>
      </c>
      <c r="D145" s="21"/>
    </row>
    <row r="146" spans="1:4" x14ac:dyDescent="0.2">
      <c r="A146" s="16" t="s">
        <v>479</v>
      </c>
      <c r="B146" s="16" t="s">
        <v>480</v>
      </c>
      <c r="C146" s="16" t="s">
        <v>481</v>
      </c>
      <c r="D146" s="23">
        <f>1000/D33</f>
        <v>0.27777777777777779</v>
      </c>
    </row>
    <row r="147" spans="1:4" x14ac:dyDescent="0.2">
      <c r="A147" s="16" t="s">
        <v>482</v>
      </c>
      <c r="B147" s="16" t="s">
        <v>483</v>
      </c>
      <c r="C147" s="16" t="s">
        <v>484</v>
      </c>
      <c r="D147" s="51">
        <v>1000000</v>
      </c>
    </row>
    <row r="148" spans="1:4" x14ac:dyDescent="0.2">
      <c r="A148" s="16" t="s">
        <v>482</v>
      </c>
      <c r="B148" s="16" t="s">
        <v>485</v>
      </c>
      <c r="C148" s="16" t="s">
        <v>486</v>
      </c>
      <c r="D148" s="26">
        <f>1/D155</f>
        <v>2.9910371318822026E-2</v>
      </c>
    </row>
    <row r="149" spans="1:4" x14ac:dyDescent="0.2">
      <c r="A149" s="16" t="s">
        <v>482</v>
      </c>
      <c r="B149" s="16" t="s">
        <v>487</v>
      </c>
      <c r="C149" s="16" t="s">
        <v>488</v>
      </c>
      <c r="D149" s="53">
        <f>1/D156</f>
        <v>8.76</v>
      </c>
    </row>
    <row r="150" spans="1:4" x14ac:dyDescent="0.2">
      <c r="A150" s="16" t="s">
        <v>489</v>
      </c>
      <c r="B150" s="16" t="s">
        <v>483</v>
      </c>
      <c r="C150" s="16" t="s">
        <v>490</v>
      </c>
      <c r="D150" s="24">
        <v>0.746</v>
      </c>
    </row>
    <row r="151" spans="1:4" x14ac:dyDescent="0.2">
      <c r="A151" s="16" t="s">
        <v>483</v>
      </c>
      <c r="B151" s="16" t="s">
        <v>489</v>
      </c>
      <c r="C151" s="16" t="s">
        <v>491</v>
      </c>
      <c r="D151" s="25">
        <f>1/D150</f>
        <v>1.3404825737265416</v>
      </c>
    </row>
    <row r="152" spans="1:4" x14ac:dyDescent="0.2">
      <c r="A152" s="16" t="s">
        <v>492</v>
      </c>
      <c r="B152" s="16" t="s">
        <v>483</v>
      </c>
      <c r="C152" s="16" t="s">
        <v>493</v>
      </c>
      <c r="D152" s="40">
        <f>GJ.hrTOMW</f>
        <v>0.27777777777777779</v>
      </c>
    </row>
    <row r="153" spans="1:4" x14ac:dyDescent="0.2">
      <c r="A153" s="16" t="s">
        <v>480</v>
      </c>
      <c r="B153" s="16" t="s">
        <v>479</v>
      </c>
      <c r="C153" s="16" t="s">
        <v>494</v>
      </c>
      <c r="D153" s="25">
        <f>1/D146</f>
        <v>3.5999999999999996</v>
      </c>
    </row>
    <row r="154" spans="1:4" x14ac:dyDescent="0.2">
      <c r="A154" s="16" t="s">
        <v>480</v>
      </c>
      <c r="B154" s="16" t="s">
        <v>483</v>
      </c>
      <c r="C154" s="16" t="s">
        <v>495</v>
      </c>
      <c r="D154" s="51">
        <v>1000</v>
      </c>
    </row>
    <row r="155" spans="1:4" x14ac:dyDescent="0.2">
      <c r="A155" s="16" t="s">
        <v>485</v>
      </c>
      <c r="B155" s="16" t="s">
        <v>482</v>
      </c>
      <c r="C155" s="16" t="s">
        <v>496</v>
      </c>
      <c r="D155" s="54">
        <f>quadTOTWh*hrTOyr*1000</f>
        <v>33.43321917808219</v>
      </c>
    </row>
    <row r="156" spans="1:4" x14ac:dyDescent="0.2">
      <c r="A156" s="16" t="s">
        <v>487</v>
      </c>
      <c r="B156" s="16" t="s">
        <v>482</v>
      </c>
      <c r="C156" s="16" t="s">
        <v>497</v>
      </c>
      <c r="D156" s="40">
        <f>1000*hrTOyr</f>
        <v>0.11415525114155251</v>
      </c>
    </row>
    <row r="158" spans="1:4" x14ac:dyDescent="0.2">
      <c r="A158" s="21"/>
      <c r="B158" s="21"/>
      <c r="C158" s="21" t="s">
        <v>331</v>
      </c>
      <c r="D158" s="21"/>
    </row>
    <row r="159" spans="1:4" x14ac:dyDescent="0.2">
      <c r="A159" s="16" t="s">
        <v>498</v>
      </c>
      <c r="B159" s="16" t="s">
        <v>499</v>
      </c>
      <c r="C159" s="16" t="s">
        <v>500</v>
      </c>
      <c r="D159" s="24">
        <v>6.3089999999999993E-2</v>
      </c>
    </row>
    <row r="160" spans="1:4" x14ac:dyDescent="0.2">
      <c r="A160" s="16" t="s">
        <v>370</v>
      </c>
      <c r="B160" s="16" t="s">
        <v>498</v>
      </c>
      <c r="C160" s="16" t="s">
        <v>371</v>
      </c>
      <c r="D160" s="35">
        <f>1/D159</f>
        <v>15.85037248375337</v>
      </c>
    </row>
    <row r="161" spans="1:4" ht="13.5" x14ac:dyDescent="0.2">
      <c r="A161" s="16" t="s">
        <v>562</v>
      </c>
      <c r="B161" s="16" t="s">
        <v>498</v>
      </c>
      <c r="C161" s="16" t="s">
        <v>501</v>
      </c>
      <c r="D161" s="40">
        <f>L.sTOgpm*38:38/LTOm3</f>
        <v>0.1834522111269615</v>
      </c>
    </row>
    <row r="163" spans="1:4" x14ac:dyDescent="0.2">
      <c r="A163" s="21"/>
      <c r="B163" s="21"/>
      <c r="C163" s="21" t="s">
        <v>332</v>
      </c>
      <c r="D163" s="21"/>
    </row>
    <row r="164" spans="1:4" x14ac:dyDescent="0.2">
      <c r="A164" s="16" t="s">
        <v>502</v>
      </c>
      <c r="B164" s="16" t="s">
        <v>503</v>
      </c>
      <c r="C164" s="16" t="s">
        <v>504</v>
      </c>
      <c r="D164" s="47">
        <f>1/(D150*1000)</f>
        <v>1.3404825737265416E-3</v>
      </c>
    </row>
    <row r="165" spans="1:4" x14ac:dyDescent="0.2">
      <c r="A165" s="16" t="s">
        <v>505</v>
      </c>
      <c r="B165" s="16" t="s">
        <v>503</v>
      </c>
      <c r="C165" s="16" t="s">
        <v>506</v>
      </c>
      <c r="D165" s="28">
        <f>1/D168</f>
        <v>9.4860460262953192E-4</v>
      </c>
    </row>
    <row r="166" spans="1:4" x14ac:dyDescent="0.2">
      <c r="A166" s="16" t="s">
        <v>507</v>
      </c>
      <c r="B166" s="16" t="s">
        <v>503</v>
      </c>
      <c r="C166" s="16" t="s">
        <v>508</v>
      </c>
      <c r="D166" s="23">
        <f>1/D169</f>
        <v>0.94860460262953183</v>
      </c>
    </row>
    <row r="167" spans="1:4" x14ac:dyDescent="0.2">
      <c r="A167" s="16" t="s">
        <v>503</v>
      </c>
      <c r="B167" s="16" t="s">
        <v>502</v>
      </c>
      <c r="C167" s="16" t="s">
        <v>509</v>
      </c>
      <c r="D167" s="36">
        <f>1/D164</f>
        <v>746</v>
      </c>
    </row>
    <row r="168" spans="1:4" x14ac:dyDescent="0.2">
      <c r="A168" s="16" t="s">
        <v>503</v>
      </c>
      <c r="B168" s="16" t="s">
        <v>505</v>
      </c>
      <c r="C168" s="16" t="s">
        <v>688</v>
      </c>
      <c r="D168" s="49">
        <f>D99</f>
        <v>1054.18</v>
      </c>
    </row>
    <row r="169" spans="1:4" x14ac:dyDescent="0.2">
      <c r="A169" s="16" t="s">
        <v>503</v>
      </c>
      <c r="B169" s="16" t="s">
        <v>507</v>
      </c>
      <c r="C169" s="16" t="s">
        <v>689</v>
      </c>
      <c r="D169" s="25">
        <f>D100</f>
        <v>1.0541800000000001</v>
      </c>
    </row>
    <row r="171" spans="1:4" x14ac:dyDescent="0.2">
      <c r="A171" s="21"/>
      <c r="B171" s="21"/>
      <c r="C171" s="21" t="s">
        <v>333</v>
      </c>
      <c r="D171" s="21"/>
    </row>
    <row r="172" spans="1:4" x14ac:dyDescent="0.2">
      <c r="A172" s="16" t="s">
        <v>690</v>
      </c>
      <c r="B172" s="16" t="s">
        <v>691</v>
      </c>
      <c r="C172" s="16" t="s">
        <v>692</v>
      </c>
      <c r="D172" s="25">
        <f>D17*D151</f>
        <v>2.9552084958698002</v>
      </c>
    </row>
    <row r="173" spans="1:4" x14ac:dyDescent="0.2">
      <c r="A173" s="16" t="s">
        <v>693</v>
      </c>
      <c r="B173" s="16" t="s">
        <v>691</v>
      </c>
      <c r="C173" s="16" t="s">
        <v>694</v>
      </c>
      <c r="D173" s="25">
        <f>D17</f>
        <v>2.204585537918871</v>
      </c>
    </row>
    <row r="174" spans="1:4" x14ac:dyDescent="0.2">
      <c r="A174" s="16" t="s">
        <v>695</v>
      </c>
      <c r="B174" s="16" t="s">
        <v>691</v>
      </c>
      <c r="C174" s="16" t="s">
        <v>696</v>
      </c>
      <c r="D174" s="25">
        <f>1/D180</f>
        <v>7.9352072310405646</v>
      </c>
    </row>
    <row r="175" spans="1:4" x14ac:dyDescent="0.2">
      <c r="A175" s="16" t="s">
        <v>697</v>
      </c>
      <c r="B175" s="16" t="s">
        <v>698</v>
      </c>
      <c r="C175" s="16" t="s">
        <v>521</v>
      </c>
      <c r="D175" s="28">
        <f>D20</f>
        <v>4.5360000000000002E-4</v>
      </c>
    </row>
    <row r="176" spans="1:4" x14ac:dyDescent="0.2">
      <c r="A176" s="16" t="s">
        <v>697</v>
      </c>
      <c r="B176" s="16" t="s">
        <v>522</v>
      </c>
      <c r="C176" s="16" t="s">
        <v>523</v>
      </c>
      <c r="D176" s="36">
        <f>1/D182</f>
        <v>430.28704775275571</v>
      </c>
    </row>
    <row r="177" spans="1:4" x14ac:dyDescent="0.2">
      <c r="A177" s="16" t="s">
        <v>697</v>
      </c>
      <c r="B177" s="16" t="s">
        <v>524</v>
      </c>
      <c r="C177" s="16" t="s">
        <v>525</v>
      </c>
      <c r="D177" s="23">
        <f>1/D183</f>
        <v>0.45360000000000006</v>
      </c>
    </row>
    <row r="178" spans="1:4" x14ac:dyDescent="0.2">
      <c r="A178" s="16" t="s">
        <v>691</v>
      </c>
      <c r="B178" s="16" t="s">
        <v>690</v>
      </c>
      <c r="C178" s="16" t="s">
        <v>526</v>
      </c>
      <c r="D178" s="23">
        <f>1/D172</f>
        <v>0.33838560000000006</v>
      </c>
    </row>
    <row r="179" spans="1:4" x14ac:dyDescent="0.2">
      <c r="A179" s="16" t="s">
        <v>691</v>
      </c>
      <c r="B179" s="16" t="s">
        <v>693</v>
      </c>
      <c r="C179" s="16" t="s">
        <v>527</v>
      </c>
      <c r="D179" s="16">
        <f>1/D173</f>
        <v>0.45360000000000006</v>
      </c>
    </row>
    <row r="180" spans="1:4" x14ac:dyDescent="0.2">
      <c r="A180" s="16" t="s">
        <v>691</v>
      </c>
      <c r="B180" s="16" t="s">
        <v>695</v>
      </c>
      <c r="C180" s="16" t="s">
        <v>528</v>
      </c>
      <c r="D180" s="23">
        <f>D19/D130</f>
        <v>0.12602065338486029</v>
      </c>
    </row>
    <row r="181" spans="1:4" x14ac:dyDescent="0.2">
      <c r="A181" s="16" t="s">
        <v>691</v>
      </c>
      <c r="B181" s="16" t="s">
        <v>529</v>
      </c>
      <c r="C181" s="16" t="s">
        <v>715</v>
      </c>
      <c r="D181" s="16">
        <f>1/D184</f>
        <v>0.5</v>
      </c>
    </row>
    <row r="182" spans="1:4" x14ac:dyDescent="0.2">
      <c r="A182" s="16" t="s">
        <v>522</v>
      </c>
      <c r="B182" s="16" t="s">
        <v>697</v>
      </c>
      <c r="C182" s="16" t="s">
        <v>716</v>
      </c>
      <c r="D182" s="47">
        <f>D17/(D111*1000000)</f>
        <v>2.3240299823633157E-3</v>
      </c>
    </row>
    <row r="183" spans="1:4" x14ac:dyDescent="0.2">
      <c r="A183" s="16" t="s">
        <v>524</v>
      </c>
      <c r="B183" s="16" t="s">
        <v>697</v>
      </c>
      <c r="C183" s="16" t="s">
        <v>717</v>
      </c>
      <c r="D183" s="25">
        <f>D17</f>
        <v>2.204585537918871</v>
      </c>
    </row>
    <row r="184" spans="1:4" x14ac:dyDescent="0.2">
      <c r="A184" s="16" t="s">
        <v>529</v>
      </c>
      <c r="B184" s="16" t="s">
        <v>691</v>
      </c>
      <c r="C184" s="16" t="s">
        <v>718</v>
      </c>
      <c r="D184" s="25">
        <f>2000/1000</f>
        <v>2</v>
      </c>
    </row>
    <row r="186" spans="1:4" x14ac:dyDescent="0.2">
      <c r="A186" s="21"/>
      <c r="B186" s="21"/>
      <c r="C186" s="21" t="s">
        <v>334</v>
      </c>
      <c r="D186" s="21"/>
    </row>
    <row r="187" spans="1:4" x14ac:dyDescent="0.2">
      <c r="A187" s="16" t="s">
        <v>532</v>
      </c>
      <c r="B187" s="16" t="s">
        <v>533</v>
      </c>
      <c r="C187" s="16" t="s">
        <v>534</v>
      </c>
      <c r="D187" s="55">
        <f>D100/(D19*1000)</f>
        <v>2.3240299823633157E-3</v>
      </c>
    </row>
    <row r="188" spans="1:4" x14ac:dyDescent="0.2">
      <c r="A188" s="16" t="s">
        <v>532</v>
      </c>
      <c r="B188" s="16" t="s">
        <v>535</v>
      </c>
      <c r="C188" s="16" t="s">
        <v>536</v>
      </c>
      <c r="D188" s="55">
        <f>1/D193</f>
        <v>2E-3</v>
      </c>
    </row>
    <row r="189" spans="1:4" x14ac:dyDescent="0.2">
      <c r="A189" s="16" t="s">
        <v>537</v>
      </c>
      <c r="B189" s="16" t="s">
        <v>533</v>
      </c>
      <c r="C189" s="16" t="s">
        <v>538</v>
      </c>
      <c r="D189" s="55">
        <f>D117/(D19*2000)</f>
        <v>3.9676036155202815E-3</v>
      </c>
    </row>
    <row r="190" spans="1:4" x14ac:dyDescent="0.2">
      <c r="A190" s="16" t="s">
        <v>533</v>
      </c>
      <c r="B190" s="16" t="s">
        <v>532</v>
      </c>
      <c r="C190" s="16" t="s">
        <v>539</v>
      </c>
      <c r="D190" s="36">
        <f>1/D187</f>
        <v>430.28704775275571</v>
      </c>
    </row>
    <row r="191" spans="1:4" x14ac:dyDescent="0.2">
      <c r="A191" s="16" t="s">
        <v>533</v>
      </c>
      <c r="B191" s="16" t="s">
        <v>537</v>
      </c>
      <c r="C191" s="16" t="s">
        <v>540</v>
      </c>
      <c r="D191" s="27">
        <f>1/D189</f>
        <v>252.04130676972062</v>
      </c>
    </row>
    <row r="192" spans="1:4" x14ac:dyDescent="0.2">
      <c r="A192" s="16" t="s">
        <v>533</v>
      </c>
      <c r="B192" s="16" t="s">
        <v>535</v>
      </c>
      <c r="C192" s="16" t="s">
        <v>541</v>
      </c>
      <c r="D192" s="40">
        <f>MJ.kgTOBtu.lb*Btu.lbTOmmBtu.ton</f>
        <v>0.86057409550551145</v>
      </c>
    </row>
    <row r="193" spans="1:4" x14ac:dyDescent="0.2">
      <c r="A193" s="16" t="s">
        <v>535</v>
      </c>
      <c r="B193" s="16" t="s">
        <v>532</v>
      </c>
      <c r="C193" s="16" t="s">
        <v>542</v>
      </c>
      <c r="D193" s="27">
        <f>1000000/D25</f>
        <v>500</v>
      </c>
    </row>
    <row r="194" spans="1:4" x14ac:dyDescent="0.2">
      <c r="D194" s="55"/>
    </row>
    <row r="195" spans="1:4" x14ac:dyDescent="0.2">
      <c r="A195" s="21"/>
      <c r="B195" s="21"/>
      <c r="C195" s="21" t="s">
        <v>335</v>
      </c>
      <c r="D195" s="21"/>
    </row>
    <row r="196" spans="1:4" x14ac:dyDescent="0.2">
      <c r="A196" s="16" t="s">
        <v>543</v>
      </c>
      <c r="B196" s="16" t="s">
        <v>544</v>
      </c>
      <c r="C196" s="16" t="s">
        <v>545</v>
      </c>
      <c r="D196" s="56">
        <f>BtuTOkJ/(1000*ft3TOm3)</f>
        <v>3.7223870056497181E-2</v>
      </c>
    </row>
    <row r="197" spans="1:4" x14ac:dyDescent="0.2">
      <c r="A197" s="16" t="s">
        <v>544</v>
      </c>
      <c r="B197" s="16" t="s">
        <v>543</v>
      </c>
      <c r="C197" s="16" t="s">
        <v>546</v>
      </c>
      <c r="D197" s="35">
        <f>1/D196</f>
        <v>26.864482346468339</v>
      </c>
    </row>
    <row r="198" spans="1:4" x14ac:dyDescent="0.2">
      <c r="D198" s="35"/>
    </row>
    <row r="199" spans="1:4" x14ac:dyDescent="0.2">
      <c r="A199" s="21"/>
      <c r="B199" s="21"/>
      <c r="C199" s="21" t="s">
        <v>336</v>
      </c>
      <c r="D199" s="21"/>
    </row>
    <row r="200" spans="1:4" x14ac:dyDescent="0.2">
      <c r="A200" s="16" t="s">
        <v>547</v>
      </c>
      <c r="B200" s="16" t="s">
        <v>548</v>
      </c>
      <c r="C200" s="16" t="s">
        <v>549</v>
      </c>
      <c r="D200" s="53">
        <f>kmTOmi*D76</f>
        <v>2.3526413921690494</v>
      </c>
    </row>
    <row r="201" spans="1:4" x14ac:dyDescent="0.2">
      <c r="D201" s="35"/>
    </row>
    <row r="202" spans="1:4" x14ac:dyDescent="0.2">
      <c r="A202" s="21"/>
      <c r="B202" s="21"/>
      <c r="C202" s="21" t="s">
        <v>337</v>
      </c>
      <c r="D202" s="21"/>
    </row>
    <row r="203" spans="1:4" x14ac:dyDescent="0.2">
      <c r="A203" s="16" t="s">
        <v>550</v>
      </c>
      <c r="B203" s="16" t="s">
        <v>557</v>
      </c>
      <c r="C203" s="16" t="s">
        <v>558</v>
      </c>
      <c r="D203" s="40">
        <f>MgTOton/haTOacre</f>
        <v>0.44609338830221129</v>
      </c>
    </row>
    <row r="205" spans="1:4" x14ac:dyDescent="0.2">
      <c r="D205" s="27"/>
    </row>
    <row r="206" spans="1:4" x14ac:dyDescent="0.2">
      <c r="A206" s="57" t="s">
        <v>559</v>
      </c>
    </row>
    <row r="207" spans="1:4" x14ac:dyDescent="0.2">
      <c r="A207" s="24" t="s">
        <v>268</v>
      </c>
    </row>
    <row r="208" spans="1:4" x14ac:dyDescent="0.2">
      <c r="A208" s="24" t="s">
        <v>563</v>
      </c>
    </row>
    <row r="209" spans="1:1" x14ac:dyDescent="0.2">
      <c r="A209" s="16" t="s">
        <v>379</v>
      </c>
    </row>
    <row r="210" spans="1:1" x14ac:dyDescent="0.2">
      <c r="A210" s="16" t="s">
        <v>400</v>
      </c>
    </row>
    <row r="211" spans="1:1" x14ac:dyDescent="0.2">
      <c r="A211" s="16" t="s">
        <v>240</v>
      </c>
    </row>
    <row r="212" spans="1:1" x14ac:dyDescent="0.2">
      <c r="A212" s="16" t="s">
        <v>321</v>
      </c>
    </row>
    <row r="213" spans="1:1" x14ac:dyDescent="0.2">
      <c r="A213" s="16" t="s">
        <v>372</v>
      </c>
    </row>
    <row r="214" spans="1:1" x14ac:dyDescent="0.2">
      <c r="A214" s="16" t="s">
        <v>399</v>
      </c>
    </row>
  </sheetData>
  <customSheetViews>
    <customSheetView guid="{9BEC6399-AE85-4D88-8FBA-3674E2F30307}">
      <selection activeCell="D27" sqref="D27"/>
      <pageMargins left="0.75" right="0.75" top="1" bottom="1" header="0.5" footer="0.5"/>
      <headerFooter alignWithMargins="0"/>
    </customSheetView>
    <customSheetView guid="{0347A67A-6027-4907-965C-6EA2A8295536}">
      <selection activeCell="D27" sqref="D27"/>
      <pageMargins left="0.75" right="0.75" top="1" bottom="1" header="0.5" footer="0.5"/>
      <headerFooter alignWithMargins="0"/>
    </customSheetView>
    <customSheetView guid="{15CC7F3D-99AB-49C1-AC00-E04D3FE3FBC1}" topLeftCell="A2">
      <selection activeCell="D27" sqref="D27"/>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0"/>
  <sheetViews>
    <sheetView workbookViewId="0">
      <selection activeCell="B19" sqref="B19"/>
    </sheetView>
  </sheetViews>
  <sheetFormatPr defaultColWidth="8.7109375" defaultRowHeight="12" x14ac:dyDescent="0.2"/>
  <cols>
    <col min="1" max="1" width="26.85546875" customWidth="1"/>
    <col min="2" max="2" width="17" style="1843" customWidth="1"/>
    <col min="3" max="3" width="22.7109375" style="1843" customWidth="1"/>
    <col min="4" max="4" width="26.5703125" style="1843" customWidth="1"/>
    <col min="5" max="5" width="32.42578125" style="1843" customWidth="1"/>
  </cols>
  <sheetData>
    <row r="1" spans="1:9" s="16" customFormat="1" ht="27.75" customHeight="1" x14ac:dyDescent="0.2">
      <c r="A1" s="66" t="s">
        <v>1910</v>
      </c>
      <c r="B1" s="2002"/>
      <c r="C1" s="1994"/>
      <c r="D1" s="1994"/>
      <c r="E1" s="1994"/>
      <c r="G1" s="69"/>
      <c r="H1" s="69"/>
      <c r="I1" s="123"/>
    </row>
    <row r="3" spans="1:9" s="72" customFormat="1" x14ac:dyDescent="0.2">
      <c r="A3" s="1857" t="s">
        <v>1250</v>
      </c>
      <c r="B3" s="2003"/>
      <c r="C3" s="2001" t="s">
        <v>1920</v>
      </c>
      <c r="D3" s="2001" t="s">
        <v>600</v>
      </c>
      <c r="E3" s="2001" t="s">
        <v>1935</v>
      </c>
      <c r="F3" s="2000" t="s">
        <v>1934</v>
      </c>
      <c r="G3" s="2000" t="s">
        <v>1921</v>
      </c>
    </row>
    <row r="4" spans="1:9" ht="36" x14ac:dyDescent="0.2">
      <c r="A4" s="65" t="s">
        <v>512</v>
      </c>
      <c r="B4" s="1843" t="s">
        <v>513</v>
      </c>
    </row>
    <row r="5" spans="1:9" ht="60" x14ac:dyDescent="0.2">
      <c r="A5" s="65" t="s">
        <v>267</v>
      </c>
      <c r="B5" s="1843" t="s">
        <v>1251</v>
      </c>
    </row>
    <row r="6" spans="1:9" ht="36" x14ac:dyDescent="0.2">
      <c r="A6" s="65" t="s">
        <v>1911</v>
      </c>
      <c r="B6" s="1843" t="s">
        <v>1396</v>
      </c>
    </row>
    <row r="7" spans="1:9" ht="48" x14ac:dyDescent="0.2">
      <c r="A7" s="1986" t="s">
        <v>794</v>
      </c>
      <c r="B7" s="2004" t="s">
        <v>838</v>
      </c>
    </row>
    <row r="8" spans="1:9" x14ac:dyDescent="0.2">
      <c r="A8" s="1987" t="s">
        <v>797</v>
      </c>
      <c r="D8" s="1843" t="s">
        <v>1924</v>
      </c>
      <c r="E8" s="1843" t="s">
        <v>1936</v>
      </c>
    </row>
    <row r="9" spans="1:9" x14ac:dyDescent="0.2">
      <c r="A9" s="1987" t="s">
        <v>749</v>
      </c>
      <c r="C9" s="1843" t="s">
        <v>1925</v>
      </c>
      <c r="D9" s="1843" t="s">
        <v>1925</v>
      </c>
      <c r="E9" s="1843" t="s">
        <v>1937</v>
      </c>
    </row>
    <row r="10" spans="1:9" x14ac:dyDescent="0.2">
      <c r="A10" s="1987" t="s">
        <v>1330</v>
      </c>
      <c r="D10" s="1843" t="s">
        <v>1926</v>
      </c>
    </row>
    <row r="11" spans="1:9" x14ac:dyDescent="0.2">
      <c r="A11" s="1987" t="s">
        <v>750</v>
      </c>
      <c r="C11" s="1843" t="s">
        <v>1925</v>
      </c>
      <c r="E11" s="1843" t="s">
        <v>1937</v>
      </c>
    </row>
    <row r="12" spans="1:9" x14ac:dyDescent="0.2">
      <c r="A12" s="1987" t="s">
        <v>751</v>
      </c>
      <c r="D12" s="1843" t="s">
        <v>1926</v>
      </c>
    </row>
    <row r="13" spans="1:9" ht="24" x14ac:dyDescent="0.2">
      <c r="A13" s="1988" t="s">
        <v>854</v>
      </c>
      <c r="C13" s="1843" t="s">
        <v>1941</v>
      </c>
      <c r="D13" s="1843" t="s">
        <v>1929</v>
      </c>
      <c r="E13" s="1843" t="s">
        <v>1938</v>
      </c>
    </row>
    <row r="14" spans="1:9" x14ac:dyDescent="0.2">
      <c r="A14" s="1988" t="s">
        <v>855</v>
      </c>
      <c r="D14" s="1843" t="s">
        <v>1928</v>
      </c>
      <c r="E14" s="1843" t="s">
        <v>1938</v>
      </c>
    </row>
    <row r="15" spans="1:9" ht="24" x14ac:dyDescent="0.2">
      <c r="A15" s="1988" t="s">
        <v>856</v>
      </c>
      <c r="D15" s="1843" t="s">
        <v>1927</v>
      </c>
    </row>
    <row r="16" spans="1:9" x14ac:dyDescent="0.2">
      <c r="A16" s="1988" t="s">
        <v>1208</v>
      </c>
      <c r="D16" s="1843" t="s">
        <v>1926</v>
      </c>
    </row>
    <row r="17" spans="1:5" ht="36" x14ac:dyDescent="0.2">
      <c r="A17" s="1990" t="s">
        <v>1205</v>
      </c>
      <c r="C17" s="1843" t="s">
        <v>1928</v>
      </c>
      <c r="D17" s="1843" t="s">
        <v>1923</v>
      </c>
      <c r="E17" s="1843" t="s">
        <v>1938</v>
      </c>
    </row>
    <row r="18" spans="1:5" x14ac:dyDescent="0.2">
      <c r="A18" s="1990" t="s">
        <v>1206</v>
      </c>
      <c r="C18" s="1843" t="s">
        <v>1930</v>
      </c>
      <c r="D18" s="1843" t="s">
        <v>1930</v>
      </c>
      <c r="E18" s="1843" t="s">
        <v>1939</v>
      </c>
    </row>
    <row r="19" spans="1:5" x14ac:dyDescent="0.2">
      <c r="A19" s="1990" t="s">
        <v>793</v>
      </c>
      <c r="C19" s="1843" t="s">
        <v>1930</v>
      </c>
      <c r="D19" s="1843" t="s">
        <v>1930</v>
      </c>
      <c r="E19" s="1843" t="s">
        <v>1939</v>
      </c>
    </row>
    <row r="20" spans="1:5" hidden="1" x14ac:dyDescent="0.2">
      <c r="A20" s="1990" t="s">
        <v>1207</v>
      </c>
    </row>
    <row r="21" spans="1:5" x14ac:dyDescent="0.2">
      <c r="A21" s="1991" t="s">
        <v>753</v>
      </c>
      <c r="D21" s="1843" t="s">
        <v>1931</v>
      </c>
    </row>
    <row r="22" spans="1:5" x14ac:dyDescent="0.2">
      <c r="A22" s="1991" t="s">
        <v>752</v>
      </c>
      <c r="D22" s="1843" t="s">
        <v>1932</v>
      </c>
      <c r="E22" s="1843" t="s">
        <v>1940</v>
      </c>
    </row>
    <row r="23" spans="1:5" x14ac:dyDescent="0.2">
      <c r="A23" s="1992" t="s">
        <v>1912</v>
      </c>
      <c r="C23" s="1843" t="s">
        <v>1933</v>
      </c>
      <c r="D23" s="1843" t="s">
        <v>1933</v>
      </c>
    </row>
    <row r="24" spans="1:5" x14ac:dyDescent="0.2">
      <c r="A24" s="1992" t="s">
        <v>1913</v>
      </c>
      <c r="C24" s="1843" t="s">
        <v>1933</v>
      </c>
      <c r="D24" s="1843" t="s">
        <v>1933</v>
      </c>
    </row>
    <row r="25" spans="1:5" x14ac:dyDescent="0.2">
      <c r="A25" s="1989" t="s">
        <v>1079</v>
      </c>
      <c r="C25" s="1843" t="s">
        <v>1925</v>
      </c>
      <c r="D25" s="1843" t="s">
        <v>1925</v>
      </c>
      <c r="E25" s="1843" t="s">
        <v>1938</v>
      </c>
    </row>
    <row r="26" spans="1:5" ht="24" x14ac:dyDescent="0.2">
      <c r="A26" s="1993" t="s">
        <v>1300</v>
      </c>
      <c r="C26" s="1843" t="s">
        <v>1942</v>
      </c>
      <c r="D26" s="1843" t="s">
        <v>1922</v>
      </c>
    </row>
    <row r="27" spans="1:5" ht="24" x14ac:dyDescent="0.2">
      <c r="A27" s="197" t="s">
        <v>516</v>
      </c>
      <c r="B27" s="1843" t="s">
        <v>312</v>
      </c>
    </row>
    <row r="28" spans="1:5" ht="36" x14ac:dyDescent="0.2">
      <c r="A28" s="65" t="s">
        <v>514</v>
      </c>
      <c r="B28" s="1843" t="s">
        <v>251</v>
      </c>
    </row>
    <row r="29" spans="1:5" x14ac:dyDescent="0.2">
      <c r="A29" s="65" t="s">
        <v>601</v>
      </c>
      <c r="B29" s="1843" t="s">
        <v>313</v>
      </c>
    </row>
    <row r="30" spans="1:5" x14ac:dyDescent="0.2">
      <c r="A30" s="65"/>
    </row>
  </sheetData>
  <customSheetViews>
    <customSheetView guid="{9BEC6399-AE85-4D88-8FBA-3674E2F30307}" hiddenRows="1">
      <selection activeCell="B19" sqref="B19"/>
      <pageMargins left="0.75" right="0.75" top="1" bottom="1" header="0.5" footer="0.5"/>
      <pageSetup orientation="portrait" r:id="rId1"/>
      <headerFooter alignWithMargins="0"/>
    </customSheetView>
    <customSheetView guid="{0347A67A-6027-4907-965C-6EA2A8295536}" hiddenRows="1">
      <selection activeCell="B19" sqref="B19"/>
      <pageMargins left="0.75" right="0.75" top="1" bottom="1" header="0.5" footer="0.5"/>
      <pageSetup orientation="portrait" r:id="rId2"/>
      <headerFooter alignWithMargins="0"/>
    </customSheetView>
    <customSheetView guid="{15CC7F3D-99AB-49C1-AC00-E04D3FE3FBC1}" hiddenRows="1" state="hidden">
      <selection activeCell="B19" sqref="B19"/>
      <pageMargins left="0.75" right="0.75" top="1" bottom="1" header="0.5" footer="0.5"/>
      <pageSetup orientation="portrait" r:id="rId3"/>
      <headerFooter alignWithMargins="0"/>
    </customSheetView>
  </customSheetViews>
  <phoneticPr fontId="18" type="noConversion"/>
  <pageMargins left="0.75" right="0.75" top="1" bottom="1" header="0.5" footer="0.5"/>
  <pageSetup orientation="portrait" r:id="rId4"/>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I25"/>
  <sheetViews>
    <sheetView workbookViewId="0">
      <selection activeCell="A16" sqref="A16"/>
    </sheetView>
  </sheetViews>
  <sheetFormatPr defaultColWidth="8.7109375" defaultRowHeight="12" x14ac:dyDescent="0.2"/>
  <cols>
    <col min="1" max="1" width="8.7109375" style="184"/>
    <col min="2" max="2" width="4.7109375" style="60" customWidth="1"/>
    <col min="3" max="3" width="26.85546875" style="60" customWidth="1"/>
    <col min="4" max="4" width="9.140625" style="60" bestFit="1" customWidth="1"/>
    <col min="5" max="6" width="60.7109375" style="60" customWidth="1"/>
    <col min="7" max="16384" width="8.7109375" style="60"/>
  </cols>
  <sheetData>
    <row r="1" spans="1:9" s="16" customFormat="1" ht="27.75" customHeight="1" x14ac:dyDescent="0.2">
      <c r="A1" s="66" t="s">
        <v>266</v>
      </c>
      <c r="B1" s="69"/>
      <c r="D1" s="66"/>
      <c r="E1" s="128"/>
      <c r="G1" s="69"/>
      <c r="H1" s="69"/>
      <c r="I1" s="123"/>
    </row>
    <row r="2" spans="1:9" s="65" customFormat="1" x14ac:dyDescent="0.2">
      <c r="A2" s="181" t="s">
        <v>261</v>
      </c>
      <c r="B2" s="182" t="s">
        <v>262</v>
      </c>
      <c r="C2" s="182" t="s">
        <v>263</v>
      </c>
      <c r="D2" s="182" t="s">
        <v>264</v>
      </c>
      <c r="E2" s="183" t="s">
        <v>265</v>
      </c>
      <c r="F2" s="182" t="s">
        <v>420</v>
      </c>
    </row>
    <row r="3" spans="1:9" x14ac:dyDescent="0.2">
      <c r="A3" s="696">
        <v>40471</v>
      </c>
      <c r="B3" s="412" t="s">
        <v>1077</v>
      </c>
      <c r="E3" s="412" t="s">
        <v>1078</v>
      </c>
    </row>
    <row r="4" spans="1:9" x14ac:dyDescent="0.2">
      <c r="A4" s="184">
        <v>40687</v>
      </c>
      <c r="B4" s="412" t="s">
        <v>1077</v>
      </c>
      <c r="C4" s="412" t="s">
        <v>749</v>
      </c>
      <c r="D4" s="412" t="s">
        <v>1317</v>
      </c>
      <c r="E4" s="412" t="s">
        <v>1318</v>
      </c>
    </row>
    <row r="5" spans="1:9" x14ac:dyDescent="0.2">
      <c r="A5" s="184">
        <v>40687</v>
      </c>
      <c r="B5" s="412" t="s">
        <v>1077</v>
      </c>
      <c r="C5" s="412" t="s">
        <v>854</v>
      </c>
      <c r="D5" s="412" t="s">
        <v>1320</v>
      </c>
      <c r="E5" s="412" t="s">
        <v>1321</v>
      </c>
    </row>
    <row r="6" spans="1:9" x14ac:dyDescent="0.2">
      <c r="A6" s="184">
        <v>40687</v>
      </c>
      <c r="B6" s="412" t="s">
        <v>1077</v>
      </c>
      <c r="C6" s="412" t="s">
        <v>854</v>
      </c>
      <c r="D6" s="412" t="s">
        <v>994</v>
      </c>
      <c r="E6" s="412" t="s">
        <v>1319</v>
      </c>
    </row>
    <row r="7" spans="1:9" x14ac:dyDescent="0.2">
      <c r="A7" s="184">
        <v>40687</v>
      </c>
      <c r="B7" s="412" t="s">
        <v>1077</v>
      </c>
      <c r="C7" s="412" t="s">
        <v>855</v>
      </c>
      <c r="D7" s="412" t="s">
        <v>1326</v>
      </c>
      <c r="E7" s="412" t="s">
        <v>1327</v>
      </c>
      <c r="F7" s="412" t="s">
        <v>1385</v>
      </c>
    </row>
    <row r="8" spans="1:9" x14ac:dyDescent="0.2">
      <c r="A8" s="184">
        <v>40687</v>
      </c>
      <c r="B8" s="412" t="s">
        <v>1077</v>
      </c>
      <c r="C8" s="412" t="s">
        <v>855</v>
      </c>
      <c r="D8" s="412" t="s">
        <v>1329</v>
      </c>
      <c r="E8" s="412" t="s">
        <v>1328</v>
      </c>
    </row>
    <row r="9" spans="1:9" x14ac:dyDescent="0.2">
      <c r="A9" s="184">
        <v>40688</v>
      </c>
      <c r="B9" s="412" t="s">
        <v>1077</v>
      </c>
      <c r="C9" s="412" t="s">
        <v>1506</v>
      </c>
      <c r="D9" s="412" t="s">
        <v>1387</v>
      </c>
      <c r="E9" s="412" t="s">
        <v>1507</v>
      </c>
    </row>
    <row r="10" spans="1:9" x14ac:dyDescent="0.2">
      <c r="A10" s="184">
        <v>40778</v>
      </c>
      <c r="B10" s="412" t="s">
        <v>1384</v>
      </c>
      <c r="C10" s="412" t="s">
        <v>1386</v>
      </c>
      <c r="D10" s="412" t="s">
        <v>1387</v>
      </c>
      <c r="E10" s="412" t="s">
        <v>1397</v>
      </c>
    </row>
    <row r="11" spans="1:9" ht="48" x14ac:dyDescent="0.2">
      <c r="A11" s="184">
        <v>40941</v>
      </c>
      <c r="B11" s="412" t="s">
        <v>1077</v>
      </c>
      <c r="C11" s="1365" t="s">
        <v>1512</v>
      </c>
      <c r="D11" s="412" t="s">
        <v>1387</v>
      </c>
      <c r="E11" s="412" t="s">
        <v>1510</v>
      </c>
    </row>
    <row r="12" spans="1:9" ht="36" x14ac:dyDescent="0.2">
      <c r="A12" s="184">
        <v>40941</v>
      </c>
      <c r="B12" s="412" t="s">
        <v>1077</v>
      </c>
      <c r="C12" s="1365" t="s">
        <v>1511</v>
      </c>
      <c r="D12" s="412" t="s">
        <v>1387</v>
      </c>
      <c r="E12" s="412" t="s">
        <v>1509</v>
      </c>
    </row>
    <row r="13" spans="1:9" x14ac:dyDescent="0.2">
      <c r="A13" s="184">
        <v>40941</v>
      </c>
      <c r="B13" s="412" t="s">
        <v>1077</v>
      </c>
      <c r="C13" s="412" t="s">
        <v>1506</v>
      </c>
      <c r="D13" s="412" t="s">
        <v>1387</v>
      </c>
      <c r="E13" s="412" t="s">
        <v>1508</v>
      </c>
    </row>
    <row r="14" spans="1:9" ht="36" x14ac:dyDescent="0.2">
      <c r="A14" s="184">
        <v>40984</v>
      </c>
      <c r="B14" s="412" t="s">
        <v>1077</v>
      </c>
      <c r="C14" s="1365" t="s">
        <v>1513</v>
      </c>
      <c r="D14" s="412" t="s">
        <v>1387</v>
      </c>
      <c r="E14" s="412" t="s">
        <v>1514</v>
      </c>
    </row>
    <row r="15" spans="1:9" x14ac:dyDescent="0.2">
      <c r="A15" s="184">
        <v>42767</v>
      </c>
      <c r="C15" s="1365" t="s">
        <v>1878</v>
      </c>
      <c r="E15" s="412" t="s">
        <v>1879</v>
      </c>
    </row>
    <row r="16" spans="1:9" x14ac:dyDescent="0.2">
      <c r="C16" s="412"/>
    </row>
    <row r="22" spans="3:3" x14ac:dyDescent="0.2">
      <c r="C22" s="1365"/>
    </row>
    <row r="25" spans="3:3" x14ac:dyDescent="0.2">
      <c r="C25" s="1365"/>
    </row>
  </sheetData>
  <customSheetViews>
    <customSheetView guid="{9BEC6399-AE85-4D88-8FBA-3674E2F30307}" state="hidden">
      <selection activeCell="A16" sqref="A16"/>
      <pageMargins left="0.75" right="0.75" top="1" bottom="1" header="0.5" footer="0.5"/>
      <headerFooter alignWithMargins="0"/>
    </customSheetView>
    <customSheetView guid="{0347A67A-6027-4907-965C-6EA2A8295536}" state="hidden">
      <selection activeCell="A16" sqref="A16"/>
      <pageMargins left="0.75" right="0.75" top="1" bottom="1" header="0.5" footer="0.5"/>
      <headerFooter alignWithMargins="0"/>
    </customSheetView>
    <customSheetView guid="{15CC7F3D-99AB-49C1-AC00-E04D3FE3FBC1}" state="hidden">
      <selection activeCell="A16" sqref="A16"/>
      <pageMargins left="0.75" right="0.75" top="1" bottom="1" header="0.5" footer="0.5"/>
      <headerFooter alignWithMargins="0"/>
    </customSheetView>
  </customSheetViews>
  <phoneticPr fontId="18" type="noConversion"/>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I55"/>
  <sheetViews>
    <sheetView workbookViewId="0">
      <selection activeCell="F17" sqref="F17"/>
    </sheetView>
  </sheetViews>
  <sheetFormatPr defaultRowHeight="12" x14ac:dyDescent="0.2"/>
  <cols>
    <col min="1" max="1" width="9.140625" style="412"/>
    <col min="2" max="2" width="4" style="5" customWidth="1"/>
    <col min="3" max="3" width="6.28515625" style="5" customWidth="1"/>
    <col min="4" max="4" width="5" style="5" customWidth="1"/>
    <col min="5" max="5" width="71.140625" style="5" customWidth="1"/>
    <col min="6" max="9" width="9.42578125" style="1844" customWidth="1"/>
  </cols>
  <sheetData>
    <row r="2" spans="2:9" ht="14.25" x14ac:dyDescent="0.2">
      <c r="B2"/>
      <c r="C2"/>
      <c r="D2"/>
      <c r="E2"/>
      <c r="F2" s="1850" t="s">
        <v>1890</v>
      </c>
      <c r="G2" s="1843" t="s">
        <v>1891</v>
      </c>
      <c r="H2" s="1851" t="s">
        <v>1890</v>
      </c>
      <c r="I2" s="1843" t="s">
        <v>1892</v>
      </c>
    </row>
    <row r="3" spans="2:9" x14ac:dyDescent="0.2">
      <c r="B3"/>
      <c r="C3"/>
      <c r="D3"/>
      <c r="E3"/>
      <c r="F3" s="1843"/>
      <c r="G3" s="1843"/>
      <c r="H3" s="1843"/>
      <c r="I3" s="1843"/>
    </row>
    <row r="4" spans="2:9" ht="26.25" customHeight="1" x14ac:dyDescent="0.2">
      <c r="B4"/>
      <c r="C4"/>
      <c r="D4"/>
      <c r="E4"/>
      <c r="F4" s="1843" t="s">
        <v>1887</v>
      </c>
      <c r="G4" s="1843" t="s">
        <v>1297</v>
      </c>
      <c r="H4" s="1843" t="s">
        <v>1888</v>
      </c>
      <c r="I4" s="1843" t="s">
        <v>1889</v>
      </c>
    </row>
    <row r="5" spans="2:9" ht="14.25" x14ac:dyDescent="0.2">
      <c r="B5" s="1748" t="s">
        <v>1710</v>
      </c>
      <c r="C5" s="1749"/>
      <c r="D5" s="1749"/>
      <c r="E5" s="1749"/>
      <c r="F5" s="1845"/>
      <c r="G5" s="1845"/>
      <c r="H5" s="1845"/>
      <c r="I5" s="1845"/>
    </row>
    <row r="6" spans="2:9" ht="14.25" x14ac:dyDescent="0.2">
      <c r="B6" s="1742" t="s">
        <v>1686</v>
      </c>
      <c r="C6" s="1750" t="s">
        <v>1688</v>
      </c>
      <c r="D6" s="1750"/>
      <c r="E6" s="1750"/>
      <c r="F6" s="1850" t="s">
        <v>1890</v>
      </c>
      <c r="G6" s="1852"/>
      <c r="H6" s="1852"/>
      <c r="I6" s="1852"/>
    </row>
    <row r="7" spans="2:9" ht="14.25" x14ac:dyDescent="0.2">
      <c r="B7" s="1743"/>
      <c r="D7" s="5" t="s">
        <v>214</v>
      </c>
      <c r="F7" s="1851"/>
      <c r="G7" s="399"/>
      <c r="H7" s="399"/>
      <c r="I7" s="399"/>
    </row>
    <row r="8" spans="2:9" ht="14.25" x14ac:dyDescent="0.2">
      <c r="B8" s="1743"/>
      <c r="E8" s="5" t="s">
        <v>46</v>
      </c>
      <c r="F8" s="399"/>
      <c r="G8" s="399"/>
      <c r="H8" s="399"/>
      <c r="I8" s="399"/>
    </row>
    <row r="9" spans="2:9" ht="14.25" x14ac:dyDescent="0.2">
      <c r="B9" s="1743"/>
      <c r="E9" s="5" t="s">
        <v>47</v>
      </c>
      <c r="F9" s="399"/>
      <c r="G9" s="399"/>
      <c r="H9" s="399"/>
      <c r="I9" s="399"/>
    </row>
    <row r="10" spans="2:9" ht="14.25" x14ac:dyDescent="0.2">
      <c r="B10" s="1743"/>
      <c r="D10" s="5" t="s">
        <v>1717</v>
      </c>
      <c r="F10" s="399"/>
      <c r="G10" s="399"/>
      <c r="H10" s="399"/>
      <c r="I10" s="399"/>
    </row>
    <row r="11" spans="2:9" ht="14.25" x14ac:dyDescent="0.2">
      <c r="B11" s="1743"/>
      <c r="E11" s="5" t="s">
        <v>46</v>
      </c>
      <c r="F11" s="399"/>
      <c r="G11" s="399"/>
      <c r="H11" s="399"/>
      <c r="I11" s="399"/>
    </row>
    <row r="12" spans="2:9" ht="14.25" x14ac:dyDescent="0.2">
      <c r="B12" s="1743"/>
      <c r="E12" s="5" t="s">
        <v>47</v>
      </c>
      <c r="F12" s="399"/>
      <c r="G12" s="399"/>
      <c r="H12" s="399"/>
      <c r="I12" s="399"/>
    </row>
    <row r="13" spans="2:9" ht="14.25" x14ac:dyDescent="0.2">
      <c r="B13" s="1743"/>
      <c r="D13" s="5" t="s">
        <v>1718</v>
      </c>
      <c r="F13" s="399"/>
      <c r="G13" s="399"/>
      <c r="H13" s="399"/>
      <c r="I13" s="399"/>
    </row>
    <row r="14" spans="2:9" ht="14.25" x14ac:dyDescent="0.2">
      <c r="B14" s="1743"/>
      <c r="E14" s="5" t="s">
        <v>46</v>
      </c>
      <c r="F14" s="399"/>
      <c r="G14" s="399"/>
      <c r="H14" s="399"/>
      <c r="I14" s="399"/>
    </row>
    <row r="15" spans="2:9" ht="14.25" x14ac:dyDescent="0.2">
      <c r="B15" s="1743"/>
      <c r="E15" s="5" t="s">
        <v>47</v>
      </c>
      <c r="F15" s="399"/>
      <c r="G15" s="399"/>
      <c r="H15" s="399"/>
      <c r="I15" s="399"/>
    </row>
    <row r="16" spans="2:9" ht="14.25" x14ac:dyDescent="0.2">
      <c r="B16" s="1743"/>
      <c r="C16" s="1750" t="s">
        <v>1689</v>
      </c>
      <c r="D16" s="1750"/>
      <c r="E16" s="1750"/>
      <c r="F16" s="1851"/>
      <c r="G16" s="1851" t="s">
        <v>1890</v>
      </c>
      <c r="H16" s="1852"/>
      <c r="I16" s="1852"/>
    </row>
    <row r="17" spans="2:9" ht="14.25" x14ac:dyDescent="0.2">
      <c r="B17" s="1743"/>
      <c r="C17" s="1750" t="s">
        <v>1690</v>
      </c>
      <c r="D17" s="1750"/>
      <c r="E17" s="1750"/>
      <c r="F17" s="1850" t="s">
        <v>1890</v>
      </c>
      <c r="G17" s="1852"/>
      <c r="H17" s="1852"/>
      <c r="I17" s="1852"/>
    </row>
    <row r="18" spans="2:9" ht="14.25" x14ac:dyDescent="0.2">
      <c r="B18" s="1743"/>
      <c r="E18" s="5" t="s">
        <v>46</v>
      </c>
      <c r="F18" s="399"/>
      <c r="G18" s="399"/>
      <c r="H18" s="399"/>
      <c r="I18" s="399"/>
    </row>
    <row r="19" spans="2:9" ht="14.25" x14ac:dyDescent="0.2">
      <c r="B19" s="1743"/>
      <c r="E19" s="5" t="s">
        <v>47</v>
      </c>
      <c r="F19" s="399"/>
      <c r="G19" s="399"/>
      <c r="H19" s="399"/>
      <c r="I19" s="399"/>
    </row>
    <row r="20" spans="2:9" ht="14.25" x14ac:dyDescent="0.2">
      <c r="B20" s="1743"/>
      <c r="C20" s="1750" t="s">
        <v>1691</v>
      </c>
      <c r="D20" s="1750"/>
      <c r="E20" s="1750"/>
      <c r="F20" s="1852"/>
      <c r="G20" s="1851" t="s">
        <v>1890</v>
      </c>
      <c r="H20" s="1852"/>
      <c r="I20" s="1852"/>
    </row>
    <row r="21" spans="2:9" ht="14.25" x14ac:dyDescent="0.2">
      <c r="B21" s="1746" t="s">
        <v>1692</v>
      </c>
      <c r="C21" s="1751"/>
      <c r="D21" s="1751"/>
      <c r="E21" s="1751"/>
      <c r="F21" s="1846"/>
      <c r="G21" s="1846"/>
      <c r="H21" s="1846"/>
      <c r="I21" s="1846"/>
    </row>
    <row r="22" spans="2:9" ht="14.25" x14ac:dyDescent="0.2">
      <c r="B22" s="1743"/>
      <c r="C22" s="1747" t="s">
        <v>1693</v>
      </c>
      <c r="D22" s="1747"/>
      <c r="E22" s="1747"/>
      <c r="F22" s="1850" t="s">
        <v>1890</v>
      </c>
      <c r="G22" s="1852"/>
      <c r="H22" s="1852"/>
      <c r="I22" s="1852"/>
    </row>
    <row r="23" spans="2:9" ht="14.25" x14ac:dyDescent="0.2">
      <c r="B23" s="1743"/>
      <c r="C23" s="1747" t="s">
        <v>1694</v>
      </c>
      <c r="D23" s="1747"/>
      <c r="E23" s="1747"/>
      <c r="F23" s="1850" t="s">
        <v>1890</v>
      </c>
      <c r="G23" s="1852"/>
      <c r="H23" s="1852"/>
      <c r="I23" s="1852"/>
    </row>
    <row r="24" spans="2:9" ht="14.25" x14ac:dyDescent="0.2">
      <c r="B24" s="1743"/>
      <c r="C24" s="1747" t="s">
        <v>1695</v>
      </c>
      <c r="D24" s="1747"/>
      <c r="E24" s="1747"/>
      <c r="F24" s="1852"/>
      <c r="G24" s="1851" t="s">
        <v>1890</v>
      </c>
      <c r="H24" s="1852"/>
      <c r="I24" s="1852"/>
    </row>
    <row r="25" spans="2:9" ht="14.25" x14ac:dyDescent="0.2">
      <c r="B25" s="1743"/>
      <c r="C25" s="1752" t="s">
        <v>1696</v>
      </c>
      <c r="D25" s="1752"/>
      <c r="E25" s="1752"/>
      <c r="F25" s="1853"/>
      <c r="G25" s="1851" t="s">
        <v>1890</v>
      </c>
      <c r="H25" s="1853"/>
      <c r="I25" s="1853"/>
    </row>
    <row r="26" spans="2:9" ht="14.25" x14ac:dyDescent="0.2">
      <c r="B26" s="1743"/>
      <c r="C26" s="1752" t="s">
        <v>1697</v>
      </c>
      <c r="D26" s="1752"/>
      <c r="E26" s="1752"/>
      <c r="F26" s="1853"/>
      <c r="G26" s="1851" t="s">
        <v>1890</v>
      </c>
      <c r="H26" s="1853"/>
      <c r="I26" s="1853"/>
    </row>
    <row r="27" spans="2:9" ht="14.25" x14ac:dyDescent="0.2">
      <c r="B27" s="1743"/>
      <c r="C27" s="1752" t="s">
        <v>1698</v>
      </c>
      <c r="D27" s="1752"/>
      <c r="E27" s="1752"/>
      <c r="F27" s="1853"/>
      <c r="G27" s="1851" t="s">
        <v>1890</v>
      </c>
      <c r="H27" s="1853"/>
      <c r="I27" s="1853"/>
    </row>
    <row r="28" spans="2:9" ht="14.25" x14ac:dyDescent="0.2">
      <c r="B28" s="1743"/>
      <c r="C28" s="1752" t="s">
        <v>1699</v>
      </c>
      <c r="D28" s="1752"/>
      <c r="E28" s="1752"/>
      <c r="F28" s="1853"/>
      <c r="G28" s="1851" t="s">
        <v>1890</v>
      </c>
      <c r="H28" s="1853"/>
      <c r="I28" s="1853"/>
    </row>
    <row r="29" spans="2:9" ht="14.25" x14ac:dyDescent="0.2">
      <c r="B29" s="1743"/>
      <c r="C29" s="1752" t="s">
        <v>1899</v>
      </c>
      <c r="D29" s="1752"/>
      <c r="E29" s="1752"/>
      <c r="F29" s="1853"/>
      <c r="G29" s="1851"/>
      <c r="H29" s="1851" t="s">
        <v>1890</v>
      </c>
      <c r="I29" s="1853"/>
    </row>
    <row r="30" spans="2:9" ht="14.25" x14ac:dyDescent="0.2">
      <c r="B30" s="1753" t="s">
        <v>1700</v>
      </c>
      <c r="C30" s="1754"/>
      <c r="D30" s="1754"/>
      <c r="E30" s="1754"/>
      <c r="F30" s="1847"/>
      <c r="G30" s="1847"/>
      <c r="H30" s="1847"/>
      <c r="I30" s="1847"/>
    </row>
    <row r="31" spans="2:9" ht="14.25" x14ac:dyDescent="0.2">
      <c r="B31" s="1743"/>
      <c r="C31" s="1755" t="s">
        <v>1701</v>
      </c>
      <c r="D31" s="1755"/>
      <c r="E31" s="1755"/>
      <c r="F31" s="1853"/>
      <c r="G31" s="1853"/>
      <c r="H31" s="1853"/>
      <c r="I31" s="1851" t="s">
        <v>1890</v>
      </c>
    </row>
    <row r="32" spans="2:9" ht="14.25" x14ac:dyDescent="0.2">
      <c r="B32" s="1743"/>
      <c r="C32" s="1755" t="s">
        <v>1702</v>
      </c>
      <c r="D32" s="1755"/>
      <c r="E32" s="1755"/>
      <c r="F32" s="1850" t="s">
        <v>1890</v>
      </c>
      <c r="G32" s="1853"/>
      <c r="H32" s="1853"/>
      <c r="I32" s="1853"/>
    </row>
    <row r="33" spans="2:9" ht="14.25" x14ac:dyDescent="0.2">
      <c r="B33" s="1744" t="s">
        <v>1703</v>
      </c>
      <c r="C33" s="1745"/>
      <c r="D33" s="1745"/>
      <c r="E33" s="1745"/>
      <c r="F33" s="1848"/>
      <c r="G33" s="1848"/>
      <c r="H33" s="1848"/>
      <c r="I33" s="1848"/>
    </row>
    <row r="34" spans="2:9" ht="14.25" x14ac:dyDescent="0.2">
      <c r="B34" s="1743"/>
      <c r="C34" s="1756" t="s">
        <v>1704</v>
      </c>
      <c r="D34" s="1756"/>
      <c r="E34" s="1756"/>
      <c r="F34" s="1850" t="s">
        <v>1890</v>
      </c>
      <c r="G34" s="1853"/>
      <c r="H34" s="1853"/>
      <c r="I34" s="1853"/>
    </row>
    <row r="35" spans="2:9" ht="14.25" x14ac:dyDescent="0.2">
      <c r="B35" s="1743"/>
      <c r="C35" s="1756" t="s">
        <v>1705</v>
      </c>
      <c r="D35" s="1756"/>
      <c r="E35" s="1756"/>
      <c r="F35" s="1850" t="s">
        <v>1890</v>
      </c>
      <c r="G35" s="1853"/>
      <c r="H35" s="1853"/>
      <c r="I35" s="1853"/>
    </row>
    <row r="36" spans="2:9" ht="14.25" x14ac:dyDescent="0.2">
      <c r="B36" s="1757" t="s">
        <v>1706</v>
      </c>
      <c r="C36" s="1758"/>
      <c r="D36" s="1758"/>
      <c r="E36" s="1758"/>
      <c r="F36" s="1849"/>
      <c r="G36" s="1849"/>
      <c r="H36" s="1849"/>
      <c r="I36" s="1849"/>
    </row>
    <row r="37" spans="2:9" ht="14.25" x14ac:dyDescent="0.2">
      <c r="B37" s="1742" t="s">
        <v>1686</v>
      </c>
      <c r="C37" s="1759" t="s">
        <v>1707</v>
      </c>
      <c r="D37" s="1759"/>
      <c r="E37" s="1759"/>
      <c r="F37" s="1853"/>
      <c r="G37" s="1851" t="s">
        <v>1890</v>
      </c>
      <c r="H37" s="1853"/>
      <c r="I37" s="1853"/>
    </row>
    <row r="38" spans="2:9" ht="14.25" x14ac:dyDescent="0.2">
      <c r="B38" s="1742" t="s">
        <v>1686</v>
      </c>
      <c r="C38" s="1759" t="s">
        <v>1708</v>
      </c>
      <c r="D38" s="1759"/>
      <c r="E38" s="1759"/>
      <c r="F38" s="1853"/>
      <c r="G38" s="1851" t="s">
        <v>1890</v>
      </c>
      <c r="H38" s="1853"/>
      <c r="I38" s="1853"/>
    </row>
    <row r="39" spans="2:9" x14ac:dyDescent="0.2">
      <c r="B39" s="1854" t="s">
        <v>1900</v>
      </c>
      <c r="C39" s="1854"/>
      <c r="D39" s="1854"/>
      <c r="E39" s="1854"/>
      <c r="F39" s="1854"/>
      <c r="G39" s="1854"/>
      <c r="H39" s="1854"/>
      <c r="I39" s="1854"/>
    </row>
    <row r="40" spans="2:9" ht="14.25" x14ac:dyDescent="0.2">
      <c r="C40" s="2542" t="s">
        <v>1901</v>
      </c>
      <c r="D40" s="2542"/>
      <c r="E40" s="2542"/>
      <c r="H40" s="1851" t="s">
        <v>1890</v>
      </c>
      <c r="I40" s="1851"/>
    </row>
    <row r="41" spans="2:9" ht="14.25" x14ac:dyDescent="0.2">
      <c r="C41" s="2542" t="s">
        <v>1902</v>
      </c>
      <c r="D41" s="2542"/>
      <c r="E41" s="2542"/>
      <c r="H41" s="1851" t="s">
        <v>1890</v>
      </c>
      <c r="I41" s="1851"/>
    </row>
    <row r="42" spans="2:9" ht="14.25" x14ac:dyDescent="0.2">
      <c r="C42" s="2542" t="s">
        <v>1903</v>
      </c>
      <c r="D42" s="2542"/>
      <c r="E42" s="2542"/>
      <c r="H42" s="1851" t="s">
        <v>1890</v>
      </c>
      <c r="I42" s="1851"/>
    </row>
    <row r="43" spans="2:9" ht="14.25" x14ac:dyDescent="0.2">
      <c r="C43" s="2542" t="s">
        <v>1904</v>
      </c>
      <c r="D43" s="2542"/>
      <c r="E43" s="2542"/>
      <c r="H43" s="1851" t="s">
        <v>1890</v>
      </c>
      <c r="I43" s="1851"/>
    </row>
    <row r="44" spans="2:9" ht="14.25" x14ac:dyDescent="0.2">
      <c r="C44" s="2542" t="s">
        <v>1905</v>
      </c>
      <c r="D44" s="2542"/>
      <c r="E44" s="2542"/>
      <c r="H44" s="1851" t="s">
        <v>1890</v>
      </c>
      <c r="I44" s="1851"/>
    </row>
    <row r="45" spans="2:9" x14ac:dyDescent="0.2">
      <c r="B45" s="1855" t="s">
        <v>1906</v>
      </c>
      <c r="C45" s="1855"/>
      <c r="D45" s="1855"/>
      <c r="E45" s="1855"/>
      <c r="F45" s="1855"/>
      <c r="G45" s="1855"/>
      <c r="H45" s="1855"/>
      <c r="I45" s="1855"/>
    </row>
    <row r="46" spans="2:9" ht="27.75" customHeight="1" x14ac:dyDescent="0.2">
      <c r="C46" s="2542" t="s">
        <v>1907</v>
      </c>
      <c r="D46" s="2542"/>
      <c r="E46" s="2542"/>
      <c r="H46" s="1851" t="s">
        <v>1890</v>
      </c>
      <c r="I46" s="1851"/>
    </row>
    <row r="47" spans="2:9" ht="14.25" x14ac:dyDescent="0.2">
      <c r="C47" s="2542" t="s">
        <v>1908</v>
      </c>
      <c r="D47" s="2542"/>
      <c r="E47" s="2542"/>
      <c r="H47" s="1851" t="s">
        <v>1890</v>
      </c>
      <c r="I47" s="1851"/>
    </row>
    <row r="48" spans="2:9" ht="14.25" x14ac:dyDescent="0.2">
      <c r="C48" s="2542" t="s">
        <v>1909</v>
      </c>
      <c r="D48" s="2542"/>
      <c r="E48" s="2542"/>
      <c r="H48" s="1851" t="s">
        <v>1890</v>
      </c>
      <c r="I48" s="1851"/>
    </row>
    <row r="49" spans="2:9" ht="14.25" x14ac:dyDescent="0.2">
      <c r="B49" s="1856" t="s">
        <v>1709</v>
      </c>
      <c r="C49" s="1760"/>
      <c r="D49" s="1760"/>
      <c r="E49" s="1760"/>
      <c r="F49" s="1760"/>
      <c r="G49" s="1760"/>
      <c r="H49" s="1760"/>
      <c r="I49" s="1760"/>
    </row>
    <row r="50" spans="2:9" ht="14.25" x14ac:dyDescent="0.2">
      <c r="B50" s="1742"/>
      <c r="C50" s="1842" t="s">
        <v>1711</v>
      </c>
      <c r="D50" s="1842"/>
      <c r="E50" s="1842"/>
      <c r="F50" s="1853"/>
      <c r="G50" s="1853"/>
      <c r="H50" s="1853"/>
      <c r="I50" s="1851" t="s">
        <v>1890</v>
      </c>
    </row>
    <row r="51" spans="2:9" ht="14.25" x14ac:dyDescent="0.2">
      <c r="B51" s="1742"/>
      <c r="C51" s="1842" t="s">
        <v>1712</v>
      </c>
      <c r="D51" s="1842"/>
      <c r="E51" s="1842"/>
      <c r="F51" s="1853"/>
      <c r="G51" s="1853"/>
      <c r="H51" s="1853"/>
      <c r="I51" s="1851" t="s">
        <v>1890</v>
      </c>
    </row>
    <row r="52" spans="2:9" ht="14.25" x14ac:dyDescent="0.2">
      <c r="B52" s="1742"/>
      <c r="C52" s="1842" t="s">
        <v>1713</v>
      </c>
      <c r="D52" s="1842"/>
      <c r="E52" s="1842"/>
      <c r="F52" s="1853"/>
      <c r="G52" s="1853"/>
      <c r="H52" s="1853"/>
      <c r="I52" s="1851" t="s">
        <v>1890</v>
      </c>
    </row>
    <row r="53" spans="2:9" ht="14.25" x14ac:dyDescent="0.2">
      <c r="B53" s="1742"/>
      <c r="C53" s="1842" t="s">
        <v>1714</v>
      </c>
      <c r="D53" s="1842"/>
      <c r="E53" s="1842"/>
      <c r="F53" s="1853"/>
      <c r="G53" s="1853"/>
      <c r="H53" s="1853"/>
      <c r="I53" s="1851" t="s">
        <v>1890</v>
      </c>
    </row>
    <row r="54" spans="2:9" ht="14.25" x14ac:dyDescent="0.2">
      <c r="B54" s="1742"/>
      <c r="C54" s="1842" t="s">
        <v>1715</v>
      </c>
      <c r="D54" s="1842"/>
      <c r="E54" s="1842"/>
      <c r="F54" s="1853"/>
      <c r="G54" s="1853"/>
      <c r="H54" s="1853"/>
      <c r="I54" s="1851" t="s">
        <v>1890</v>
      </c>
    </row>
    <row r="55" spans="2:9" ht="14.25" x14ac:dyDescent="0.2">
      <c r="B55" s="1742"/>
      <c r="C55" s="1842" t="s">
        <v>1716</v>
      </c>
      <c r="D55" s="1842"/>
      <c r="E55" s="1842"/>
      <c r="F55" s="1853"/>
      <c r="G55" s="1853"/>
      <c r="H55" s="1853"/>
      <c r="I55" s="1851" t="s">
        <v>1890</v>
      </c>
    </row>
  </sheetData>
  <sortState ref="A4:D85">
    <sortCondition ref="D85"/>
  </sortState>
  <customSheetViews>
    <customSheetView guid="{9BEC6399-AE85-4D88-8FBA-3674E2F30307}">
      <selection activeCell="F17" sqref="F17"/>
      <pageMargins left="0.7" right="0.7" top="0.75" bottom="0.75" header="0.3" footer="0.3"/>
    </customSheetView>
    <customSheetView guid="{0347A67A-6027-4907-965C-6EA2A8295536}">
      <selection activeCell="F17" sqref="F17"/>
      <pageMargins left="0.7" right="0.7" top="0.75" bottom="0.75" header="0.3" footer="0.3"/>
    </customSheetView>
    <customSheetView guid="{15CC7F3D-99AB-49C1-AC00-E04D3FE3FBC1}">
      <selection activeCell="F17" sqref="F17"/>
      <pageMargins left="0.7" right="0.7" top="0.75" bottom="0.75" header="0.3" footer="0.3"/>
    </customSheetView>
  </customSheetViews>
  <mergeCells count="8">
    <mergeCell ref="C48:E48"/>
    <mergeCell ref="C40:E40"/>
    <mergeCell ref="C41:E41"/>
    <mergeCell ref="C42:E42"/>
    <mergeCell ref="C43:E43"/>
    <mergeCell ref="C44:E44"/>
    <mergeCell ref="C46:E46"/>
    <mergeCell ref="C47:E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Z54"/>
  <sheetViews>
    <sheetView topLeftCell="O13" workbookViewId="0">
      <selection activeCell="AC17" sqref="AC17"/>
    </sheetView>
  </sheetViews>
  <sheetFormatPr defaultColWidth="9.140625" defaultRowHeight="12" outlineLevelCol="1" x14ac:dyDescent="0.2"/>
  <cols>
    <col min="1" max="1" width="3" style="1440" customWidth="1"/>
    <col min="2" max="5" width="10.42578125" style="1440" customWidth="1" outlineLevel="1"/>
    <col min="6" max="9" width="4.140625" style="1440" customWidth="1" outlineLevel="1"/>
    <col min="10" max="10" width="5" style="1440" customWidth="1" outlineLevel="1"/>
    <col min="11" max="11" width="3.28515625" style="1440" customWidth="1"/>
    <col min="12" max="13" width="3.7109375" style="1440" customWidth="1"/>
    <col min="14" max="14" width="36.42578125" style="1440" customWidth="1"/>
    <col min="15" max="18" width="14" style="1860" customWidth="1"/>
    <col min="19" max="19" width="9.140625" style="1440"/>
    <col min="20" max="21" width="3.7109375" style="1440" customWidth="1"/>
    <col min="22" max="22" width="36.42578125" style="1440" customWidth="1"/>
    <col min="23" max="26" width="8.140625" style="1860" customWidth="1"/>
    <col min="27" max="16384" width="9.140625" style="1440"/>
  </cols>
  <sheetData>
    <row r="2" spans="2:26" x14ac:dyDescent="0.2">
      <c r="B2" s="1858">
        <v>-2</v>
      </c>
      <c r="C2" s="1438" t="s">
        <v>1919</v>
      </c>
      <c r="L2" s="1859"/>
      <c r="T2" s="1859"/>
    </row>
    <row r="3" spans="2:26" x14ac:dyDescent="0.2">
      <c r="B3" s="1861">
        <f>10^6</f>
        <v>1000000</v>
      </c>
      <c r="C3" s="1438" t="s">
        <v>1918</v>
      </c>
      <c r="L3" s="1859"/>
      <c r="T3" s="1859"/>
    </row>
    <row r="4" spans="2:26" x14ac:dyDescent="0.2">
      <c r="B4" s="1440" t="s">
        <v>1898</v>
      </c>
      <c r="G4" s="1862" t="s">
        <v>1880</v>
      </c>
      <c r="H4" s="1862"/>
      <c r="I4" s="1862"/>
      <c r="J4" s="1863" t="s">
        <v>1897</v>
      </c>
    </row>
    <row r="5" spans="2:26" ht="13.5" x14ac:dyDescent="0.2">
      <c r="B5" s="1864">
        <v>2003</v>
      </c>
      <c r="C5" s="1864">
        <v>2008</v>
      </c>
      <c r="D5" s="1864">
        <v>2010</v>
      </c>
      <c r="E5" s="1864">
        <v>2015</v>
      </c>
      <c r="G5" s="1440" t="s">
        <v>1893</v>
      </c>
      <c r="H5" s="1440" t="s">
        <v>1881</v>
      </c>
      <c r="I5" s="1440" t="s">
        <v>1894</v>
      </c>
      <c r="J5" s="1865"/>
      <c r="L5" s="1866" t="s">
        <v>1914</v>
      </c>
      <c r="M5" s="1866"/>
      <c r="N5" s="1866"/>
      <c r="O5" s="1867">
        <v>2003</v>
      </c>
      <c r="P5" s="1867">
        <v>2008</v>
      </c>
      <c r="Q5" s="1867">
        <v>2010</v>
      </c>
      <c r="R5" s="1867">
        <v>2015</v>
      </c>
      <c r="T5" s="1866" t="s">
        <v>1915</v>
      </c>
      <c r="U5" s="1866"/>
      <c r="V5" s="1866"/>
      <c r="W5" s="1867">
        <v>2003</v>
      </c>
      <c r="X5" s="1867">
        <v>2008</v>
      </c>
      <c r="Y5" s="1867">
        <v>2010</v>
      </c>
      <c r="Z5" s="1867">
        <v>2015</v>
      </c>
    </row>
    <row r="6" spans="2:26" ht="12.75" thickBot="1" x14ac:dyDescent="0.25">
      <c r="B6" s="1865"/>
      <c r="C6" s="1868"/>
      <c r="D6" s="1868"/>
      <c r="E6" s="1868"/>
      <c r="H6" s="1440">
        <v>1</v>
      </c>
      <c r="J6" s="1865"/>
      <c r="L6" s="1951" t="s">
        <v>1710</v>
      </c>
      <c r="M6" s="1900"/>
      <c r="N6" s="1900"/>
      <c r="O6" s="1901">
        <f>SUMIFS(O7:O$42,$H7:$H$42,$H6)</f>
        <v>10665500</v>
      </c>
      <c r="P6" s="1901">
        <f>SUMIFS(P7:P$42,$H7:$H$42,$H6)</f>
        <v>11482700</v>
      </c>
      <c r="Q6" s="1901">
        <f>SUMIFS(Q7:Q$42,$H7:$H$42,$H6)</f>
        <v>9747500</v>
      </c>
      <c r="R6" s="1901">
        <f>SUMIFS(R7:R$42,$H7:$H$42,$H6)</f>
        <v>11405200</v>
      </c>
      <c r="T6" s="1951" t="s">
        <v>1710</v>
      </c>
      <c r="U6" s="1900"/>
      <c r="V6" s="1900"/>
      <c r="W6" s="1902">
        <f>O6/$B$3</f>
        <v>10.6655</v>
      </c>
      <c r="X6" s="1902">
        <f t="shared" ref="X6:X48" si="0">P6/$B$3</f>
        <v>11.482699999999999</v>
      </c>
      <c r="Y6" s="1902">
        <f t="shared" ref="Y6:Y48" si="1">Q6/$B$3</f>
        <v>9.7475000000000005</v>
      </c>
      <c r="Z6" s="1902">
        <f t="shared" ref="Z6:Z48" si="2">R6/$B$3</f>
        <v>11.405200000000001</v>
      </c>
    </row>
    <row r="7" spans="2:26" ht="16.5" thickTop="1" x14ac:dyDescent="0.2">
      <c r="B7" s="1865"/>
      <c r="C7" s="1865"/>
      <c r="D7" s="1865"/>
      <c r="E7" s="1865"/>
      <c r="H7" s="1440">
        <v>1</v>
      </c>
      <c r="I7" s="1440">
        <v>0.1</v>
      </c>
      <c r="J7" s="1869">
        <v>12</v>
      </c>
      <c r="L7" s="1952" t="s">
        <v>1686</v>
      </c>
      <c r="M7" s="1972" t="s">
        <v>46</v>
      </c>
      <c r="N7" s="1903"/>
      <c r="O7" s="1870">
        <f>SUMIFS(O8:O$42,$I8:$I$42,$I7)</f>
        <v>4528500</v>
      </c>
      <c r="P7" s="1870">
        <f>SUMIFS(P8:P$42,$I8:$I$42,$I7)</f>
        <v>4885600</v>
      </c>
      <c r="Q7" s="1870">
        <f>SUMIFS(Q8:Q$42,$I8:$I$42,$I7)</f>
        <v>4957700</v>
      </c>
      <c r="R7" s="1870">
        <f>SUMIFS(R8:R$42,$I8:$I$42,$I7)</f>
        <v>4815000</v>
      </c>
      <c r="S7" s="2528">
        <f>(R7-P7)/P7</f>
        <v>-1.4450630424103487E-2</v>
      </c>
      <c r="T7" s="1952" t="s">
        <v>1686</v>
      </c>
      <c r="U7" s="1903" t="s">
        <v>46</v>
      </c>
      <c r="V7" s="1903"/>
      <c r="W7" s="1871">
        <f t="shared" ref="W7:W45" si="3">O7/$B$3</f>
        <v>4.5285000000000002</v>
      </c>
      <c r="X7" s="1871">
        <f t="shared" si="0"/>
        <v>4.8856000000000002</v>
      </c>
      <c r="Y7" s="1871">
        <f t="shared" si="1"/>
        <v>4.9577</v>
      </c>
      <c r="Z7" s="1871">
        <f t="shared" si="2"/>
        <v>4.8150000000000004</v>
      </c>
    </row>
    <row r="8" spans="2:26" x14ac:dyDescent="0.2">
      <c r="B8" s="1872">
        <f>SUM(Electricity!B66,Electricity!B28)</f>
        <v>2262640.1922399509</v>
      </c>
      <c r="C8" s="1872">
        <f>SUM(Electricity!F66,Electricity!F28)</f>
        <v>2435222.5008966071</v>
      </c>
      <c r="D8" s="1872">
        <f>SUM(Electricity!J66,Electricity!J28)</f>
        <v>2718854.2750973855</v>
      </c>
      <c r="E8" s="1872">
        <f>SUM(Electricity!N66,Electricity!N28)</f>
        <v>2615097.8339294633</v>
      </c>
      <c r="G8" s="1440">
        <v>1</v>
      </c>
      <c r="I8" s="1440">
        <f>I7</f>
        <v>0.1</v>
      </c>
      <c r="J8" s="1865"/>
      <c r="L8" s="1953" t="s">
        <v>1686</v>
      </c>
      <c r="M8" s="1873"/>
      <c r="N8" s="1873" t="s">
        <v>797</v>
      </c>
      <c r="O8" s="1874">
        <f t="shared" ref="O8:R11" si="4">ROUND(B8,$B$2)</f>
        <v>2262600</v>
      </c>
      <c r="P8" s="1874">
        <f t="shared" si="4"/>
        <v>2435200</v>
      </c>
      <c r="Q8" s="1874">
        <f t="shared" si="4"/>
        <v>2718900</v>
      </c>
      <c r="R8" s="1874">
        <f t="shared" si="4"/>
        <v>2615100</v>
      </c>
      <c r="T8" s="1953" t="s">
        <v>1686</v>
      </c>
      <c r="U8" s="1873"/>
      <c r="V8" s="1873" t="s">
        <v>797</v>
      </c>
      <c r="W8" s="1875">
        <f t="shared" si="3"/>
        <v>2.2625999999999999</v>
      </c>
      <c r="X8" s="1875">
        <f t="shared" si="0"/>
        <v>2.4352</v>
      </c>
      <c r="Y8" s="1875">
        <f t="shared" si="1"/>
        <v>2.7189000000000001</v>
      </c>
      <c r="Z8" s="1875">
        <f t="shared" si="2"/>
        <v>2.6151</v>
      </c>
    </row>
    <row r="9" spans="2:26" x14ac:dyDescent="0.2">
      <c r="B9" s="1880">
        <f>'Res-Heat &amp; Hot Water'!B15</f>
        <v>1575859.5702621297</v>
      </c>
      <c r="C9" s="1872">
        <f>'Res-Heat &amp; Hot Water'!F15</f>
        <v>1827233.2481214297</v>
      </c>
      <c r="D9" s="1872">
        <f>'Res-Heat &amp; Hot Water'!J15</f>
        <v>1639863.0776867399</v>
      </c>
      <c r="E9" s="1872">
        <f>'Res-Heat &amp; Hot Water'!N15</f>
        <v>1568872.6019650795</v>
      </c>
      <c r="G9" s="1440">
        <v>1</v>
      </c>
      <c r="I9" s="1440">
        <f>I8</f>
        <v>0.1</v>
      </c>
      <c r="J9" s="1865"/>
      <c r="L9" s="1954"/>
      <c r="M9" s="1873"/>
      <c r="N9" s="1873" t="s">
        <v>1839</v>
      </c>
      <c r="O9" s="1874">
        <f t="shared" si="4"/>
        <v>1575900</v>
      </c>
      <c r="P9" s="1874">
        <f t="shared" si="4"/>
        <v>1827200</v>
      </c>
      <c r="Q9" s="1874">
        <f t="shared" si="4"/>
        <v>1639900</v>
      </c>
      <c r="R9" s="1874">
        <f t="shared" si="4"/>
        <v>1568900</v>
      </c>
      <c r="S9" s="2525"/>
      <c r="T9" s="1954"/>
      <c r="U9" s="1873"/>
      <c r="V9" s="1873" t="s">
        <v>2119</v>
      </c>
      <c r="W9" s="1875">
        <f>O9/$B$3</f>
        <v>1.5759000000000001</v>
      </c>
      <c r="X9" s="1875">
        <f t="shared" si="0"/>
        <v>1.8271999999999999</v>
      </c>
      <c r="Y9" s="1875">
        <f t="shared" si="1"/>
        <v>1.6398999999999999</v>
      </c>
      <c r="Z9" s="1875">
        <f t="shared" si="2"/>
        <v>1.5689</v>
      </c>
    </row>
    <row r="10" spans="2:26" x14ac:dyDescent="0.2">
      <c r="B10" s="1880">
        <f>'Res-Heat &amp; Hot Water'!B29</f>
        <v>286166.56841749756</v>
      </c>
      <c r="C10" s="1872">
        <f>'Res-Heat &amp; Hot Water'!F29</f>
        <v>216350.78127111736</v>
      </c>
      <c r="D10" s="1872">
        <f>'Res-Heat &amp; Hot Water'!J29</f>
        <v>189210.48115779029</v>
      </c>
      <c r="E10" s="1872">
        <f>SUM('Res-Heat &amp; Hot Water'!N29)</f>
        <v>132064.37328900307</v>
      </c>
      <c r="G10" s="1440">
        <v>2</v>
      </c>
      <c r="I10" s="1440">
        <f>I9</f>
        <v>0.1</v>
      </c>
      <c r="J10" s="1865"/>
      <c r="L10" s="1954"/>
      <c r="M10" s="1873"/>
      <c r="N10" s="1873" t="s">
        <v>1183</v>
      </c>
      <c r="O10" s="1874">
        <f t="shared" si="4"/>
        <v>286200</v>
      </c>
      <c r="P10" s="1874">
        <f t="shared" si="4"/>
        <v>216400</v>
      </c>
      <c r="Q10" s="1874">
        <f t="shared" si="4"/>
        <v>189200</v>
      </c>
      <c r="R10" s="1874">
        <f t="shared" si="4"/>
        <v>132100</v>
      </c>
      <c r="T10" s="1954"/>
      <c r="U10" s="1873"/>
      <c r="V10" s="1873" t="s">
        <v>2116</v>
      </c>
      <c r="W10" s="1875">
        <f t="shared" si="3"/>
        <v>0.28620000000000001</v>
      </c>
      <c r="X10" s="1875">
        <f t="shared" si="0"/>
        <v>0.21640000000000001</v>
      </c>
      <c r="Y10" s="1875">
        <f t="shared" si="1"/>
        <v>0.18920000000000001</v>
      </c>
      <c r="Z10" s="1875">
        <f t="shared" si="2"/>
        <v>0.1321</v>
      </c>
    </row>
    <row r="11" spans="2:26" x14ac:dyDescent="0.2">
      <c r="B11" s="2491">
        <f>SUM('Res- Garden &amp; Rec'!B9,'Res- Garden &amp; Rec'!B13,'Res- Garden &amp; Rec'!B17)</f>
        <v>403764.49699999992</v>
      </c>
      <c r="C11" s="2490">
        <f>SUM('Res- Garden &amp; Rec'!F9,'Res- Garden &amp; Rec'!F13,'Res- Garden &amp; Rec'!F17)</f>
        <v>406840.28299999994</v>
      </c>
      <c r="D11" s="2490">
        <f>SUM('Res- Garden &amp; Rec'!J9,'Res- Garden &amp; Rec'!J13,'Res- Garden &amp; Rec'!J17)</f>
        <v>409658.68800000014</v>
      </c>
      <c r="E11" s="2490">
        <f>SUM('Res- Garden &amp; Rec'!N9,'Res- Garden &amp; Rec'!N13,'Res- Garden &amp; Rec'!N17)</f>
        <v>498883.88799999998</v>
      </c>
      <c r="G11" s="1440">
        <v>2</v>
      </c>
      <c r="I11" s="1440">
        <f>I10</f>
        <v>0.1</v>
      </c>
      <c r="J11" s="1865"/>
      <c r="L11" s="1954"/>
      <c r="M11" s="1873"/>
      <c r="N11" s="1873" t="s">
        <v>1753</v>
      </c>
      <c r="O11" s="1874">
        <f t="shared" si="4"/>
        <v>403800</v>
      </c>
      <c r="P11" s="1874">
        <f t="shared" si="4"/>
        <v>406800</v>
      </c>
      <c r="Q11" s="1874">
        <f t="shared" si="4"/>
        <v>409700</v>
      </c>
      <c r="R11" s="1874">
        <f t="shared" si="4"/>
        <v>498900</v>
      </c>
      <c r="T11" s="1954"/>
      <c r="U11" s="1873"/>
      <c r="V11" s="1873" t="s">
        <v>2115</v>
      </c>
      <c r="W11" s="1875">
        <f t="shared" si="3"/>
        <v>0.40379999999999999</v>
      </c>
      <c r="X11" s="1875">
        <f t="shared" si="0"/>
        <v>0.40679999999999999</v>
      </c>
      <c r="Y11" s="1875">
        <f t="shared" si="1"/>
        <v>0.40970000000000001</v>
      </c>
      <c r="Z11" s="1875">
        <f t="shared" si="2"/>
        <v>0.49890000000000001</v>
      </c>
    </row>
    <row r="12" spans="2:26" ht="15.75" x14ac:dyDescent="0.2">
      <c r="B12" s="1865"/>
      <c r="C12" s="1868"/>
      <c r="D12" s="1868"/>
      <c r="E12" s="1868"/>
      <c r="H12" s="1440">
        <v>1</v>
      </c>
      <c r="I12" s="1440">
        <v>0.2</v>
      </c>
      <c r="J12" s="1869">
        <v>12</v>
      </c>
      <c r="L12" s="1954"/>
      <c r="M12" s="1973" t="s">
        <v>47</v>
      </c>
      <c r="N12" s="1905"/>
      <c r="O12" s="1878">
        <f>SUMIFS(O13:O$42,$I13:$I$42,$I12)</f>
        <v>4095100</v>
      </c>
      <c r="P12" s="1878">
        <f>SUMIFS(P13:P$42,$I13:$I$42,$I12)</f>
        <v>4528700</v>
      </c>
      <c r="Q12" s="1878">
        <f>SUMIFS(Q13:Q$42,$I13:$I$42,$I12)</f>
        <v>4789800</v>
      </c>
      <c r="R12" s="1878">
        <f>SUMIFS(R13:R$42,$I13:$I$42,$I12)</f>
        <v>4924200</v>
      </c>
      <c r="S12" s="2528">
        <f>(R12-P12)/P12</f>
        <v>8.7331905403316631E-2</v>
      </c>
      <c r="T12" s="1954"/>
      <c r="U12" s="1905" t="s">
        <v>47</v>
      </c>
      <c r="V12" s="1905"/>
      <c r="W12" s="1879">
        <f t="shared" si="3"/>
        <v>4.0951000000000004</v>
      </c>
      <c r="X12" s="1879">
        <f t="shared" si="0"/>
        <v>4.5286999999999997</v>
      </c>
      <c r="Y12" s="1879">
        <f t="shared" si="1"/>
        <v>4.7897999999999996</v>
      </c>
      <c r="Z12" s="1879">
        <f t="shared" si="2"/>
        <v>4.9241999999999999</v>
      </c>
    </row>
    <row r="13" spans="2:26" x14ac:dyDescent="0.2">
      <c r="B13" s="1872">
        <f>SUM(Electricity!B72,Electricity!B34)</f>
        <v>2448535.1432058644</v>
      </c>
      <c r="C13" s="1872">
        <f>SUM(Electricity!F72,Electricity!F34)</f>
        <v>2684371.0104787261</v>
      </c>
      <c r="D13" s="1872">
        <f>SUM(Electricity!J72,Electricity!J34)</f>
        <v>3006709.289799164</v>
      </c>
      <c r="E13" s="1872">
        <f>SUM(Electricity!N34,Electricity!N72)</f>
        <v>2968681.96484876</v>
      </c>
      <c r="G13" s="1440">
        <v>1</v>
      </c>
      <c r="I13" s="1440">
        <f>I12</f>
        <v>0.2</v>
      </c>
      <c r="J13" s="1865"/>
      <c r="L13" s="1954"/>
      <c r="M13" s="1873"/>
      <c r="N13" s="1873" t="s">
        <v>797</v>
      </c>
      <c r="O13" s="1874">
        <f t="shared" ref="O13:R16" si="5">ROUND(B13,$B$2)</f>
        <v>2448500</v>
      </c>
      <c r="P13" s="1874">
        <f t="shared" si="5"/>
        <v>2684400</v>
      </c>
      <c r="Q13" s="1874">
        <f t="shared" si="5"/>
        <v>3006700</v>
      </c>
      <c r="R13" s="1874">
        <f t="shared" si="5"/>
        <v>2968700</v>
      </c>
      <c r="T13" s="1954"/>
      <c r="U13" s="1873"/>
      <c r="V13" s="1873" t="s">
        <v>797</v>
      </c>
      <c r="W13" s="1875">
        <f t="shared" si="3"/>
        <v>2.4485000000000001</v>
      </c>
      <c r="X13" s="1875">
        <f t="shared" si="0"/>
        <v>2.6844000000000001</v>
      </c>
      <c r="Y13" s="1875">
        <f t="shared" si="1"/>
        <v>3.0066999999999999</v>
      </c>
      <c r="Z13" s="1875">
        <f t="shared" si="2"/>
        <v>2.9687000000000001</v>
      </c>
    </row>
    <row r="14" spans="2:26" x14ac:dyDescent="0.2">
      <c r="B14" s="1872">
        <f>'Commercial- Heat &amp; Hot Water'!B36</f>
        <v>1035199.31128527</v>
      </c>
      <c r="C14" s="1872">
        <f>'Commercial- Heat &amp; Hot Water'!F36</f>
        <v>1175794.5735707099</v>
      </c>
      <c r="D14" s="1872">
        <f>'Commercial- Heat &amp; Hot Water'!J36</f>
        <v>1096872.1711842897</v>
      </c>
      <c r="E14" s="1872">
        <f>'Commercial- Heat &amp; Hot Water'!O36</f>
        <v>1148394.6787783271</v>
      </c>
      <c r="G14" s="1440">
        <v>1</v>
      </c>
      <c r="I14" s="1440">
        <f>I15</f>
        <v>0.2</v>
      </c>
      <c r="J14" s="1865"/>
      <c r="L14" s="1954"/>
      <c r="M14" s="1873"/>
      <c r="N14" s="1873" t="s">
        <v>1213</v>
      </c>
      <c r="O14" s="1874">
        <f t="shared" si="5"/>
        <v>1035200</v>
      </c>
      <c r="P14" s="1874">
        <f t="shared" si="5"/>
        <v>1175800</v>
      </c>
      <c r="Q14" s="1874">
        <f t="shared" si="5"/>
        <v>1096900</v>
      </c>
      <c r="R14" s="1874">
        <f t="shared" si="5"/>
        <v>1148400</v>
      </c>
      <c r="T14" s="1954"/>
      <c r="U14" s="1873"/>
      <c r="V14" s="1873" t="s">
        <v>2117</v>
      </c>
      <c r="W14" s="1875">
        <f t="shared" si="3"/>
        <v>1.0351999999999999</v>
      </c>
      <c r="X14" s="1875">
        <f t="shared" si="0"/>
        <v>1.1758</v>
      </c>
      <c r="Y14" s="1875">
        <f t="shared" si="1"/>
        <v>1.0969</v>
      </c>
      <c r="Z14" s="1875">
        <f t="shared" si="2"/>
        <v>1.1484000000000001</v>
      </c>
    </row>
    <row r="15" spans="2:26" x14ac:dyDescent="0.2">
      <c r="B15" s="1872">
        <f>SUM('Commercial- Equip'!B8,'Commercial- Equip'!B20)</f>
        <v>73574.835999999996</v>
      </c>
      <c r="C15" s="1872">
        <f>SUM('Commercial- Equip'!F8,'Commercial- Equip'!F20)</f>
        <v>77308.879000000015</v>
      </c>
      <c r="D15" s="1872">
        <f>SUM('Commercial- Equip'!J8,'Commercial- Equip'!J20)</f>
        <v>74549.747999999992</v>
      </c>
      <c r="E15" s="1872">
        <f>SUM('Commercial- Equip'!N8,'Commercial- Equip'!N20)</f>
        <v>153769.85499999998</v>
      </c>
      <c r="G15" s="1440">
        <v>1</v>
      </c>
      <c r="I15" s="1440">
        <f>I13</f>
        <v>0.2</v>
      </c>
      <c r="J15" s="1865"/>
      <c r="L15" s="1954"/>
      <c r="M15" s="1873"/>
      <c r="N15" s="1873" t="s">
        <v>1752</v>
      </c>
      <c r="O15" s="1874">
        <f t="shared" si="5"/>
        <v>73600</v>
      </c>
      <c r="P15" s="1874">
        <f t="shared" si="5"/>
        <v>77300</v>
      </c>
      <c r="Q15" s="1874">
        <f t="shared" si="5"/>
        <v>74500</v>
      </c>
      <c r="R15" s="1874">
        <f t="shared" si="5"/>
        <v>153800</v>
      </c>
      <c r="T15" s="1954"/>
      <c r="U15" s="1873"/>
      <c r="V15" s="1873" t="s">
        <v>2118</v>
      </c>
      <c r="W15" s="1875">
        <f t="shared" ref="W15:Z16" si="6">O15/$B$3</f>
        <v>7.3599999999999999E-2</v>
      </c>
      <c r="X15" s="1875">
        <f t="shared" si="6"/>
        <v>7.7299999999999994E-2</v>
      </c>
      <c r="Y15" s="1875">
        <f t="shared" si="6"/>
        <v>7.4499999999999997E-2</v>
      </c>
      <c r="Z15" s="1875">
        <f t="shared" si="6"/>
        <v>0.15379999999999999</v>
      </c>
    </row>
    <row r="16" spans="2:26" x14ac:dyDescent="0.2">
      <c r="B16" s="1872">
        <f>'Commercial- Heat &amp; Hot Water'!B45</f>
        <v>210057.56747623233</v>
      </c>
      <c r="C16" s="1872">
        <f>'Commercial- Heat &amp; Hot Water'!F45</f>
        <v>245805.14279405258</v>
      </c>
      <c r="D16" s="1872">
        <f>'Commercial- Heat &amp; Hot Water'!J45</f>
        <v>263993.95941758261</v>
      </c>
      <c r="E16" s="1872">
        <f>'Commercial- Heat &amp; Hot Water'!O45</f>
        <v>254466.70743864859</v>
      </c>
      <c r="G16" s="1440">
        <v>2</v>
      </c>
      <c r="I16" s="1440">
        <f>I17</f>
        <v>0.2</v>
      </c>
      <c r="J16" s="1865"/>
      <c r="L16" s="1954"/>
      <c r="M16" s="1873"/>
      <c r="N16" s="1873" t="s">
        <v>1184</v>
      </c>
      <c r="O16" s="1874">
        <f t="shared" si="5"/>
        <v>210100</v>
      </c>
      <c r="P16" s="1874">
        <f t="shared" si="5"/>
        <v>245800</v>
      </c>
      <c r="Q16" s="1874">
        <f t="shared" si="5"/>
        <v>264000</v>
      </c>
      <c r="R16" s="1874">
        <f t="shared" si="5"/>
        <v>254500</v>
      </c>
      <c r="T16" s="1954"/>
      <c r="U16" s="1873"/>
      <c r="V16" s="1873" t="s">
        <v>2120</v>
      </c>
      <c r="W16" s="1875">
        <f t="shared" si="6"/>
        <v>0.21010000000000001</v>
      </c>
      <c r="X16" s="1875">
        <f t="shared" si="6"/>
        <v>0.24579999999999999</v>
      </c>
      <c r="Y16" s="1875">
        <f t="shared" si="6"/>
        <v>0.26400000000000001</v>
      </c>
      <c r="Z16" s="1875">
        <f t="shared" si="6"/>
        <v>0.2545</v>
      </c>
    </row>
    <row r="17" spans="2:26" x14ac:dyDescent="0.2">
      <c r="B17" s="1880">
        <f>SUM('Commercial- Equip'!B16,'Commercial- Equip'!B12)</f>
        <v>166558.68600000002</v>
      </c>
      <c r="C17" s="1880">
        <f>SUM('Commercial- Equip'!F16,'Commercial- Equip'!F12)</f>
        <v>168003.807</v>
      </c>
      <c r="D17" s="1880">
        <f>SUM('Commercial- Equip'!J16,'Commercial- Equip'!J12)</f>
        <v>176194.98400000003</v>
      </c>
      <c r="E17" s="1880">
        <f>SUM('Commercial- Equip'!N16,'Commercial- Equip'!N12)</f>
        <v>250612.78100000002</v>
      </c>
      <c r="G17" s="1440">
        <v>2</v>
      </c>
      <c r="I17" s="1440">
        <f>I14</f>
        <v>0.2</v>
      </c>
      <c r="J17" s="1865"/>
      <c r="L17" s="1954"/>
      <c r="M17" s="1873"/>
      <c r="N17" s="1873" t="s">
        <v>1754</v>
      </c>
      <c r="O17" s="1874">
        <f t="shared" ref="O17:R18" si="7">ROUND(B17,$B$2)</f>
        <v>166600</v>
      </c>
      <c r="P17" s="1874">
        <f t="shared" si="7"/>
        <v>168000</v>
      </c>
      <c r="Q17" s="1874">
        <f t="shared" si="7"/>
        <v>176200</v>
      </c>
      <c r="R17" s="1874">
        <f t="shared" si="7"/>
        <v>250600</v>
      </c>
      <c r="T17" s="1954"/>
      <c r="U17" s="1873"/>
      <c r="V17" s="1873" t="s">
        <v>2121</v>
      </c>
      <c r="W17" s="1875">
        <f t="shared" si="3"/>
        <v>0.1666</v>
      </c>
      <c r="X17" s="1875">
        <f t="shared" si="0"/>
        <v>0.16800000000000001</v>
      </c>
      <c r="Y17" s="1875">
        <f>Q17/$B$3</f>
        <v>0.1762</v>
      </c>
      <c r="Z17" s="1875">
        <f t="shared" si="2"/>
        <v>0.25059999999999999</v>
      </c>
    </row>
    <row r="18" spans="2:26" x14ac:dyDescent="0.2">
      <c r="B18" s="2490">
        <f>'Commercial- Heat &amp; Hot Water'!B20</f>
        <v>161145.62898338999</v>
      </c>
      <c r="C18" s="2490">
        <f>'Commercial- Heat &amp; Hot Water'!F20</f>
        <v>177424.87202999997</v>
      </c>
      <c r="D18" s="2490">
        <f>'Commercial- Heat &amp; Hot Water'!J20</f>
        <v>171452.53404</v>
      </c>
      <c r="E18" s="2490">
        <f>'Commercial- Heat &amp; Hot Water'!O20</f>
        <v>148192.97285999998</v>
      </c>
      <c r="G18" s="1440">
        <v>2</v>
      </c>
      <c r="I18" s="1440">
        <f>I16</f>
        <v>0.2</v>
      </c>
      <c r="J18" s="1865"/>
      <c r="L18" s="1954"/>
      <c r="M18" s="1873"/>
      <c r="N18" s="1873" t="s">
        <v>17</v>
      </c>
      <c r="O18" s="1874">
        <f t="shared" si="7"/>
        <v>161100</v>
      </c>
      <c r="P18" s="1874">
        <f t="shared" si="7"/>
        <v>177400</v>
      </c>
      <c r="Q18" s="1874">
        <f t="shared" si="7"/>
        <v>171500</v>
      </c>
      <c r="R18" s="1874">
        <f t="shared" si="7"/>
        <v>148200</v>
      </c>
      <c r="T18" s="1954"/>
      <c r="U18" s="1873"/>
      <c r="V18" s="1873" t="s">
        <v>17</v>
      </c>
      <c r="W18" s="1875">
        <f t="shared" si="3"/>
        <v>0.16109999999999999</v>
      </c>
      <c r="X18" s="1875">
        <f t="shared" si="0"/>
        <v>0.1774</v>
      </c>
      <c r="Y18" s="1875">
        <f>Q18/$B$3</f>
        <v>0.17150000000000001</v>
      </c>
      <c r="Z18" s="1875">
        <f t="shared" si="2"/>
        <v>0.1482</v>
      </c>
    </row>
    <row r="19" spans="2:26" ht="15.75" x14ac:dyDescent="0.2">
      <c r="B19" s="1865"/>
      <c r="C19" s="1868"/>
      <c r="D19" s="1868"/>
      <c r="E19" s="1868"/>
      <c r="G19" s="1440">
        <v>2</v>
      </c>
      <c r="H19" s="1440">
        <v>1</v>
      </c>
      <c r="I19" s="1440">
        <v>0.3</v>
      </c>
      <c r="J19" s="1869">
        <v>12</v>
      </c>
      <c r="L19" s="1954"/>
      <c r="M19" s="1973" t="s">
        <v>48</v>
      </c>
      <c r="N19" s="1905"/>
      <c r="O19" s="1874">
        <f>SUMIFS(O20:O$42,$I20:$I$42,$I19)</f>
        <v>2041900</v>
      </c>
      <c r="P19" s="1878">
        <f>SUMIFS(P20:P$42,$I20:$I$42,$I19)</f>
        <v>2068400</v>
      </c>
      <c r="Q19" s="1876">
        <f>ROUND(D19,$B$2)</f>
        <v>0</v>
      </c>
      <c r="R19" s="1878">
        <f>SUMIFS(R20:R$42,$I20:$I$42,$I19)</f>
        <v>1666000</v>
      </c>
      <c r="S19" s="2528">
        <f>(R19-P19)/P19</f>
        <v>-0.19454650937923032</v>
      </c>
      <c r="T19" s="1954"/>
      <c r="U19" s="1905" t="s">
        <v>48</v>
      </c>
      <c r="V19" s="1905"/>
      <c r="W19" s="1879">
        <f t="shared" si="3"/>
        <v>2.0419</v>
      </c>
      <c r="X19" s="1879">
        <f t="shared" si="0"/>
        <v>2.0684</v>
      </c>
      <c r="Y19" s="1877">
        <f t="shared" si="1"/>
        <v>0</v>
      </c>
      <c r="Z19" s="1879">
        <f t="shared" si="2"/>
        <v>1.6659999999999999</v>
      </c>
    </row>
    <row r="20" spans="2:26" x14ac:dyDescent="0.2">
      <c r="B20" s="1872">
        <f>SUM(Electricity!B39,Electricity!B77)</f>
        <v>629214.80640418315</v>
      </c>
      <c r="C20" s="1872">
        <f>SUM(Electricity!F39,Electricity!F77)</f>
        <v>584300.86423297017</v>
      </c>
      <c r="D20" s="1868"/>
      <c r="E20" s="1872">
        <f>SUM(Electricity!N39,Electricity!N77)</f>
        <v>599746.93536330562</v>
      </c>
      <c r="I20" s="1440">
        <f>I19</f>
        <v>0.3</v>
      </c>
      <c r="J20" s="1865"/>
      <c r="L20" s="1954"/>
      <c r="M20" s="1905"/>
      <c r="N20" s="1905" t="s">
        <v>797</v>
      </c>
      <c r="O20" s="1874">
        <f t="shared" ref="O20:P22" si="8">ROUND(B20,$B$2)</f>
        <v>629200</v>
      </c>
      <c r="P20" s="1874">
        <f t="shared" si="8"/>
        <v>584300</v>
      </c>
      <c r="Q20" s="1876">
        <f>ROUND(D20,$B$2)</f>
        <v>0</v>
      </c>
      <c r="R20" s="1874">
        <f>ROUND(E20,$B$2)</f>
        <v>599700</v>
      </c>
      <c r="S20" s="2528">
        <f>(R20-P20)/P20</f>
        <v>2.6356323806263904E-2</v>
      </c>
      <c r="T20" s="1954"/>
      <c r="U20" s="1905"/>
      <c r="V20" s="1905" t="s">
        <v>797</v>
      </c>
      <c r="W20" s="1875">
        <f t="shared" si="3"/>
        <v>0.62919999999999998</v>
      </c>
      <c r="X20" s="1875">
        <f t="shared" si="0"/>
        <v>0.58430000000000004</v>
      </c>
      <c r="Y20" s="1877">
        <f t="shared" si="1"/>
        <v>0</v>
      </c>
      <c r="Z20" s="1875">
        <f t="shared" si="2"/>
        <v>0.59970000000000001</v>
      </c>
    </row>
    <row r="21" spans="2:26" x14ac:dyDescent="0.2">
      <c r="B21" s="1880">
        <f>'Ind- Process'!B58</f>
        <v>451499.23418948852</v>
      </c>
      <c r="C21" s="1872">
        <f>'Ind- Process'!F58</f>
        <v>435007.8194521399</v>
      </c>
      <c r="D21" s="1868"/>
      <c r="E21" s="1872">
        <f>'Ind- Process'!J58</f>
        <v>351085.40076908364</v>
      </c>
      <c r="I21" s="1440">
        <f>I20</f>
        <v>0.3</v>
      </c>
      <c r="J21" s="1865"/>
      <c r="L21" s="1954"/>
      <c r="M21" s="1873"/>
      <c r="N21" s="1873" t="s">
        <v>80</v>
      </c>
      <c r="O21" s="1874">
        <f t="shared" si="8"/>
        <v>451500</v>
      </c>
      <c r="P21" s="1874">
        <f t="shared" si="8"/>
        <v>435000</v>
      </c>
      <c r="Q21" s="1876">
        <f>ROUND(D21,$B$2)</f>
        <v>0</v>
      </c>
      <c r="R21" s="1874">
        <f>ROUND(E21,$B$2)</f>
        <v>351100</v>
      </c>
      <c r="T21" s="1954"/>
      <c r="U21" s="1873"/>
      <c r="V21" s="1873" t="s">
        <v>80</v>
      </c>
      <c r="W21" s="1875">
        <f t="shared" si="3"/>
        <v>0.45150000000000001</v>
      </c>
      <c r="X21" s="1875">
        <f t="shared" si="0"/>
        <v>0.435</v>
      </c>
      <c r="Y21" s="1877">
        <f t="shared" si="1"/>
        <v>0</v>
      </c>
      <c r="Z21" s="1875">
        <f t="shared" si="2"/>
        <v>0.35110000000000002</v>
      </c>
    </row>
    <row r="22" spans="2:26" ht="12.75" thickBot="1" x14ac:dyDescent="0.25">
      <c r="B22" s="1872">
        <f>'Ind- Operations'!B112</f>
        <v>961208.55060443911</v>
      </c>
      <c r="C22" s="1872">
        <f>'Ind- Operations'!F112</f>
        <v>1049112.8017335359</v>
      </c>
      <c r="D22" s="1868"/>
      <c r="E22" s="2490">
        <f>'Ind- Operations'!K112</f>
        <v>715199.93716206111</v>
      </c>
      <c r="I22" s="1440">
        <f>I21</f>
        <v>0.3</v>
      </c>
      <c r="J22" s="1865"/>
      <c r="L22" s="1954"/>
      <c r="M22" s="1873"/>
      <c r="N22" s="1873" t="s">
        <v>1755</v>
      </c>
      <c r="O22" s="1874">
        <f t="shared" si="8"/>
        <v>961200</v>
      </c>
      <c r="P22" s="1874">
        <f t="shared" si="8"/>
        <v>1049100</v>
      </c>
      <c r="Q22" s="1876">
        <f>ROUND(D22,$B$2)</f>
        <v>0</v>
      </c>
      <c r="R22" s="1874">
        <f>ROUND(E22,$B$2)</f>
        <v>715200</v>
      </c>
      <c r="T22" s="1954"/>
      <c r="U22" s="1873"/>
      <c r="V22" s="1873" t="s">
        <v>1755</v>
      </c>
      <c r="W22" s="1875">
        <f t="shared" si="3"/>
        <v>0.96120000000000005</v>
      </c>
      <c r="X22" s="1875">
        <f t="shared" si="0"/>
        <v>1.0490999999999999</v>
      </c>
      <c r="Y22" s="1877">
        <f t="shared" si="1"/>
        <v>0</v>
      </c>
      <c r="Z22" s="1875">
        <f t="shared" si="2"/>
        <v>0.71519999999999995</v>
      </c>
    </row>
    <row r="23" spans="2:26" ht="13.5" thickTop="1" thickBot="1" x14ac:dyDescent="0.25">
      <c r="B23" s="1865"/>
      <c r="C23" s="1868"/>
      <c r="D23" s="1868"/>
      <c r="E23" s="1868"/>
      <c r="H23" s="1440">
        <v>2</v>
      </c>
      <c r="J23" s="1865"/>
      <c r="L23" s="1956" t="s">
        <v>1692</v>
      </c>
      <c r="M23" s="1907"/>
      <c r="N23" s="1907"/>
      <c r="O23" s="1908">
        <f>SUMIFS(O24:O$42,$H24:$H$42,$H23)</f>
        <v>5825700</v>
      </c>
      <c r="P23" s="1908">
        <f>SUMIFS(P24:P$42,$H24:$H$42,$H23)</f>
        <v>6337100</v>
      </c>
      <c r="Q23" s="1908">
        <f>SUMIFS(Q24:Q$42,$H24:$H$42,$H23)</f>
        <v>6173900</v>
      </c>
      <c r="R23" s="1909">
        <f>SUMIFS(R24:R$42,$H24:$H$42,$H23)</f>
        <v>6382200</v>
      </c>
      <c r="T23" s="1956" t="s">
        <v>1692</v>
      </c>
      <c r="U23" s="1907"/>
      <c r="V23" s="1907"/>
      <c r="W23" s="1910">
        <f t="shared" si="3"/>
        <v>5.8257000000000003</v>
      </c>
      <c r="X23" s="1910">
        <f t="shared" si="0"/>
        <v>6.3371000000000004</v>
      </c>
      <c r="Y23" s="1910">
        <f t="shared" si="1"/>
        <v>6.1738999999999997</v>
      </c>
      <c r="Z23" s="1911">
        <f t="shared" si="2"/>
        <v>6.3822000000000001</v>
      </c>
    </row>
    <row r="24" spans="2:26" ht="16.5" thickTop="1" x14ac:dyDescent="0.2">
      <c r="B24" s="1865"/>
      <c r="C24" s="1868"/>
      <c r="D24" s="1868"/>
      <c r="E24" s="1868"/>
      <c r="G24" s="1440">
        <v>1</v>
      </c>
      <c r="H24" s="1440">
        <v>2</v>
      </c>
      <c r="I24" s="1440">
        <v>0.4</v>
      </c>
      <c r="J24" s="1869">
        <v>12</v>
      </c>
      <c r="L24" s="1957"/>
      <c r="M24" s="1974" t="s">
        <v>1882</v>
      </c>
      <c r="N24" s="1887"/>
      <c r="O24" s="1870">
        <f>SUMIFS(O25:O$42,$I25:$I$42,$I24)</f>
        <v>5534300</v>
      </c>
      <c r="P24" s="1870">
        <f>SUMIFS(P25:P$42,$I25:$I$42,$I24)</f>
        <v>6026100</v>
      </c>
      <c r="Q24" s="1870">
        <f>SUMIFS(Q25:Q$42,$I25:$I$42,$I24)</f>
        <v>6002900</v>
      </c>
      <c r="R24" s="1870">
        <f>SUMIFS(R25:R$42,$I25:$I$42,$I24)</f>
        <v>5998000</v>
      </c>
      <c r="T24" s="1957"/>
      <c r="U24" s="1887" t="s">
        <v>1882</v>
      </c>
      <c r="V24" s="1887"/>
      <c r="W24" s="1871">
        <f t="shared" si="3"/>
        <v>5.5343</v>
      </c>
      <c r="X24" s="1871">
        <f t="shared" si="0"/>
        <v>6.0260999999999996</v>
      </c>
      <c r="Y24" s="1871">
        <f t="shared" si="1"/>
        <v>6.0029000000000003</v>
      </c>
      <c r="Z24" s="1871">
        <f t="shared" si="2"/>
        <v>5.9980000000000002</v>
      </c>
    </row>
    <row r="25" spans="2:26" x14ac:dyDescent="0.2">
      <c r="B25" s="1872">
        <f>'Trans- Road'!B14</f>
        <v>4444957.8192388108</v>
      </c>
      <c r="C25" s="1872">
        <f>'Trans- Road'!F14</f>
        <v>4947374.7406568872</v>
      </c>
      <c r="D25" s="1872">
        <f>'Trans- Road'!J14</f>
        <v>4893627.8278662497</v>
      </c>
      <c r="E25" s="2438">
        <f>'Trans- Road'!O14</f>
        <v>4840018.6506630778</v>
      </c>
      <c r="F25" s="1440" t="s">
        <v>53</v>
      </c>
      <c r="I25" s="1440">
        <f>I24</f>
        <v>0.4</v>
      </c>
      <c r="J25" s="1865"/>
      <c r="L25" s="1954"/>
      <c r="M25" s="1975"/>
      <c r="N25" s="1905" t="s">
        <v>1883</v>
      </c>
      <c r="O25" s="1874">
        <f t="shared" ref="O25:R30" si="9">ROUND(B25,$B$2)</f>
        <v>4445000</v>
      </c>
      <c r="P25" s="1874">
        <f t="shared" si="9"/>
        <v>4947400</v>
      </c>
      <c r="Q25" s="1874">
        <f t="shared" si="9"/>
        <v>4893600</v>
      </c>
      <c r="R25" s="1874">
        <f t="shared" si="9"/>
        <v>4840000</v>
      </c>
      <c r="T25" s="1954"/>
      <c r="U25" s="1888"/>
      <c r="V25" s="1905" t="s">
        <v>1883</v>
      </c>
      <c r="W25" s="1875">
        <f t="shared" si="3"/>
        <v>4.4450000000000003</v>
      </c>
      <c r="X25" s="1875">
        <f t="shared" si="0"/>
        <v>4.9474</v>
      </c>
      <c r="Y25" s="1875">
        <f t="shared" si="1"/>
        <v>4.8936000000000002</v>
      </c>
      <c r="Z25" s="1875">
        <f t="shared" si="2"/>
        <v>4.84</v>
      </c>
    </row>
    <row r="26" spans="2:26" x14ac:dyDescent="0.2">
      <c r="B26" s="1872">
        <f>SUM('Trans- Road'!B73,'Trans- Road'!B66)</f>
        <v>960835.01226263575</v>
      </c>
      <c r="C26" s="1872">
        <f>SUM('Trans- Road'!F73,'Trans- Road'!F66)</f>
        <v>959398.36781949864</v>
      </c>
      <c r="D26" s="1872">
        <f>SUM('Trans- Road'!J73,'Trans- Road'!J66)</f>
        <v>974461.37740425323</v>
      </c>
      <c r="E26" s="2438">
        <f>SUM('Trans- Road'!O73,'Trans- Road'!O66)</f>
        <v>999535.75946572912</v>
      </c>
      <c r="F26" s="1440" t="s">
        <v>53</v>
      </c>
      <c r="I26" s="1440">
        <f>I27</f>
        <v>0.4</v>
      </c>
      <c r="J26" s="1865"/>
      <c r="L26" s="1954"/>
      <c r="M26" s="1975"/>
      <c r="N26" s="1905" t="s">
        <v>1884</v>
      </c>
      <c r="O26" s="1874">
        <f t="shared" si="9"/>
        <v>960800</v>
      </c>
      <c r="P26" s="1874">
        <f t="shared" si="9"/>
        <v>959400</v>
      </c>
      <c r="Q26" s="1874">
        <f t="shared" si="9"/>
        <v>974500</v>
      </c>
      <c r="R26" s="1874">
        <f t="shared" si="9"/>
        <v>999500</v>
      </c>
      <c r="T26" s="1954"/>
      <c r="U26" s="1888"/>
      <c r="V26" s="1905" t="s">
        <v>1884</v>
      </c>
      <c r="W26" s="1875">
        <f>O26/$B$3</f>
        <v>0.96079999999999999</v>
      </c>
      <c r="X26" s="1875">
        <f t="shared" si="0"/>
        <v>0.95940000000000003</v>
      </c>
      <c r="Y26" s="1875">
        <f t="shared" si="1"/>
        <v>0.97450000000000003</v>
      </c>
      <c r="Z26" s="1875">
        <f t="shared" si="2"/>
        <v>0.99950000000000006</v>
      </c>
    </row>
    <row r="27" spans="2:26" x14ac:dyDescent="0.2">
      <c r="B27" s="1872">
        <f>'Trans- Road'!B23+'Trans- Road'!B56</f>
        <v>128541.24178484213</v>
      </c>
      <c r="C27" s="1872">
        <f>'Trans- Road'!F23+'Trans- Road'!F56</f>
        <v>119343.05558016905</v>
      </c>
      <c r="D27" s="1872">
        <f>'Trans- Road'!J23+'Trans- Road'!J56</f>
        <v>134843.403995373</v>
      </c>
      <c r="E27" s="2438">
        <f>'Trans- Road'!O23+'Trans- Road'!O56</f>
        <v>158507.94134500009</v>
      </c>
      <c r="F27" s="1440" t="s">
        <v>53</v>
      </c>
      <c r="I27" s="1440">
        <f>I25</f>
        <v>0.4</v>
      </c>
      <c r="J27" s="1865"/>
      <c r="L27" s="1954"/>
      <c r="M27" s="1975"/>
      <c r="N27" s="1905" t="s">
        <v>1885</v>
      </c>
      <c r="O27" s="1874">
        <f t="shared" si="9"/>
        <v>128500</v>
      </c>
      <c r="P27" s="1874">
        <f t="shared" si="9"/>
        <v>119300</v>
      </c>
      <c r="Q27" s="2486">
        <f t="shared" si="9"/>
        <v>134800</v>
      </c>
      <c r="R27" s="1874">
        <f t="shared" si="9"/>
        <v>158500</v>
      </c>
      <c r="T27" s="1954"/>
      <c r="U27" s="1888"/>
      <c r="V27" s="1905" t="s">
        <v>1885</v>
      </c>
      <c r="W27" s="1875">
        <f t="shared" si="3"/>
        <v>0.1285</v>
      </c>
      <c r="X27" s="1875">
        <f t="shared" si="0"/>
        <v>0.1193</v>
      </c>
      <c r="Y27" s="2488">
        <f t="shared" si="1"/>
        <v>0.1348</v>
      </c>
      <c r="Z27" s="1875">
        <f t="shared" si="2"/>
        <v>0.1585</v>
      </c>
    </row>
    <row r="28" spans="2:26" x14ac:dyDescent="0.2">
      <c r="B28" s="1872">
        <f>'Trans-Rail'!H66</f>
        <v>53836.795483557878</v>
      </c>
      <c r="C28" s="1872">
        <f>'Trans-Rail'!O66</f>
        <v>69881.212444547258</v>
      </c>
      <c r="D28" s="1868">
        <f>'Trans-Rail'!V66</f>
        <v>70080.342688192555</v>
      </c>
      <c r="E28" s="1872">
        <f>'Trans-Rail'!AC66</f>
        <v>69572.382340063865</v>
      </c>
      <c r="G28" s="1440">
        <v>2</v>
      </c>
      <c r="H28" s="1440">
        <v>2</v>
      </c>
      <c r="J28" s="1865"/>
      <c r="L28" s="1954"/>
      <c r="M28" s="1975" t="s">
        <v>2385</v>
      </c>
      <c r="N28" s="1904"/>
      <c r="O28" s="1878">
        <f t="shared" si="9"/>
        <v>53800</v>
      </c>
      <c r="P28" s="1878">
        <f t="shared" si="9"/>
        <v>69900</v>
      </c>
      <c r="Q28" s="2485">
        <f>ROUND(D28,$B$2)</f>
        <v>70100</v>
      </c>
      <c r="R28" s="1878">
        <f>ROUND(E28,$B$2)</f>
        <v>69600</v>
      </c>
      <c r="T28" s="1954"/>
      <c r="U28" s="1904" t="s">
        <v>2384</v>
      </c>
      <c r="V28" s="1904"/>
      <c r="W28" s="1875">
        <f t="shared" si="3"/>
        <v>5.3800000000000001E-2</v>
      </c>
      <c r="X28" s="1875">
        <f t="shared" si="0"/>
        <v>6.9900000000000004E-2</v>
      </c>
      <c r="Y28" s="2488">
        <f t="shared" si="1"/>
        <v>7.0099999999999996E-2</v>
      </c>
      <c r="Z28" s="1875">
        <f t="shared" si="2"/>
        <v>6.9599999999999995E-2</v>
      </c>
    </row>
    <row r="29" spans="2:26" x14ac:dyDescent="0.2">
      <c r="B29" s="1872">
        <f>'Trans- Marine'!B115</f>
        <v>140455.9014015618</v>
      </c>
      <c r="C29" s="1872">
        <f>'Trans- Marine'!I115</f>
        <v>137015.18671955634</v>
      </c>
      <c r="D29" s="1868"/>
      <c r="E29" s="1872">
        <f>'Trans- Marine'!P115</f>
        <v>185789.49862458775</v>
      </c>
      <c r="G29" s="1440">
        <v>2</v>
      </c>
      <c r="H29" s="1440">
        <v>2</v>
      </c>
      <c r="J29" s="1865"/>
      <c r="L29" s="1954"/>
      <c r="M29" s="1976" t="s">
        <v>1719</v>
      </c>
      <c r="N29" s="1904"/>
      <c r="O29" s="1878">
        <f t="shared" si="9"/>
        <v>140500</v>
      </c>
      <c r="P29" s="1878">
        <f t="shared" si="9"/>
        <v>137000</v>
      </c>
      <c r="Q29" s="1978">
        <f t="shared" si="9"/>
        <v>0</v>
      </c>
      <c r="R29" s="1878">
        <f t="shared" si="9"/>
        <v>185800</v>
      </c>
      <c r="T29" s="1954"/>
      <c r="U29" s="1904" t="s">
        <v>1719</v>
      </c>
      <c r="V29" s="1904"/>
      <c r="W29" s="1875">
        <f t="shared" si="3"/>
        <v>0.14050000000000001</v>
      </c>
      <c r="X29" s="1875">
        <f t="shared" si="0"/>
        <v>0.13700000000000001</v>
      </c>
      <c r="Y29" s="1877">
        <f t="shared" si="1"/>
        <v>0</v>
      </c>
      <c r="Z29" s="1875">
        <f t="shared" si="2"/>
        <v>0.18579999999999999</v>
      </c>
    </row>
    <row r="30" spans="2:26" ht="12.75" thickBot="1" x14ac:dyDescent="0.25">
      <c r="B30" s="1872">
        <f>SUM('Res- Garden &amp; Rec'!B10,'Res- Garden &amp; Rec'!B14,'Res- Garden &amp; Rec'!B18)</f>
        <v>97132.267999999996</v>
      </c>
      <c r="C30" s="1872">
        <f>SUM('Res- Garden &amp; Rec'!F10,'Res- Garden &amp; Rec'!F14,'Res- Garden &amp; Rec'!F18)</f>
        <v>104081.637</v>
      </c>
      <c r="D30" s="1868">
        <f>SUM('Res- Garden &amp; Rec'!J10,'Res- Garden &amp; Rec'!J14,'Res- Garden &amp; Rec'!J18)</f>
        <v>100908.60500000001</v>
      </c>
      <c r="E30" s="1872">
        <f>SUM('Res- Garden &amp; Rec'!N10,'Res- Garden &amp; Rec'!N14,'Res- Garden &amp; Rec'!N18)</f>
        <v>128813.859</v>
      </c>
      <c r="G30" s="1440">
        <v>2</v>
      </c>
      <c r="H30" s="1440">
        <v>2</v>
      </c>
      <c r="J30" s="1865"/>
      <c r="L30" s="1955"/>
      <c r="M30" s="1977" t="s">
        <v>1886</v>
      </c>
      <c r="N30" s="1906"/>
      <c r="O30" s="1979">
        <f t="shared" si="9"/>
        <v>97100</v>
      </c>
      <c r="P30" s="1979">
        <f t="shared" si="9"/>
        <v>104100</v>
      </c>
      <c r="Q30" s="2487">
        <f t="shared" si="9"/>
        <v>100900</v>
      </c>
      <c r="R30" s="1979">
        <f t="shared" si="9"/>
        <v>128800</v>
      </c>
      <c r="T30" s="1955"/>
      <c r="U30" s="1906" t="s">
        <v>1886</v>
      </c>
      <c r="V30" s="1906"/>
      <c r="W30" s="1885">
        <f t="shared" si="3"/>
        <v>9.7100000000000006E-2</v>
      </c>
      <c r="X30" s="1885">
        <f t="shared" si="0"/>
        <v>0.1041</v>
      </c>
      <c r="Y30" s="2489">
        <f t="shared" si="1"/>
        <v>0.1009</v>
      </c>
      <c r="Z30" s="1885">
        <f t="shared" si="2"/>
        <v>0.1288</v>
      </c>
    </row>
    <row r="31" spans="2:26" ht="13.5" thickTop="1" thickBot="1" x14ac:dyDescent="0.25">
      <c r="B31" s="1865"/>
      <c r="C31" s="1868"/>
      <c r="D31" s="1868"/>
      <c r="E31" s="1868"/>
      <c r="G31" s="1440">
        <v>1</v>
      </c>
      <c r="H31" s="1440">
        <v>3</v>
      </c>
      <c r="J31" s="1865"/>
      <c r="L31" s="1958" t="s">
        <v>1700</v>
      </c>
      <c r="M31" s="1912"/>
      <c r="N31" s="1912"/>
      <c r="O31" s="1913">
        <f>SUMIFS(O32:O$42,$H32:$H$42,$H31)</f>
        <v>255700</v>
      </c>
      <c r="P31" s="1913">
        <f>SUMIFS(P32:P$42,$H32:$H$42,$H31)</f>
        <v>235900</v>
      </c>
      <c r="Q31" s="1913">
        <f>SUMIFS(Q32:Q$42,$H32:$H$42,$H31)</f>
        <v>211900</v>
      </c>
      <c r="R31" s="1914">
        <f>SUMIFS(R32:R$42,$H32:$H$42,$H31)</f>
        <v>190900</v>
      </c>
      <c r="T31" s="1958" t="s">
        <v>1700</v>
      </c>
      <c r="U31" s="1912"/>
      <c r="V31" s="1912"/>
      <c r="W31" s="1915">
        <f t="shared" si="3"/>
        <v>0.25569999999999998</v>
      </c>
      <c r="X31" s="1915">
        <f t="shared" si="0"/>
        <v>0.2359</v>
      </c>
      <c r="Y31" s="1915">
        <f t="shared" si="1"/>
        <v>0.21190000000000001</v>
      </c>
      <c r="Z31" s="1916">
        <f t="shared" si="2"/>
        <v>0.19089999999999999</v>
      </c>
    </row>
    <row r="32" spans="2:26" ht="17.25" thickTop="1" thickBot="1" x14ac:dyDescent="0.25">
      <c r="B32" s="1440">
        <f>'Waste- Management'!B32</f>
        <v>255722</v>
      </c>
      <c r="C32" s="1872">
        <f>'Waste- Management'!F32</f>
        <v>235906</v>
      </c>
      <c r="D32" s="2490">
        <f>'Waste- Management'!K32</f>
        <v>211891.40302771862</v>
      </c>
      <c r="E32" s="2490">
        <f>'Waste- Management'!O32</f>
        <v>190854.9615137222</v>
      </c>
      <c r="H32" s="1440">
        <v>3</v>
      </c>
      <c r="J32" s="1869">
        <v>12</v>
      </c>
      <c r="L32" s="1959"/>
      <c r="M32" s="1917" t="s">
        <v>1721</v>
      </c>
      <c r="N32" s="1917"/>
      <c r="O32" s="1889">
        <f>ROUND(B32,$B$2)</f>
        <v>255700</v>
      </c>
      <c r="P32" s="1889">
        <f>ROUND(C32,$B$2)</f>
        <v>235900</v>
      </c>
      <c r="Q32" s="1889">
        <f>ROUND(D32,$B$2)</f>
        <v>211900</v>
      </c>
      <c r="R32" s="1889">
        <f>ROUND(E32,$B$2)</f>
        <v>190900</v>
      </c>
      <c r="T32" s="1959"/>
      <c r="U32" s="1917" t="s">
        <v>1721</v>
      </c>
      <c r="V32" s="1917"/>
      <c r="W32" s="1890">
        <f t="shared" si="3"/>
        <v>0.25569999999999998</v>
      </c>
      <c r="X32" s="1890">
        <f t="shared" si="0"/>
        <v>0.2359</v>
      </c>
      <c r="Y32" s="1890">
        <f t="shared" si="1"/>
        <v>0.21190000000000001</v>
      </c>
      <c r="Z32" s="1890">
        <f t="shared" si="2"/>
        <v>0.19089999999999999</v>
      </c>
    </row>
    <row r="33" spans="2:26" ht="13.5" thickTop="1" thickBot="1" x14ac:dyDescent="0.25">
      <c r="B33" s="1865"/>
      <c r="C33" s="1868"/>
      <c r="D33" s="1868"/>
      <c r="E33" s="1868"/>
      <c r="G33" s="1440">
        <v>2</v>
      </c>
      <c r="H33" s="1440">
        <v>4</v>
      </c>
      <c r="J33" s="1865"/>
      <c r="L33" s="1960" t="s">
        <v>1703</v>
      </c>
      <c r="M33" s="1918"/>
      <c r="N33" s="1918"/>
      <c r="O33" s="1919">
        <f>SUMIFS(O34:O$42,$H34:$H$42,$H33)</f>
        <v>55000</v>
      </c>
      <c r="P33" s="1919">
        <f>SUMIFS(P34:P$42,$H34:$H$42,$H33)</f>
        <v>56200</v>
      </c>
      <c r="Q33" s="1919">
        <f>SUMIFS(Q34:Q$42,$H34:$H$42,$H33)</f>
        <v>18200</v>
      </c>
      <c r="R33" s="1920">
        <f>SUMIFS(R34:R$42,$H34:$H$42,$H33)</f>
        <v>62500</v>
      </c>
      <c r="T33" s="1960" t="s">
        <v>1703</v>
      </c>
      <c r="U33" s="1918"/>
      <c r="V33" s="1918"/>
      <c r="W33" s="1921">
        <f t="shared" si="3"/>
        <v>5.5E-2</v>
      </c>
      <c r="X33" s="1921">
        <f t="shared" si="0"/>
        <v>5.62E-2</v>
      </c>
      <c r="Y33" s="1921">
        <f t="shared" si="1"/>
        <v>1.8200000000000001E-2</v>
      </c>
      <c r="Z33" s="1922">
        <f t="shared" si="2"/>
        <v>6.25E-2</v>
      </c>
    </row>
    <row r="34" spans="2:26" ht="16.5" thickTop="1" x14ac:dyDescent="0.2">
      <c r="B34" s="2492">
        <f>'Water-Potable'!B76</f>
        <v>16839.484077173984</v>
      </c>
      <c r="C34" s="2490">
        <f>'Water-Potable'!J76</f>
        <v>15374.294146546101</v>
      </c>
      <c r="D34" s="2493"/>
      <c r="E34" s="2490">
        <f>'Water-Potable'!R76</f>
        <v>18201.303670641944</v>
      </c>
      <c r="H34" s="1440">
        <v>4</v>
      </c>
      <c r="J34" s="1869">
        <v>12</v>
      </c>
      <c r="L34" s="1957"/>
      <c r="M34" s="1923" t="s">
        <v>1896</v>
      </c>
      <c r="N34" s="1923"/>
      <c r="O34" s="1891">
        <f t="shared" ref="O34:R35" si="10">ROUND(B34,$B$2)</f>
        <v>16800</v>
      </c>
      <c r="P34" s="1891">
        <f t="shared" si="10"/>
        <v>15400</v>
      </c>
      <c r="Q34" s="1892">
        <f>ROUND(E34,$B$2)</f>
        <v>18200</v>
      </c>
      <c r="R34" s="1891">
        <f>ROUND(E34,$B$2)</f>
        <v>18200</v>
      </c>
      <c r="S34" s="2528">
        <f>(R34-P34)/P34</f>
        <v>0.18181818181818182</v>
      </c>
      <c r="T34" s="1957"/>
      <c r="U34" s="1923" t="s">
        <v>1896</v>
      </c>
      <c r="V34" s="1923"/>
      <c r="W34" s="1893">
        <f t="shared" si="3"/>
        <v>1.6799999999999999E-2</v>
      </c>
      <c r="X34" s="1893">
        <f t="shared" si="0"/>
        <v>1.54E-2</v>
      </c>
      <c r="Y34" s="1894">
        <f t="shared" si="1"/>
        <v>1.8200000000000001E-2</v>
      </c>
      <c r="Z34" s="1893">
        <f t="shared" si="2"/>
        <v>1.8200000000000001E-2</v>
      </c>
    </row>
    <row r="35" spans="2:26" ht="12.75" thickBot="1" x14ac:dyDescent="0.25">
      <c r="B35" s="1937">
        <f>'Water-Waste'!B109</f>
        <v>38245.953441824182</v>
      </c>
      <c r="C35" s="1936">
        <f>'Water-Waste'!F109</f>
        <v>40846.411869214789</v>
      </c>
      <c r="D35" s="1936"/>
      <c r="E35" s="1936">
        <f>'Water-Waste'!J109</f>
        <v>44341.665251282582</v>
      </c>
      <c r="H35" s="1440">
        <v>4</v>
      </c>
      <c r="J35" s="1865"/>
      <c r="L35" s="1961"/>
      <c r="M35" s="1906" t="s">
        <v>1895</v>
      </c>
      <c r="N35" s="1906"/>
      <c r="O35" s="1883">
        <f t="shared" si="10"/>
        <v>38200</v>
      </c>
      <c r="P35" s="1883">
        <f t="shared" si="10"/>
        <v>40800</v>
      </c>
      <c r="Q35" s="1884">
        <f t="shared" si="10"/>
        <v>0</v>
      </c>
      <c r="R35" s="1883">
        <f t="shared" si="10"/>
        <v>44300</v>
      </c>
      <c r="S35" s="2528">
        <f>(R35-P35)/P35</f>
        <v>8.5784313725490197E-2</v>
      </c>
      <c r="T35" s="1961"/>
      <c r="U35" s="1906" t="s">
        <v>1895</v>
      </c>
      <c r="V35" s="1906"/>
      <c r="W35" s="1885">
        <f t="shared" si="3"/>
        <v>3.8199999999999998E-2</v>
      </c>
      <c r="X35" s="1885">
        <f t="shared" si="0"/>
        <v>4.0800000000000003E-2</v>
      </c>
      <c r="Y35" s="1886">
        <f t="shared" si="1"/>
        <v>0</v>
      </c>
      <c r="Z35" s="1885">
        <f t="shared" si="2"/>
        <v>4.4299999999999999E-2</v>
      </c>
    </row>
    <row r="36" spans="2:26" ht="13.5" thickTop="1" thickBot="1" x14ac:dyDescent="0.25">
      <c r="B36" s="1865"/>
      <c r="C36" s="1868"/>
      <c r="D36" s="1868"/>
      <c r="E36" s="1868"/>
      <c r="G36" s="1440">
        <v>2</v>
      </c>
      <c r="H36" s="1440">
        <v>5</v>
      </c>
      <c r="J36" s="1865"/>
      <c r="L36" s="1962" t="s">
        <v>1706</v>
      </c>
      <c r="M36" s="1924"/>
      <c r="N36" s="1924"/>
      <c r="O36" s="1925">
        <f>SUMIFS(O37:O$42,$H37:$H$42,$H36)</f>
        <v>125600</v>
      </c>
      <c r="P36" s="1925">
        <f>SUMIFS(P37:P$42,$H37:$H$42,$H36)</f>
        <v>130700</v>
      </c>
      <c r="Q36" s="1925">
        <f>SUMIFS(Q37:Q$42,$H37:$H$42,$H36)</f>
        <v>0</v>
      </c>
      <c r="R36" s="1926">
        <f>SUMIFS(R37:R$42,$H37:$H$42,$H36)</f>
        <v>109000</v>
      </c>
      <c r="T36" s="1962" t="s">
        <v>1706</v>
      </c>
      <c r="U36" s="1924"/>
      <c r="V36" s="1924"/>
      <c r="W36" s="1927">
        <f t="shared" si="3"/>
        <v>0.12559999999999999</v>
      </c>
      <c r="X36" s="1927">
        <f t="shared" si="0"/>
        <v>0.13070000000000001</v>
      </c>
      <c r="Y36" s="1927">
        <f t="shared" si="1"/>
        <v>0</v>
      </c>
      <c r="Z36" s="1928">
        <f t="shared" si="2"/>
        <v>0.109</v>
      </c>
    </row>
    <row r="37" spans="2:26" ht="16.5" thickTop="1" x14ac:dyDescent="0.2">
      <c r="B37" s="1872">
        <f>Agr!B39</f>
        <v>52414.380899999996</v>
      </c>
      <c r="C37" s="1872">
        <f>Agr!F39</f>
        <v>56614.718672448129</v>
      </c>
      <c r="D37" s="1868"/>
      <c r="E37" s="1872">
        <f>Agr!K39</f>
        <v>58997.591999999997</v>
      </c>
      <c r="H37" s="1440">
        <v>5</v>
      </c>
      <c r="J37" s="1869">
        <v>12</v>
      </c>
      <c r="L37" s="1952" t="s">
        <v>1686</v>
      </c>
      <c r="M37" s="1923" t="s">
        <v>1707</v>
      </c>
      <c r="N37" s="1923"/>
      <c r="O37" s="1891">
        <f t="shared" ref="O37:R38" si="11">ROUND(B37,$B$2)</f>
        <v>52400</v>
      </c>
      <c r="P37" s="1891">
        <f t="shared" si="11"/>
        <v>56600</v>
      </c>
      <c r="Q37" s="1892">
        <f t="shared" si="11"/>
        <v>0</v>
      </c>
      <c r="R37" s="1891">
        <f t="shared" si="11"/>
        <v>59000</v>
      </c>
      <c r="T37" s="1952" t="s">
        <v>1686</v>
      </c>
      <c r="U37" s="1923" t="s">
        <v>1707</v>
      </c>
      <c r="V37" s="1923"/>
      <c r="W37" s="1893">
        <f t="shared" si="3"/>
        <v>5.2400000000000002E-2</v>
      </c>
      <c r="X37" s="1893">
        <f t="shared" si="0"/>
        <v>5.6599999999999998E-2</v>
      </c>
      <c r="Y37" s="1894">
        <f t="shared" si="1"/>
        <v>0</v>
      </c>
      <c r="Z37" s="1893">
        <f t="shared" si="2"/>
        <v>5.8999999999999997E-2</v>
      </c>
    </row>
    <row r="38" spans="2:26" ht="12.75" thickBot="1" x14ac:dyDescent="0.25">
      <c r="B38" s="1872">
        <f>Agr!B141</f>
        <v>73247.18115339923</v>
      </c>
      <c r="C38" s="1872">
        <f>Agr!F141</f>
        <v>74136.649932419386</v>
      </c>
      <c r="D38" s="1868"/>
      <c r="E38" s="1872">
        <f>Agr!K141</f>
        <v>49999.158620949129</v>
      </c>
      <c r="H38" s="1440">
        <v>5</v>
      </c>
      <c r="J38" s="1865"/>
      <c r="L38" s="1963"/>
      <c r="M38" s="1906" t="s">
        <v>1708</v>
      </c>
      <c r="N38" s="1906"/>
      <c r="O38" s="1883">
        <f t="shared" si="11"/>
        <v>73200</v>
      </c>
      <c r="P38" s="1883">
        <f t="shared" si="11"/>
        <v>74100</v>
      </c>
      <c r="Q38" s="1884">
        <f t="shared" si="11"/>
        <v>0</v>
      </c>
      <c r="R38" s="1883">
        <f t="shared" si="11"/>
        <v>50000</v>
      </c>
      <c r="T38" s="1963"/>
      <c r="U38" s="1906" t="s">
        <v>1708</v>
      </c>
      <c r="V38" s="1906"/>
      <c r="W38" s="1885">
        <f t="shared" si="3"/>
        <v>7.3200000000000001E-2</v>
      </c>
      <c r="X38" s="1885">
        <f t="shared" si="0"/>
        <v>7.4099999999999999E-2</v>
      </c>
      <c r="Y38" s="1886">
        <f t="shared" si="1"/>
        <v>0</v>
      </c>
      <c r="Z38" s="1885">
        <f t="shared" si="2"/>
        <v>0.05</v>
      </c>
    </row>
    <row r="39" spans="2:26" ht="13.5" thickTop="1" thickBot="1" x14ac:dyDescent="0.25">
      <c r="B39" s="1865"/>
      <c r="C39" s="1868"/>
      <c r="D39" s="1868"/>
      <c r="E39" s="1868"/>
      <c r="G39" s="1440">
        <v>3</v>
      </c>
      <c r="H39" s="1440">
        <v>6</v>
      </c>
      <c r="J39" s="1865"/>
      <c r="L39" s="1964" t="s">
        <v>2134</v>
      </c>
      <c r="M39" s="1929"/>
      <c r="N39" s="1929"/>
      <c r="O39" s="1930">
        <f>SUMIFS(O40:O$42,$H40:$H$42,$H39)</f>
        <v>322600</v>
      </c>
      <c r="P39" s="1930">
        <f>SUMIFS(P40:P$42,$H40:$H$42,$H39)</f>
        <v>241500</v>
      </c>
      <c r="Q39" s="1930">
        <f>SUMIFS(Q40:Q$42,$H40:$H$42,$H39)</f>
        <v>0</v>
      </c>
      <c r="R39" s="1931">
        <f>SUMIFS(R40:R$42,$H40:$H$42,$H39)</f>
        <v>201700</v>
      </c>
      <c r="T39" s="1964" t="s">
        <v>2134</v>
      </c>
      <c r="U39" s="1929"/>
      <c r="V39" s="1929"/>
      <c r="W39" s="1932">
        <f t="shared" si="3"/>
        <v>0.3226</v>
      </c>
      <c r="X39" s="1932">
        <f t="shared" si="0"/>
        <v>0.24149999999999999</v>
      </c>
      <c r="Y39" s="1932">
        <f t="shared" si="1"/>
        <v>0</v>
      </c>
      <c r="Z39" s="1933">
        <f t="shared" si="2"/>
        <v>0.20169999999999999</v>
      </c>
    </row>
    <row r="40" spans="2:26" ht="12.75" thickTop="1" x14ac:dyDescent="0.2">
      <c r="B40" s="1880">
        <f>'Waste- Landfills'!B88</f>
        <v>202367.39394800738</v>
      </c>
      <c r="C40" s="1872">
        <f>'Waste- Landfills'!F88</f>
        <v>169832.53429446009</v>
      </c>
      <c r="D40" s="1872"/>
      <c r="E40" s="1872">
        <f>'Waste- Landfills'!K88</f>
        <v>137862.61099732964</v>
      </c>
      <c r="H40" s="1440">
        <v>6</v>
      </c>
      <c r="J40" s="1865"/>
      <c r="L40" s="1954"/>
      <c r="M40" s="1904" t="s">
        <v>1720</v>
      </c>
      <c r="N40" s="1904"/>
      <c r="O40" s="1874">
        <f t="shared" ref="O40:R42" si="12">ROUND(B40,$B$2)</f>
        <v>202400</v>
      </c>
      <c r="P40" s="1874">
        <f t="shared" si="12"/>
        <v>169800</v>
      </c>
      <c r="Q40" s="1876">
        <f t="shared" si="12"/>
        <v>0</v>
      </c>
      <c r="R40" s="1874">
        <f t="shared" si="12"/>
        <v>137900</v>
      </c>
      <c r="T40" s="1954"/>
      <c r="U40" s="1904" t="s">
        <v>1720</v>
      </c>
      <c r="V40" s="1904"/>
      <c r="W40" s="1875">
        <f t="shared" si="3"/>
        <v>0.2024</v>
      </c>
      <c r="X40" s="1875">
        <f t="shared" si="0"/>
        <v>0.16980000000000001</v>
      </c>
      <c r="Y40" s="1877">
        <f t="shared" si="1"/>
        <v>0</v>
      </c>
      <c r="Z40" s="1875">
        <f t="shared" si="2"/>
        <v>0.13789999999999999</v>
      </c>
    </row>
    <row r="41" spans="2:26" x14ac:dyDescent="0.2">
      <c r="B41" s="1872">
        <f>Agr!B174</f>
        <v>9676.8512490642206</v>
      </c>
      <c r="C41" s="1872">
        <f>Agr!F174</f>
        <v>8322.4055049244034</v>
      </c>
      <c r="D41" s="1868"/>
      <c r="E41" s="1872">
        <f>Agr!K174</f>
        <v>9365.7623305047491</v>
      </c>
      <c r="H41" s="1440">
        <v>6</v>
      </c>
      <c r="J41" s="1865"/>
      <c r="L41" s="1953"/>
      <c r="M41" s="1904" t="s">
        <v>1714</v>
      </c>
      <c r="N41" s="1904"/>
      <c r="O41" s="1874">
        <f t="shared" si="12"/>
        <v>9700</v>
      </c>
      <c r="P41" s="1874">
        <f t="shared" si="12"/>
        <v>8300</v>
      </c>
      <c r="Q41" s="1876">
        <f t="shared" si="12"/>
        <v>0</v>
      </c>
      <c r="R41" s="1874">
        <f t="shared" si="12"/>
        <v>9400</v>
      </c>
      <c r="T41" s="1953"/>
      <c r="U41" s="1904" t="s">
        <v>1714</v>
      </c>
      <c r="V41" s="1904"/>
      <c r="W41" s="1875">
        <f t="shared" si="3"/>
        <v>9.7000000000000003E-3</v>
      </c>
      <c r="X41" s="1875">
        <f t="shared" si="0"/>
        <v>8.3000000000000001E-3</v>
      </c>
      <c r="Y41" s="1877">
        <f t="shared" si="1"/>
        <v>0</v>
      </c>
      <c r="Z41" s="1875">
        <f t="shared" si="2"/>
        <v>9.4000000000000004E-3</v>
      </c>
    </row>
    <row r="42" spans="2:26" x14ac:dyDescent="0.2">
      <c r="B42" s="1872">
        <f>Land_Use!B39</f>
        <v>110468.99957844499</v>
      </c>
      <c r="C42" s="1872">
        <f>Land_Use!F39</f>
        <v>63426.695845312825</v>
      </c>
      <c r="D42" s="1868"/>
      <c r="E42" s="1872">
        <f>Land_Use!J39</f>
        <v>54436.388909647554</v>
      </c>
      <c r="H42" s="1440">
        <v>6</v>
      </c>
      <c r="J42" s="1865"/>
      <c r="L42" s="1953"/>
      <c r="M42" s="1904" t="s">
        <v>1715</v>
      </c>
      <c r="N42" s="1904"/>
      <c r="O42" s="1874">
        <f t="shared" si="12"/>
        <v>110500</v>
      </c>
      <c r="P42" s="1874">
        <f t="shared" si="12"/>
        <v>63400</v>
      </c>
      <c r="Q42" s="1876">
        <f t="shared" si="12"/>
        <v>0</v>
      </c>
      <c r="R42" s="1874">
        <f t="shared" si="12"/>
        <v>54400</v>
      </c>
      <c r="T42" s="1953"/>
      <c r="U42" s="1904" t="s">
        <v>1715</v>
      </c>
      <c r="V42" s="1904"/>
      <c r="W42" s="1875">
        <f t="shared" si="3"/>
        <v>0.1105</v>
      </c>
      <c r="X42" s="1875">
        <f t="shared" si="0"/>
        <v>6.3399999999999998E-2</v>
      </c>
      <c r="Y42" s="1877">
        <f t="shared" si="1"/>
        <v>0</v>
      </c>
      <c r="Z42" s="1875">
        <f t="shared" si="2"/>
        <v>5.4399999999999997E-2</v>
      </c>
    </row>
    <row r="43" spans="2:26" ht="12.75" thickBot="1" x14ac:dyDescent="0.25">
      <c r="B43" s="1880">
        <f>'Ind- Fug. Gases'!B26</f>
        <v>609298.68587765377</v>
      </c>
      <c r="C43" s="1872">
        <f>'Ind- Fug. Gases'!F26</f>
        <v>897082.66677528946</v>
      </c>
      <c r="D43" s="1868"/>
      <c r="E43" s="1936">
        <f>'Ind- Fug. Gases'!J26</f>
        <v>1051482.4089759712</v>
      </c>
      <c r="I43" s="1440">
        <f>I22</f>
        <v>0.3</v>
      </c>
      <c r="J43" s="1865"/>
      <c r="K43" s="1881"/>
      <c r="L43" s="1955"/>
      <c r="M43" s="1882" t="s">
        <v>1876</v>
      </c>
      <c r="N43" s="1882"/>
      <c r="O43" s="1883">
        <f>ROUND(B43,$B$2)</f>
        <v>609300</v>
      </c>
      <c r="P43" s="1883">
        <f>ROUND(C43,$B$2)</f>
        <v>897100</v>
      </c>
      <c r="Q43" s="1884">
        <f>ROUND(D43,$B$2)</f>
        <v>0</v>
      </c>
      <c r="R43" s="1883">
        <f>ROUND(E43,$B$2)</f>
        <v>1051500</v>
      </c>
      <c r="T43" s="1955"/>
      <c r="U43" s="1882" t="s">
        <v>1876</v>
      </c>
      <c r="V43" s="1882"/>
      <c r="W43" s="1885">
        <f>O43/$B$3</f>
        <v>0.60929999999999995</v>
      </c>
      <c r="X43" s="1885">
        <f>P43/$B$3</f>
        <v>0.89710000000000001</v>
      </c>
      <c r="Y43" s="1886">
        <f>Q43/$B$3</f>
        <v>0</v>
      </c>
      <c r="Z43" s="1885">
        <f>R43/$B$3</f>
        <v>1.0515000000000001</v>
      </c>
    </row>
    <row r="44" spans="2:26" ht="13.5" thickTop="1" thickBot="1" x14ac:dyDescent="0.25">
      <c r="B44" s="1865"/>
      <c r="C44" s="1868"/>
      <c r="D44" s="1868"/>
      <c r="E44" s="1868"/>
      <c r="J44" s="1865"/>
      <c r="L44" s="1965" t="s">
        <v>1142</v>
      </c>
      <c r="M44" s="1934"/>
      <c r="N44" s="1934"/>
      <c r="O44" s="1895"/>
      <c r="P44" s="1895"/>
      <c r="Q44" s="1895"/>
      <c r="R44" s="1896"/>
      <c r="T44" s="1965" t="s">
        <v>1142</v>
      </c>
      <c r="U44" s="1934"/>
      <c r="V44" s="1934"/>
      <c r="W44" s="1897">
        <f t="shared" si="3"/>
        <v>0</v>
      </c>
      <c r="X44" s="1897">
        <f t="shared" si="0"/>
        <v>0</v>
      </c>
      <c r="Y44" s="1897">
        <f t="shared" si="1"/>
        <v>0</v>
      </c>
      <c r="Z44" s="1898">
        <f>R44/$B$3</f>
        <v>0</v>
      </c>
    </row>
    <row r="45" spans="2:26" ht="17.25" thickTop="1" thickBot="1" x14ac:dyDescent="0.25">
      <c r="B45" s="1865"/>
      <c r="C45" s="1868"/>
      <c r="D45" s="1868"/>
      <c r="E45" s="1868"/>
      <c r="G45" s="1440">
        <v>2</v>
      </c>
      <c r="J45" s="1869">
        <v>12</v>
      </c>
      <c r="L45" s="1966"/>
      <c r="M45" s="1935" t="s">
        <v>1917</v>
      </c>
      <c r="N45" s="1938"/>
      <c r="O45" s="1942">
        <f>SUMIFS(O$6:O$42,$G$6:$G$42,"&lt;="&amp;$G45)</f>
        <v>16927500</v>
      </c>
      <c r="P45" s="1942">
        <f>SUMIFS(P$6:P$42,$G$6:$G$42,"&lt;="&amp;$G45)</f>
        <v>18242600</v>
      </c>
      <c r="Q45" s="1943"/>
      <c r="R45" s="1942">
        <f>SUMIFS(R$6:R$42,$G$6:$G$42,"&lt;="&amp;$G45)</f>
        <v>18149800</v>
      </c>
      <c r="S45" s="2528">
        <f>(R45-P45)/P45</f>
        <v>-5.0869941784614037E-3</v>
      </c>
      <c r="T45" s="1966"/>
      <c r="U45" s="1935" t="s">
        <v>1916</v>
      </c>
      <c r="V45" s="1938"/>
      <c r="W45" s="1948">
        <f t="shared" si="3"/>
        <v>16.927499999999998</v>
      </c>
      <c r="X45" s="1948">
        <f t="shared" si="0"/>
        <v>18.242599999999999</v>
      </c>
      <c r="Y45" s="1969">
        <f t="shared" si="1"/>
        <v>0</v>
      </c>
      <c r="Z45" s="1948">
        <f t="shared" si="2"/>
        <v>18.149799999999999</v>
      </c>
    </row>
    <row r="46" spans="2:26" ht="14.25" thickTop="1" thickBot="1" x14ac:dyDescent="0.25">
      <c r="B46" s="1865"/>
      <c r="C46" s="1868"/>
      <c r="D46" s="1868"/>
      <c r="E46" s="1868"/>
      <c r="G46" s="1440">
        <v>1</v>
      </c>
      <c r="J46" s="1865"/>
      <c r="L46" s="1966"/>
      <c r="M46" s="1899"/>
      <c r="N46" s="1938" t="s">
        <v>1887</v>
      </c>
      <c r="O46" s="1942">
        <f>SUMIFS(O$6:O$42,$G$6:$G$42,$G46)</f>
        <v>13185800</v>
      </c>
      <c r="P46" s="1942">
        <f>SUMIFS(P$6:P$42,$G$6:$G$42,$G46)</f>
        <v>14461900</v>
      </c>
      <c r="Q46" s="1942">
        <f>SUMIFS(Q$6:Q$42,$G$6:$G$42,$G46)</f>
        <v>14751700</v>
      </c>
      <c r="R46" s="1942">
        <f>SUMIFS(R$6:R$42,$G$6:$G$42,$G46)</f>
        <v>14643800</v>
      </c>
      <c r="T46" s="1966"/>
      <c r="U46" s="1899"/>
      <c r="V46" s="1938" t="s">
        <v>1887</v>
      </c>
      <c r="W46" s="1948">
        <f>O46/$B$3</f>
        <v>13.1858</v>
      </c>
      <c r="X46" s="1948">
        <f t="shared" si="0"/>
        <v>14.4619</v>
      </c>
      <c r="Y46" s="1948">
        <f t="shared" si="1"/>
        <v>14.7517</v>
      </c>
      <c r="Z46" s="1948">
        <f t="shared" si="2"/>
        <v>14.643800000000001</v>
      </c>
    </row>
    <row r="47" spans="2:26" ht="14.25" thickTop="1" thickBot="1" x14ac:dyDescent="0.25">
      <c r="B47" s="1865"/>
      <c r="C47" s="1868"/>
      <c r="D47" s="1868"/>
      <c r="E47" s="1868"/>
      <c r="G47" s="1440">
        <v>2</v>
      </c>
      <c r="J47" s="1865"/>
      <c r="L47" s="1967"/>
      <c r="M47" s="1939"/>
      <c r="N47" s="1935" t="s">
        <v>1297</v>
      </c>
      <c r="O47" s="1944">
        <f>SUMIFS(O$6:O$42,$G$6:$G$42,$G47)</f>
        <v>3741700</v>
      </c>
      <c r="P47" s="1944">
        <f>SUMIFS(P$6:P$42,$G$6:$G$42,$G47)</f>
        <v>3780700</v>
      </c>
      <c r="Q47" s="1945"/>
      <c r="R47" s="1944">
        <f>SUMIFS(R$6:R$42,$G$6:$G$42,$G47)</f>
        <v>3506000</v>
      </c>
      <c r="T47" s="1967"/>
      <c r="U47" s="1939"/>
      <c r="V47" s="1935" t="s">
        <v>1297</v>
      </c>
      <c r="W47" s="1949">
        <f>O47/$B$3</f>
        <v>3.7416999999999998</v>
      </c>
      <c r="X47" s="1949">
        <f t="shared" si="0"/>
        <v>3.7806999999999999</v>
      </c>
      <c r="Y47" s="1970">
        <f t="shared" si="1"/>
        <v>0</v>
      </c>
      <c r="Z47" s="1949">
        <f t="shared" si="2"/>
        <v>3.5059999999999998</v>
      </c>
    </row>
    <row r="48" spans="2:26" ht="14.25" thickTop="1" thickBot="1" x14ac:dyDescent="0.25">
      <c r="B48" s="1865"/>
      <c r="C48" s="1868"/>
      <c r="D48" s="1868"/>
      <c r="E48" s="1868"/>
      <c r="G48" s="1440">
        <v>3</v>
      </c>
      <c r="J48" s="1865"/>
      <c r="L48" s="1968"/>
      <c r="M48" s="1940"/>
      <c r="N48" s="1941" t="s">
        <v>2122</v>
      </c>
      <c r="O48" s="1946">
        <f>SUMIFS(O$6:O$42,$G$6:$G$42,$G48)</f>
        <v>322600</v>
      </c>
      <c r="P48" s="1946">
        <f>SUMIFS(P$6:P$42,$G$6:$G$42,$G48)</f>
        <v>241500</v>
      </c>
      <c r="Q48" s="1947">
        <f>SUM(Q45:Q46)</f>
        <v>14751700</v>
      </c>
      <c r="R48" s="1946">
        <f>SUMIFS(R$6:R$42,$G$6:$G$42,$G48)</f>
        <v>201700</v>
      </c>
      <c r="T48" s="1968"/>
      <c r="U48" s="1940"/>
      <c r="V48" s="1941" t="s">
        <v>2122</v>
      </c>
      <c r="W48" s="1950">
        <f>O48/$B$3</f>
        <v>0.3226</v>
      </c>
      <c r="X48" s="1950">
        <f t="shared" si="0"/>
        <v>0.24149999999999999</v>
      </c>
      <c r="Y48" s="1971">
        <f t="shared" si="1"/>
        <v>14.7517</v>
      </c>
      <c r="Z48" s="1950">
        <f t="shared" si="2"/>
        <v>0.20169999999999999</v>
      </c>
    </row>
    <row r="49" spans="2:26" ht="13.5" thickTop="1" thickBot="1" x14ac:dyDescent="0.25">
      <c r="B49" s="1865"/>
      <c r="C49" s="1868"/>
      <c r="D49" s="1868"/>
      <c r="E49" s="1868"/>
      <c r="J49" s="1865"/>
      <c r="L49" s="1965" t="s">
        <v>2388</v>
      </c>
      <c r="M49" s="1934"/>
      <c r="N49" s="1934"/>
      <c r="O49" s="1895"/>
      <c r="P49" s="1895"/>
      <c r="Q49" s="1895"/>
      <c r="R49" s="1896"/>
      <c r="T49" s="1965"/>
      <c r="U49" s="1934"/>
      <c r="V49" s="1934"/>
      <c r="W49" s="1897"/>
      <c r="X49" s="1897"/>
      <c r="Y49" s="1897"/>
      <c r="Z49" s="1898"/>
    </row>
    <row r="50" spans="2:26" ht="12.75" thickTop="1" x14ac:dyDescent="0.2">
      <c r="B50" s="1880"/>
      <c r="C50" s="1872"/>
      <c r="D50" s="1872"/>
      <c r="E50" s="1872"/>
      <c r="J50" s="1865"/>
      <c r="L50" s="1954"/>
      <c r="M50" s="1873" t="s">
        <v>2389</v>
      </c>
      <c r="N50" s="1873"/>
      <c r="O50" s="1874">
        <f>'Waste- Management'!B33</f>
        <v>-399175</v>
      </c>
      <c r="P50" s="1874">
        <f>'Waste- Management'!F33</f>
        <v>-420441</v>
      </c>
      <c r="Q50" s="1874">
        <f>'Waste- Management'!K33</f>
        <v>-414512.05160741514</v>
      </c>
      <c r="R50" s="1874">
        <f>'Waste- Management'!O33</f>
        <v>-391650.82808770984</v>
      </c>
      <c r="T50" s="1954"/>
      <c r="U50" s="1873"/>
      <c r="V50" s="1873"/>
      <c r="W50" s="1875"/>
      <c r="X50" s="1875"/>
      <c r="Y50" s="1875"/>
      <c r="Z50" s="1875"/>
    </row>
    <row r="54" spans="2:26" x14ac:dyDescent="0.2">
      <c r="O54" s="2508">
        <f>O45/P45</f>
        <v>0.92791049521449798</v>
      </c>
    </row>
  </sheetData>
  <customSheetViews>
    <customSheetView guid="{9BEC6399-AE85-4D88-8FBA-3674E2F30307}" topLeftCell="O13">
      <selection activeCell="AC17" sqref="AC17"/>
      <pageMargins left="0.7" right="0.7" top="0.75" bottom="0.75" header="0.3" footer="0.3"/>
      <pageSetup orientation="portrait" r:id="rId1"/>
    </customSheetView>
    <customSheetView guid="{0347A67A-6027-4907-965C-6EA2A8295536}">
      <selection activeCell="O48" sqref="O48"/>
      <pageMargins left="0.7" right="0.7" top="0.75" bottom="0.75" header="0.3" footer="0.3"/>
      <pageSetup orientation="portrait" r:id="rId2"/>
    </customSheetView>
    <customSheetView guid="{15CC7F3D-99AB-49C1-AC00-E04D3FE3FBC1}">
      <selection activeCell="W11" sqref="W11"/>
      <pageMargins left="0.7" right="0.7" top="0.75" bottom="0.75" header="0.3" footer="0.3"/>
      <pageSetup orientation="portrait" r:id="rId3"/>
    </customSheetView>
  </customSheetViews>
  <conditionalFormatting sqref="G48:I48 G6:I45">
    <cfRule type="cellIs" dxfId="2" priority="3" operator="greaterThan">
      <formula>0</formula>
    </cfRule>
  </conditionalFormatting>
  <conditionalFormatting sqref="G46:I46 H47:I47">
    <cfRule type="cellIs" dxfId="1" priority="2" operator="greaterThan">
      <formula>0</formula>
    </cfRule>
  </conditionalFormatting>
  <conditionalFormatting sqref="G47">
    <cfRule type="cellIs" dxfId="0" priority="1" operator="greaterThan">
      <formula>0</formula>
    </cfRule>
  </conditionalFormatting>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J14" sqref="J14"/>
    </sheetView>
  </sheetViews>
  <sheetFormatPr defaultRowHeight="12" x14ac:dyDescent="0.2"/>
  <cols>
    <col min="1" max="1" width="25.7109375" bestFit="1" customWidth="1"/>
    <col min="2" max="2" width="8.28515625" bestFit="1" customWidth="1"/>
    <col min="3" max="3" width="10.5703125" customWidth="1"/>
    <col min="4" max="4" width="20.140625" bestFit="1" customWidth="1"/>
    <col min="5" max="5" width="38.85546875" bestFit="1" customWidth="1"/>
  </cols>
  <sheetData>
    <row r="1" spans="1:5" x14ac:dyDescent="0.2">
      <c r="A1" s="65" t="s">
        <v>2135</v>
      </c>
    </row>
    <row r="3" spans="1:5" s="65" customFormat="1" x14ac:dyDescent="0.2">
      <c r="A3" s="65" t="s">
        <v>2138</v>
      </c>
      <c r="B3" s="65" t="s">
        <v>2136</v>
      </c>
      <c r="C3" s="65" t="s">
        <v>2137</v>
      </c>
      <c r="D3" s="65" t="s">
        <v>2143</v>
      </c>
      <c r="E3" s="65" t="s">
        <v>600</v>
      </c>
    </row>
    <row r="4" spans="1:5" x14ac:dyDescent="0.2">
      <c r="A4" t="s">
        <v>797</v>
      </c>
      <c r="B4" t="s">
        <v>2141</v>
      </c>
      <c r="C4" s="2318">
        <v>42871</v>
      </c>
      <c r="D4" s="2318"/>
      <c r="E4" t="s">
        <v>2142</v>
      </c>
    </row>
    <row r="5" spans="1:5" x14ac:dyDescent="0.2">
      <c r="A5" t="s">
        <v>749</v>
      </c>
      <c r="B5" t="s">
        <v>2141</v>
      </c>
      <c r="C5" s="2318">
        <v>42872</v>
      </c>
      <c r="D5" t="s">
        <v>2258</v>
      </c>
      <c r="E5" t="s">
        <v>2142</v>
      </c>
    </row>
    <row r="6" spans="1:5" x14ac:dyDescent="0.2">
      <c r="A6" t="s">
        <v>750</v>
      </c>
      <c r="B6" t="s">
        <v>2141</v>
      </c>
      <c r="C6" s="2318">
        <v>42872</v>
      </c>
      <c r="D6" t="s">
        <v>2258</v>
      </c>
      <c r="E6" t="s">
        <v>2142</v>
      </c>
    </row>
    <row r="7" spans="1:5" x14ac:dyDescent="0.2">
      <c r="A7" t="s">
        <v>751</v>
      </c>
      <c r="B7" t="s">
        <v>2141</v>
      </c>
      <c r="C7" s="2318">
        <v>42872</v>
      </c>
      <c r="D7" t="s">
        <v>2258</v>
      </c>
      <c r="E7" t="s">
        <v>2142</v>
      </c>
    </row>
    <row r="8" spans="1:5" x14ac:dyDescent="0.2">
      <c r="A8" t="s">
        <v>1330</v>
      </c>
      <c r="B8" t="s">
        <v>2141</v>
      </c>
      <c r="C8" s="2318">
        <v>42872</v>
      </c>
      <c r="D8" t="s">
        <v>2258</v>
      </c>
      <c r="E8" t="s">
        <v>2142</v>
      </c>
    </row>
    <row r="9" spans="1:5" x14ac:dyDescent="0.2">
      <c r="A9" t="s">
        <v>854</v>
      </c>
      <c r="B9" t="s">
        <v>2141</v>
      </c>
      <c r="C9" s="2318">
        <v>42872</v>
      </c>
      <c r="D9" t="s">
        <v>2258</v>
      </c>
      <c r="E9" t="s">
        <v>2142</v>
      </c>
    </row>
    <row r="10" spans="1:5" x14ac:dyDescent="0.2">
      <c r="A10" t="s">
        <v>855</v>
      </c>
      <c r="B10" t="s">
        <v>2141</v>
      </c>
      <c r="C10" s="2318">
        <v>42873</v>
      </c>
      <c r="D10" t="s">
        <v>2258</v>
      </c>
      <c r="E10" t="s">
        <v>2142</v>
      </c>
    </row>
    <row r="11" spans="1:5" x14ac:dyDescent="0.2">
      <c r="A11" t="s">
        <v>1208</v>
      </c>
      <c r="B11" t="s">
        <v>2141</v>
      </c>
      <c r="C11" s="2318">
        <v>42873</v>
      </c>
      <c r="D11" t="s">
        <v>2258</v>
      </c>
      <c r="E11" t="s">
        <v>2142</v>
      </c>
    </row>
    <row r="12" spans="1:5" x14ac:dyDescent="0.2">
      <c r="A12" t="s">
        <v>856</v>
      </c>
      <c r="B12" t="s">
        <v>2141</v>
      </c>
      <c r="C12" s="2318">
        <v>42873</v>
      </c>
      <c r="D12" t="s">
        <v>2258</v>
      </c>
      <c r="E12" t="s">
        <v>2142</v>
      </c>
    </row>
    <row r="13" spans="1:5" x14ac:dyDescent="0.2">
      <c r="A13" t="s">
        <v>2193</v>
      </c>
      <c r="B13" t="s">
        <v>2141</v>
      </c>
      <c r="C13" s="2318">
        <v>42873</v>
      </c>
      <c r="D13" t="s">
        <v>2258</v>
      </c>
      <c r="E13" t="s">
        <v>2142</v>
      </c>
    </row>
    <row r="14" spans="1:5" x14ac:dyDescent="0.2">
      <c r="A14" t="s">
        <v>1912</v>
      </c>
      <c r="B14" t="s">
        <v>2141</v>
      </c>
      <c r="C14" s="2318">
        <v>42874</v>
      </c>
      <c r="D14" t="s">
        <v>2258</v>
      </c>
      <c r="E14" t="s">
        <v>2331</v>
      </c>
    </row>
    <row r="15" spans="1:5" x14ac:dyDescent="0.2">
      <c r="A15" t="s">
        <v>1913</v>
      </c>
      <c r="B15" t="s">
        <v>2141</v>
      </c>
      <c r="C15" s="2318">
        <v>42877</v>
      </c>
      <c r="D15" t="s">
        <v>2258</v>
      </c>
      <c r="E15" t="s">
        <v>2142</v>
      </c>
    </row>
    <row r="16" spans="1:5" x14ac:dyDescent="0.2">
      <c r="A16" t="s">
        <v>1079</v>
      </c>
      <c r="B16" t="s">
        <v>2141</v>
      </c>
      <c r="C16" s="2318">
        <v>42877</v>
      </c>
      <c r="D16" t="s">
        <v>2258</v>
      </c>
      <c r="E16" t="s">
        <v>2142</v>
      </c>
    </row>
    <row r="17" spans="1:5" x14ac:dyDescent="0.2">
      <c r="A17" t="s">
        <v>86</v>
      </c>
      <c r="B17" t="s">
        <v>2413</v>
      </c>
      <c r="C17" s="2318">
        <v>42878</v>
      </c>
      <c r="D17" t="s">
        <v>2258</v>
      </c>
      <c r="E17" t="s">
        <v>2142</v>
      </c>
    </row>
    <row r="18" spans="1:5" x14ac:dyDescent="0.2">
      <c r="A18" t="s">
        <v>752</v>
      </c>
      <c r="B18" t="s">
        <v>2414</v>
      </c>
      <c r="C18" s="2318">
        <v>42878</v>
      </c>
      <c r="D18" t="s">
        <v>2258</v>
      </c>
      <c r="E18" t="s">
        <v>2142</v>
      </c>
    </row>
  </sheetData>
  <customSheetViews>
    <customSheetView guid="{9BEC6399-AE85-4D88-8FBA-3674E2F30307}">
      <selection activeCell="J14" sqref="J14"/>
      <pageMargins left="0.7" right="0.7" top="0.75" bottom="0.75" header="0.3" footer="0.3"/>
    </customSheetView>
    <customSheetView guid="{0347A67A-6027-4907-965C-6EA2A8295536}">
      <selection activeCell="J14" sqref="J14"/>
      <pageMargins left="0.7" right="0.7" top="0.75" bottom="0.75" header="0.3" footer="0.3"/>
    </customSheetView>
    <customSheetView guid="{15CC7F3D-99AB-49C1-AC00-E04D3FE3FBC1}">
      <selection activeCell="E19" sqref="E19"/>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pageSetUpPr autoPageBreaks="0"/>
  </sheetPr>
  <dimension ref="A1:U955"/>
  <sheetViews>
    <sheetView workbookViewId="0">
      <selection activeCell="E13" sqref="E13"/>
    </sheetView>
  </sheetViews>
  <sheetFormatPr defaultColWidth="8.85546875" defaultRowHeight="12" x14ac:dyDescent="0.2"/>
  <cols>
    <col min="1" max="1" width="42.85546875" style="1" bestFit="1" customWidth="1"/>
    <col min="2" max="2" width="15.85546875" style="626" bestFit="1" customWidth="1"/>
    <col min="3" max="3" width="9.85546875" style="505" bestFit="1" customWidth="1"/>
    <col min="4" max="4" width="24.28515625" style="505" bestFit="1" customWidth="1"/>
    <col min="5" max="5" width="36.42578125" style="574" bestFit="1" customWidth="1"/>
    <col min="6" max="6" width="17.140625" style="659" bestFit="1" customWidth="1"/>
    <col min="7" max="7" width="11.7109375" style="576" bestFit="1" customWidth="1"/>
    <col min="8" max="8" width="24.28515625" style="576" bestFit="1" customWidth="1"/>
    <col min="9" max="9" width="30" style="574" customWidth="1"/>
    <col min="10" max="10" width="17.5703125" style="505" customWidth="1"/>
    <col min="11" max="11" width="9.28515625" style="505" customWidth="1"/>
    <col min="12" max="12" width="20" style="505" customWidth="1"/>
    <col min="13" max="13" width="23.28515625" style="574" customWidth="1"/>
    <col min="14" max="14" width="23.140625" style="1199" bestFit="1" customWidth="1"/>
    <col min="16" max="16" width="13.85546875" bestFit="1" customWidth="1"/>
    <col min="17" max="17" width="23.7109375" style="1" bestFit="1" customWidth="1"/>
  </cols>
  <sheetData>
    <row r="1" spans="1:21" x14ac:dyDescent="0.2">
      <c r="A1" s="114" t="s">
        <v>1555</v>
      </c>
      <c r="B1" s="2543">
        <v>2003</v>
      </c>
      <c r="C1" s="2544"/>
      <c r="D1" s="2544"/>
      <c r="E1" s="2545"/>
      <c r="F1" s="2543">
        <v>2008</v>
      </c>
      <c r="G1" s="2544"/>
      <c r="H1" s="2544"/>
      <c r="I1" s="2545"/>
      <c r="J1" s="2543">
        <v>2010</v>
      </c>
      <c r="K1" s="2544"/>
      <c r="L1" s="2544"/>
      <c r="M1" s="2545"/>
      <c r="N1" s="2543">
        <v>2015</v>
      </c>
      <c r="O1" s="2544"/>
      <c r="P1" s="2544"/>
      <c r="Q1" s="2545"/>
      <c r="R1" s="65" t="s">
        <v>1542</v>
      </c>
    </row>
    <row r="2" spans="1:21" x14ac:dyDescent="0.2">
      <c r="A2" s="114" t="s">
        <v>604</v>
      </c>
      <c r="B2" s="620" t="s">
        <v>602</v>
      </c>
      <c r="C2" s="1713" t="s">
        <v>601</v>
      </c>
      <c r="D2" s="633" t="s">
        <v>603</v>
      </c>
      <c r="E2" s="666" t="s">
        <v>420</v>
      </c>
      <c r="F2" s="209" t="s">
        <v>602</v>
      </c>
      <c r="G2" s="1713" t="s">
        <v>601</v>
      </c>
      <c r="H2" s="633" t="s">
        <v>603</v>
      </c>
      <c r="I2" s="666" t="s">
        <v>420</v>
      </c>
      <c r="J2" s="209" t="s">
        <v>602</v>
      </c>
      <c r="K2" s="1713" t="s">
        <v>601</v>
      </c>
      <c r="L2" s="633" t="s">
        <v>603</v>
      </c>
      <c r="M2" s="666" t="s">
        <v>420</v>
      </c>
      <c r="N2" s="1779" t="s">
        <v>602</v>
      </c>
      <c r="O2" s="1713" t="s">
        <v>601</v>
      </c>
      <c r="P2" s="633" t="s">
        <v>603</v>
      </c>
      <c r="Q2" s="666" t="s">
        <v>420</v>
      </c>
      <c r="R2" s="214" t="s">
        <v>1539</v>
      </c>
      <c r="S2" s="695"/>
      <c r="T2" s="1493" t="s">
        <v>1541</v>
      </c>
      <c r="U2" s="481"/>
    </row>
    <row r="3" spans="1:21" x14ac:dyDescent="0.2">
      <c r="A3" s="1559" t="s">
        <v>1555</v>
      </c>
      <c r="B3" s="1683"/>
      <c r="C3" s="1561"/>
      <c r="D3" s="1562"/>
      <c r="E3" s="1563"/>
      <c r="F3" s="1560"/>
      <c r="G3" s="1561"/>
      <c r="H3" s="1562"/>
      <c r="I3" s="1563"/>
      <c r="J3" s="1560"/>
      <c r="K3" s="1561"/>
      <c r="L3" s="1562"/>
      <c r="M3" s="1563"/>
      <c r="N3" s="1780"/>
      <c r="O3" s="1561"/>
      <c r="P3" s="1562"/>
      <c r="Q3" s="1563"/>
      <c r="R3" s="1494"/>
      <c r="S3" s="1484"/>
      <c r="T3" s="1484"/>
      <c r="U3" s="1484"/>
    </row>
    <row r="4" spans="1:21" s="91" customFormat="1" x14ac:dyDescent="0.2">
      <c r="A4" s="1622" t="s">
        <v>113</v>
      </c>
      <c r="B4" s="600"/>
      <c r="C4" s="261"/>
      <c r="D4" s="261"/>
      <c r="E4" s="260"/>
      <c r="F4" s="261"/>
      <c r="G4" s="840"/>
      <c r="H4" s="840"/>
      <c r="I4" s="1684"/>
      <c r="J4" s="840"/>
      <c r="K4" s="840"/>
      <c r="L4" s="840"/>
      <c r="M4" s="1684"/>
      <c r="N4" s="1781"/>
      <c r="O4" s="840"/>
      <c r="P4" s="840"/>
      <c r="Q4" s="1684"/>
    </row>
    <row r="5" spans="1:21" x14ac:dyDescent="0.2">
      <c r="A5" s="1483" t="s">
        <v>119</v>
      </c>
      <c r="B5" s="628"/>
      <c r="C5" s="392"/>
      <c r="D5" s="392"/>
      <c r="E5" s="760"/>
      <c r="F5" s="526"/>
      <c r="G5" s="135"/>
      <c r="H5" s="130"/>
      <c r="I5" s="761"/>
      <c r="J5" s="226"/>
      <c r="K5" s="226"/>
      <c r="L5" s="226"/>
      <c r="M5" s="761"/>
    </row>
    <row r="6" spans="1:21" x14ac:dyDescent="0.2">
      <c r="A6" s="1483"/>
      <c r="B6" s="628"/>
      <c r="C6" s="392"/>
      <c r="D6" s="392"/>
      <c r="E6" s="760"/>
      <c r="I6" s="226"/>
      <c r="J6" s="226"/>
      <c r="K6" s="226"/>
      <c r="L6" s="226"/>
      <c r="M6" s="761"/>
      <c r="N6" s="2365"/>
    </row>
    <row r="7" spans="1:21" ht="13.5" x14ac:dyDescent="0.2">
      <c r="A7" s="118" t="s">
        <v>1877</v>
      </c>
      <c r="B7" s="1346">
        <v>4.2515171148179466E-2</v>
      </c>
      <c r="C7" s="392" t="s">
        <v>2433</v>
      </c>
      <c r="D7" s="226" t="s">
        <v>1764</v>
      </c>
      <c r="E7" s="1011" t="s">
        <v>2139</v>
      </c>
      <c r="F7" s="2349">
        <v>28.99</v>
      </c>
      <c r="G7" s="135" t="s">
        <v>2184</v>
      </c>
      <c r="H7" s="130" t="s">
        <v>2185</v>
      </c>
      <c r="I7" s="226"/>
      <c r="J7" s="845" t="s">
        <v>2187</v>
      </c>
      <c r="K7" s="867" t="s">
        <v>2184</v>
      </c>
      <c r="L7" s="226" t="s">
        <v>2035</v>
      </c>
      <c r="M7" s="2346" t="s">
        <v>2036</v>
      </c>
      <c r="N7" s="2369">
        <v>52.44</v>
      </c>
      <c r="O7" t="s">
        <v>2184</v>
      </c>
      <c r="P7" s="226" t="s">
        <v>2035</v>
      </c>
      <c r="Q7" s="1" t="s">
        <v>2036</v>
      </c>
    </row>
    <row r="8" spans="1:21" ht="13.5" x14ac:dyDescent="0.2">
      <c r="A8" s="1" t="s">
        <v>2186</v>
      </c>
      <c r="B8" s="1008">
        <f>B7*MgTOton</f>
        <v>4.686519891110856E-2</v>
      </c>
      <c r="C8" s="2367" t="s">
        <v>2390</v>
      </c>
      <c r="D8" s="226"/>
      <c r="E8" s="1011"/>
      <c r="F8" s="2100">
        <f>F7/2000</f>
        <v>1.4494999999999999E-2</v>
      </c>
      <c r="G8" s="2367" t="s">
        <v>2390</v>
      </c>
      <c r="H8" s="1006"/>
      <c r="I8" s="1346"/>
      <c r="J8" s="2368">
        <f>J7/2000</f>
        <v>2.2785E-2</v>
      </c>
      <c r="K8" s="2367" t="s">
        <v>2390</v>
      </c>
      <c r="L8" s="226"/>
      <c r="M8" s="2346"/>
      <c r="N8" s="2332">
        <f>N7/2000</f>
        <v>2.622E-2</v>
      </c>
      <c r="O8" s="2367" t="s">
        <v>2390</v>
      </c>
    </row>
    <row r="9" spans="1:21" x14ac:dyDescent="0.2">
      <c r="A9" s="216"/>
      <c r="B9" s="271"/>
      <c r="C9" s="131"/>
      <c r="D9" s="131"/>
      <c r="E9" s="832"/>
      <c r="F9" s="1010"/>
      <c r="G9" s="820"/>
      <c r="H9" s="2094"/>
      <c r="I9" s="761"/>
      <c r="J9" s="226"/>
      <c r="K9" s="226"/>
      <c r="L9" s="226"/>
      <c r="M9" s="761"/>
      <c r="N9" s="217"/>
      <c r="O9" s="91"/>
    </row>
    <row r="10" spans="1:21" s="91" customFormat="1" x14ac:dyDescent="0.2">
      <c r="A10" s="1479" t="s">
        <v>45</v>
      </c>
      <c r="B10" s="271"/>
      <c r="C10" s="131"/>
      <c r="D10" s="131"/>
      <c r="E10" s="832"/>
      <c r="F10" s="2348"/>
      <c r="G10" s="312"/>
      <c r="H10" s="131"/>
      <c r="I10" s="832"/>
      <c r="J10" s="131"/>
      <c r="K10" s="131"/>
      <c r="L10" s="131"/>
      <c r="M10" s="832"/>
      <c r="N10" s="217"/>
      <c r="Q10" s="88"/>
    </row>
    <row r="11" spans="1:21" x14ac:dyDescent="0.2">
      <c r="A11" s="1483" t="s">
        <v>119</v>
      </c>
      <c r="B11" s="587"/>
      <c r="C11" s="392"/>
      <c r="D11" s="392"/>
      <c r="E11" s="760"/>
      <c r="F11" s="857"/>
      <c r="G11" s="135"/>
      <c r="H11" s="130"/>
      <c r="I11" s="761"/>
      <c r="J11" s="226"/>
      <c r="K11" s="226"/>
      <c r="L11" s="226"/>
      <c r="M11" s="761"/>
      <c r="N11" s="217"/>
      <c r="O11" s="91"/>
    </row>
    <row r="12" spans="1:21" ht="12.75" x14ac:dyDescent="0.2">
      <c r="A12" s="582"/>
      <c r="B12" s="587"/>
      <c r="C12" s="226"/>
      <c r="D12" s="226"/>
      <c r="E12" s="761"/>
      <c r="F12" s="1783"/>
      <c r="G12" s="72"/>
      <c r="H12" s="226"/>
      <c r="I12" s="761"/>
      <c r="J12" s="226"/>
      <c r="K12" s="226"/>
      <c r="L12" s="226"/>
      <c r="M12" s="761"/>
      <c r="N12" s="316"/>
      <c r="O12" s="67"/>
    </row>
    <row r="13" spans="1:21" ht="12.75" x14ac:dyDescent="0.2">
      <c r="A13" s="651" t="s">
        <v>27</v>
      </c>
      <c r="B13" s="587"/>
      <c r="C13" s="226"/>
      <c r="D13" s="226"/>
      <c r="E13" s="761"/>
      <c r="F13" s="2022">
        <v>5351987000</v>
      </c>
      <c r="G13" s="72" t="s">
        <v>719</v>
      </c>
      <c r="H13" s="226" t="s">
        <v>2226</v>
      </c>
      <c r="I13" s="761"/>
      <c r="J13" s="226"/>
      <c r="K13" s="226"/>
      <c r="L13" s="226"/>
      <c r="M13" s="761"/>
      <c r="N13" s="1827">
        <v>4209232551</v>
      </c>
      <c r="O13" s="1015" t="s">
        <v>719</v>
      </c>
      <c r="P13" t="s">
        <v>1765</v>
      </c>
      <c r="Q13" s="1" t="s">
        <v>2191</v>
      </c>
    </row>
    <row r="14" spans="1:21" ht="12.75" x14ac:dyDescent="0.2">
      <c r="A14" s="651" t="s">
        <v>48</v>
      </c>
      <c r="B14" s="587"/>
      <c r="C14" s="226"/>
      <c r="D14" s="226"/>
      <c r="E14" s="761"/>
      <c r="F14" s="2022">
        <v>1136522000</v>
      </c>
      <c r="G14" s="72" t="s">
        <v>719</v>
      </c>
      <c r="H14" s="226" t="s">
        <v>2226</v>
      </c>
      <c r="I14" s="761" t="s">
        <v>2167</v>
      </c>
      <c r="J14" s="226"/>
      <c r="K14" s="226"/>
      <c r="L14" s="226"/>
      <c r="M14" s="761"/>
      <c r="N14" s="1827">
        <v>1003603091.684</v>
      </c>
      <c r="O14" s="1015" t="s">
        <v>719</v>
      </c>
      <c r="P14" t="s">
        <v>1765</v>
      </c>
      <c r="Q14" s="1" t="s">
        <v>2192</v>
      </c>
    </row>
    <row r="15" spans="1:21" ht="12.75" x14ac:dyDescent="0.2">
      <c r="A15" s="651" t="s">
        <v>27</v>
      </c>
      <c r="B15" s="1009">
        <f>F15</f>
        <v>0.82484080703286378</v>
      </c>
      <c r="C15" s="226"/>
      <c r="D15" s="226"/>
      <c r="E15" s="761"/>
      <c r="F15" s="1784">
        <f>F13/SUM(F13:F14)</f>
        <v>0.82484080703286378</v>
      </c>
      <c r="G15" s="72"/>
      <c r="H15" s="226" t="s">
        <v>2226</v>
      </c>
      <c r="I15" s="761" t="s">
        <v>2167</v>
      </c>
      <c r="J15" s="1785">
        <f>F15</f>
        <v>0.82484080703286378</v>
      </c>
      <c r="K15" s="226"/>
      <c r="L15" s="226"/>
      <c r="M15" s="761" t="s">
        <v>1403</v>
      </c>
      <c r="N15" s="1830">
        <f>N13/SUM(N13+N14)</f>
        <v>0.80747463367802208</v>
      </c>
    </row>
    <row r="16" spans="1:21" ht="12.75" x14ac:dyDescent="0.2">
      <c r="A16" s="651" t="s">
        <v>48</v>
      </c>
      <c r="B16" s="1009">
        <f>F16</f>
        <v>0.1751591929671362</v>
      </c>
      <c r="C16" s="226"/>
      <c r="D16" s="226"/>
      <c r="E16" s="761"/>
      <c r="F16" s="1784">
        <f>F14/SUM(F13:F14)</f>
        <v>0.1751591929671362</v>
      </c>
      <c r="G16" s="72"/>
      <c r="H16" s="226" t="s">
        <v>2226</v>
      </c>
      <c r="I16" s="761"/>
      <c r="J16" s="1785">
        <f>F16</f>
        <v>0.1751591929671362</v>
      </c>
      <c r="K16" s="226"/>
      <c r="L16" s="226"/>
      <c r="M16" s="761" t="s">
        <v>1403</v>
      </c>
      <c r="N16" s="1830">
        <f>1-N15</f>
        <v>0.19252536632197792</v>
      </c>
    </row>
    <row r="17" spans="1:17" x14ac:dyDescent="0.2">
      <c r="A17" s="652" t="s">
        <v>1054</v>
      </c>
      <c r="B17" s="587"/>
      <c r="C17" s="226"/>
      <c r="D17" s="226"/>
      <c r="E17" s="761"/>
      <c r="F17" s="811"/>
      <c r="G17" s="72"/>
      <c r="H17" s="187"/>
      <c r="I17" s="761"/>
      <c r="J17" s="226"/>
      <c r="K17" s="226"/>
      <c r="L17" s="226"/>
      <c r="M17" s="761"/>
      <c r="N17" s="316"/>
      <c r="O17" s="67"/>
    </row>
    <row r="18" spans="1:17" x14ac:dyDescent="0.2">
      <c r="A18" s="653" t="s">
        <v>46</v>
      </c>
      <c r="B18" s="587">
        <v>2961083939</v>
      </c>
      <c r="C18" s="400" t="s">
        <v>719</v>
      </c>
      <c r="D18" s="226" t="s">
        <v>2225</v>
      </c>
      <c r="E18" s="1011" t="s">
        <v>1057</v>
      </c>
      <c r="F18" s="811">
        <v>3203515308</v>
      </c>
      <c r="G18" s="72" t="s">
        <v>719</v>
      </c>
      <c r="H18" s="226" t="s">
        <v>2225</v>
      </c>
      <c r="I18" s="1011" t="s">
        <v>1055</v>
      </c>
      <c r="J18" s="1266">
        <v>3108100817</v>
      </c>
      <c r="K18" s="1015" t="s">
        <v>719</v>
      </c>
      <c r="L18" s="1015" t="s">
        <v>1404</v>
      </c>
      <c r="M18" s="1011" t="s">
        <v>2146</v>
      </c>
      <c r="N18" s="1498">
        <f>SUM(167727438+808621+135217840+56142492+1624649+2177909+16725542+2269244404+212307033+102904+54178038)</f>
        <v>2916256870</v>
      </c>
      <c r="O18" s="1015" t="s">
        <v>719</v>
      </c>
      <c r="P18" t="s">
        <v>1765</v>
      </c>
    </row>
    <row r="19" spans="1:17" x14ac:dyDescent="0.2">
      <c r="A19" s="653" t="s">
        <v>49</v>
      </c>
      <c r="B19" s="587">
        <v>5908428033</v>
      </c>
      <c r="C19" s="400" t="s">
        <v>719</v>
      </c>
      <c r="D19" s="226" t="s">
        <v>2225</v>
      </c>
      <c r="E19" s="1011" t="s">
        <v>1058</v>
      </c>
      <c r="F19" s="811">
        <v>6410031363</v>
      </c>
      <c r="G19" s="72" t="s">
        <v>719</v>
      </c>
      <c r="H19" s="226" t="s">
        <v>2225</v>
      </c>
      <c r="I19" s="1011" t="s">
        <v>1056</v>
      </c>
      <c r="J19" s="1266">
        <v>6201594848</v>
      </c>
      <c r="K19" s="1015" t="s">
        <v>719</v>
      </c>
      <c r="L19" s="1015" t="s">
        <v>1404</v>
      </c>
      <c r="M19" s="1011" t="s">
        <v>2145</v>
      </c>
      <c r="N19" s="1498">
        <f>9065206512-N18</f>
        <v>6148949642</v>
      </c>
      <c r="O19" s="1015" t="s">
        <v>719</v>
      </c>
      <c r="P19" t="s">
        <v>1765</v>
      </c>
    </row>
    <row r="20" spans="1:17" x14ac:dyDescent="0.2">
      <c r="A20" s="653" t="s">
        <v>1766</v>
      </c>
      <c r="B20" s="2497">
        <v>8.2100000000000006E-2</v>
      </c>
      <c r="C20" s="400"/>
      <c r="D20" s="226"/>
      <c r="E20" s="1011" t="s">
        <v>2391</v>
      </c>
      <c r="F20" s="2497">
        <v>8.2100000000000006E-2</v>
      </c>
      <c r="G20" s="72"/>
      <c r="H20" s="226"/>
      <c r="I20" s="1011" t="s">
        <v>2392</v>
      </c>
      <c r="J20" s="2497">
        <v>6.8400000000000002E-2</v>
      </c>
      <c r="K20" s="1015"/>
      <c r="L20" s="1015"/>
      <c r="M20" s="1011" t="s">
        <v>2393</v>
      </c>
      <c r="N20" s="2497">
        <v>4.7899999999999998E-2</v>
      </c>
      <c r="O20" s="1015" t="s">
        <v>1767</v>
      </c>
      <c r="P20" s="91"/>
      <c r="Q20" s="1" t="s">
        <v>2394</v>
      </c>
    </row>
    <row r="21" spans="1:17" x14ac:dyDescent="0.2">
      <c r="A21" s="653" t="s">
        <v>1768</v>
      </c>
      <c r="B21" s="1653">
        <f>B22*B20</f>
        <v>728186932.90120006</v>
      </c>
      <c r="C21" s="400"/>
      <c r="D21" s="226"/>
      <c r="E21" s="1011"/>
      <c r="F21" s="1653">
        <f>F22*F20</f>
        <v>789272181.68910003</v>
      </c>
      <c r="G21" s="72"/>
      <c r="H21" s="226"/>
      <c r="I21" s="1011"/>
      <c r="J21" s="1653">
        <f>J22*J20</f>
        <v>636783183.48600006</v>
      </c>
      <c r="K21" s="1015"/>
      <c r="L21" s="1015"/>
      <c r="M21" s="1011"/>
      <c r="N21" s="1653">
        <f>N22*N20</f>
        <v>434223391.92479998</v>
      </c>
      <c r="O21" s="1015" t="s">
        <v>1769</v>
      </c>
      <c r="Q21" s="1" t="s">
        <v>1770</v>
      </c>
    </row>
    <row r="22" spans="1:17" x14ac:dyDescent="0.2">
      <c r="A22" s="652" t="s">
        <v>2403</v>
      </c>
      <c r="B22" s="826">
        <f>SUM(B18:B19)</f>
        <v>8869511972</v>
      </c>
      <c r="C22" s="400" t="s">
        <v>719</v>
      </c>
      <c r="D22" s="226"/>
      <c r="E22" s="761"/>
      <c r="F22" s="818">
        <f>SUM(F18:F19)</f>
        <v>9613546671</v>
      </c>
      <c r="G22" s="72" t="s">
        <v>719</v>
      </c>
      <c r="H22" s="187"/>
      <c r="I22" s="761"/>
      <c r="J22" s="826">
        <f>SUM(J18:J19)</f>
        <v>9309695665</v>
      </c>
      <c r="K22" s="400" t="s">
        <v>719</v>
      </c>
      <c r="L22" s="226"/>
      <c r="M22" s="761"/>
      <c r="N22" s="1828">
        <f>SUM(N18:N19)</f>
        <v>9065206512</v>
      </c>
      <c r="O22" s="72" t="s">
        <v>719</v>
      </c>
      <c r="Q22" s="1" t="s">
        <v>630</v>
      </c>
    </row>
    <row r="23" spans="1:17" x14ac:dyDescent="0.2">
      <c r="A23" s="1483" t="s">
        <v>120</v>
      </c>
      <c r="B23" s="587"/>
      <c r="C23" s="226"/>
      <c r="D23" s="226"/>
      <c r="E23" s="761"/>
      <c r="F23" s="857"/>
      <c r="G23" s="72"/>
      <c r="H23" s="130"/>
      <c r="I23" s="761"/>
      <c r="J23" s="226"/>
      <c r="K23" s="226"/>
      <c r="L23" s="226"/>
      <c r="M23" s="761"/>
      <c r="N23" s="217"/>
      <c r="O23" s="67"/>
    </row>
    <row r="24" spans="1:17" x14ac:dyDescent="0.2">
      <c r="A24" s="177" t="s">
        <v>32</v>
      </c>
      <c r="B24" s="828">
        <f>B22/1000</f>
        <v>8869511.9719999991</v>
      </c>
      <c r="C24" s="392" t="s">
        <v>731</v>
      </c>
      <c r="D24" s="226"/>
      <c r="E24" s="761"/>
      <c r="F24" s="857">
        <f>F22/1000</f>
        <v>9613546.6710000001</v>
      </c>
      <c r="G24" s="205" t="s">
        <v>731</v>
      </c>
      <c r="H24" s="130"/>
      <c r="I24" s="761"/>
      <c r="J24" s="857">
        <f>J22/1000</f>
        <v>9309695.6649999991</v>
      </c>
      <c r="K24" s="205" t="s">
        <v>731</v>
      </c>
      <c r="L24" s="130"/>
      <c r="M24" s="761"/>
      <c r="N24" s="857">
        <f>N22/1000</f>
        <v>9065206.5120000001</v>
      </c>
      <c r="O24" s="67" t="s">
        <v>731</v>
      </c>
    </row>
    <row r="25" spans="1:17" x14ac:dyDescent="0.2">
      <c r="A25" s="177"/>
      <c r="B25" s="587"/>
      <c r="C25" s="226"/>
      <c r="D25" s="226"/>
      <c r="E25" s="761"/>
      <c r="F25" s="857"/>
      <c r="G25" s="72"/>
      <c r="H25" s="130"/>
      <c r="I25" s="761"/>
      <c r="J25" s="857"/>
      <c r="K25" s="72"/>
      <c r="L25" s="130"/>
      <c r="M25" s="761"/>
      <c r="N25" s="217"/>
      <c r="O25" s="67"/>
    </row>
    <row r="26" spans="1:17" s="91" customFormat="1" x14ac:dyDescent="0.2">
      <c r="A26" s="251" t="s">
        <v>46</v>
      </c>
      <c r="B26" s="587"/>
      <c r="C26" s="226"/>
      <c r="D26" s="226"/>
      <c r="E26" s="761"/>
      <c r="F26" s="857"/>
      <c r="G26" s="312"/>
      <c r="H26" s="130"/>
      <c r="I26" s="761"/>
      <c r="J26" s="857"/>
      <c r="K26" s="312"/>
      <c r="L26" s="130"/>
      <c r="M26" s="761"/>
      <c r="N26" s="217"/>
      <c r="O26" s="67"/>
      <c r="Q26" s="88"/>
    </row>
    <row r="27" spans="1:17" s="91" customFormat="1" x14ac:dyDescent="0.2">
      <c r="A27" s="212" t="s">
        <v>33</v>
      </c>
      <c r="B27" s="828">
        <f>B18/1000</f>
        <v>2961083.9389999998</v>
      </c>
      <c r="C27" s="864" t="s">
        <v>731</v>
      </c>
      <c r="D27" s="226"/>
      <c r="E27" s="761"/>
      <c r="F27" s="857">
        <f>F18/1000</f>
        <v>3203515.3080000002</v>
      </c>
      <c r="G27" s="313" t="s">
        <v>731</v>
      </c>
      <c r="H27" s="130"/>
      <c r="I27" s="761"/>
      <c r="J27" s="857">
        <f>J18/1000</f>
        <v>3108100.8169999998</v>
      </c>
      <c r="K27" s="313" t="s">
        <v>731</v>
      </c>
      <c r="L27" s="130"/>
      <c r="M27" s="761"/>
      <c r="N27" s="857">
        <f>N18/1000</f>
        <v>2916256.87</v>
      </c>
      <c r="O27" s="313" t="s">
        <v>731</v>
      </c>
      <c r="P27"/>
      <c r="Q27" s="88"/>
    </row>
    <row r="28" spans="1:17" s="91" customFormat="1" ht="13.5" x14ac:dyDescent="0.2">
      <c r="A28" s="8" t="s">
        <v>0</v>
      </c>
      <c r="B28" s="797">
        <f>B27*tonTOMg*B8+(B44*B27/B24)</f>
        <v>136226.64076671371</v>
      </c>
      <c r="C28" s="836" t="s">
        <v>940</v>
      </c>
      <c r="D28" s="88" t="s">
        <v>2408</v>
      </c>
      <c r="E28" s="1013"/>
      <c r="F28" s="797">
        <f>F27*tonTOMg*F8+(F44*F27/F24)</f>
        <v>45583.313086911112</v>
      </c>
      <c r="G28" s="836" t="s">
        <v>940</v>
      </c>
      <c r="H28" s="88" t="s">
        <v>2408</v>
      </c>
      <c r="I28" s="761"/>
      <c r="J28" s="797">
        <f>J27*tonTOMg*J8+(J44*J27/J24)</f>
        <v>68639.083632207577</v>
      </c>
      <c r="K28" s="836" t="s">
        <v>940</v>
      </c>
      <c r="L28" s="88" t="s">
        <v>2408</v>
      </c>
      <c r="M28" s="761"/>
      <c r="N28" s="797">
        <f>N27*tonTOMg*N8+(N44*N27/N24)</f>
        <v>72689.51474837141</v>
      </c>
      <c r="O28" s="836" t="s">
        <v>940</v>
      </c>
      <c r="Q28" s="88" t="s">
        <v>2408</v>
      </c>
    </row>
    <row r="29" spans="1:17" ht="12.75" x14ac:dyDescent="0.2">
      <c r="A29" s="1786"/>
      <c r="B29" s="271"/>
      <c r="C29" s="131"/>
      <c r="D29" s="1"/>
      <c r="E29" s="832"/>
      <c r="F29" s="269"/>
      <c r="G29" s="72"/>
      <c r="H29" s="1"/>
      <c r="I29" s="832"/>
      <c r="J29" s="269"/>
      <c r="K29" s="72"/>
      <c r="L29" s="1"/>
      <c r="M29" s="832"/>
      <c r="N29" s="269"/>
      <c r="O29" s="72"/>
    </row>
    <row r="30" spans="1:17" x14ac:dyDescent="0.2">
      <c r="A30" s="251" t="s">
        <v>47</v>
      </c>
      <c r="B30" s="271"/>
      <c r="C30" s="131"/>
      <c r="D30" s="1"/>
      <c r="E30" s="832"/>
      <c r="F30" s="269"/>
      <c r="G30" s="72"/>
      <c r="H30" s="1"/>
      <c r="I30" s="832"/>
      <c r="J30" s="269"/>
      <c r="K30" s="72"/>
      <c r="L30" s="1"/>
      <c r="M30" s="832"/>
      <c r="N30" s="269"/>
      <c r="O30" s="72"/>
    </row>
    <row r="31" spans="1:17" ht="12.75" x14ac:dyDescent="0.2">
      <c r="A31" s="1787" t="s">
        <v>1</v>
      </c>
      <c r="B31" s="829">
        <f>B19*B15</f>
        <v>4873512547.0353155</v>
      </c>
      <c r="C31" s="400" t="s">
        <v>719</v>
      </c>
      <c r="D31" s="1"/>
      <c r="E31" s="761"/>
      <c r="F31" s="788">
        <f>F19*F15</f>
        <v>5287255442.5628881</v>
      </c>
      <c r="G31" s="72" t="s">
        <v>719</v>
      </c>
      <c r="H31" s="1"/>
      <c r="I31" s="832"/>
      <c r="J31" s="788">
        <f>J19*J15</f>
        <v>5115328499.3151703</v>
      </c>
      <c r="K31" s="72" t="s">
        <v>719</v>
      </c>
      <c r="L31" s="1"/>
      <c r="M31" s="832"/>
      <c r="N31" s="857">
        <f>N19*N15</f>
        <v>4965120859.6785555</v>
      </c>
      <c r="O31" s="72" t="s">
        <v>719</v>
      </c>
    </row>
    <row r="32" spans="1:17" x14ac:dyDescent="0.2">
      <c r="A32" s="212" t="s">
        <v>2</v>
      </c>
      <c r="B32" s="828">
        <f>B31/1000</f>
        <v>4873512.5470353151</v>
      </c>
      <c r="C32" s="392" t="s">
        <v>731</v>
      </c>
      <c r="D32" s="1"/>
      <c r="E32" s="832"/>
      <c r="F32" s="269">
        <f>F31/1000</f>
        <v>5287255.4425628884</v>
      </c>
      <c r="G32" s="205" t="s">
        <v>731</v>
      </c>
      <c r="H32" s="1"/>
      <c r="I32" s="832"/>
      <c r="J32" s="269">
        <f>J31/1000</f>
        <v>5115328.4993151706</v>
      </c>
      <c r="K32" s="205" t="s">
        <v>731</v>
      </c>
      <c r="L32" s="1"/>
      <c r="M32" s="832"/>
      <c r="N32" s="269">
        <f>N31/1000</f>
        <v>4965120.8596785553</v>
      </c>
      <c r="O32" s="205" t="s">
        <v>731</v>
      </c>
    </row>
    <row r="33" spans="1:17" x14ac:dyDescent="0.2">
      <c r="A33" s="2466" t="s">
        <v>2349</v>
      </c>
      <c r="B33" s="828">
        <f>B32-'Trans-Rail'!H46</f>
        <v>4873512.5470353151</v>
      </c>
      <c r="C33" s="392" t="s">
        <v>731</v>
      </c>
      <c r="D33" s="1"/>
      <c r="E33" s="832"/>
      <c r="F33" s="269">
        <f>F32-'Trans-Rail'!O46</f>
        <v>5286972.3189045358</v>
      </c>
      <c r="G33" s="205" t="s">
        <v>731</v>
      </c>
      <c r="H33" s="1"/>
      <c r="I33" s="832"/>
      <c r="J33" s="269">
        <f>J32-'Trans-Rail'!V46</f>
        <v>5106309.7521685343</v>
      </c>
      <c r="K33" s="205" t="s">
        <v>731</v>
      </c>
      <c r="L33" s="1"/>
      <c r="M33" s="832"/>
      <c r="N33" s="269">
        <f>N32-'Trans-Rail'!AC46</f>
        <v>4956526.4596785549</v>
      </c>
      <c r="O33" s="205" t="s">
        <v>731</v>
      </c>
    </row>
    <row r="34" spans="1:17" ht="13.5" x14ac:dyDescent="0.2">
      <c r="A34" s="654" t="s">
        <v>104</v>
      </c>
      <c r="B34" s="797">
        <f>B33*tonTOMg*B8+(B44*B33/B24)</f>
        <v>224209.19389446999</v>
      </c>
      <c r="C34" s="836" t="s">
        <v>940</v>
      </c>
      <c r="D34" s="88" t="s">
        <v>2409</v>
      </c>
      <c r="E34" s="1013"/>
      <c r="F34" s="797">
        <f>F33*tonTOMg*F8+(F44*F33/F24)</f>
        <v>75229.144025822112</v>
      </c>
      <c r="G34" s="836" t="s">
        <v>940</v>
      </c>
      <c r="H34" s="88" t="s">
        <v>2409</v>
      </c>
      <c r="I34" s="761"/>
      <c r="J34" s="797">
        <f>J33*tonTOMg*J8+(J44*J33/J24)</f>
        <v>112767.3916540955</v>
      </c>
      <c r="K34" s="836" t="s">
        <v>940</v>
      </c>
      <c r="L34" s="88" t="s">
        <v>2409</v>
      </c>
      <c r="M34" s="761"/>
      <c r="N34" s="797">
        <f>N33*tonTOMg*N8+(N44*N33/N24)</f>
        <v>123544.50216571541</v>
      </c>
      <c r="O34" s="836" t="s">
        <v>940</v>
      </c>
      <c r="Q34" s="88" t="s">
        <v>2409</v>
      </c>
    </row>
    <row r="35" spans="1:17" ht="12" customHeight="1" x14ac:dyDescent="0.2">
      <c r="B35" s="829"/>
      <c r="C35" s="392"/>
      <c r="D35" s="1"/>
      <c r="E35" s="761"/>
      <c r="F35" s="788"/>
      <c r="G35" s="205"/>
      <c r="H35" s="1"/>
      <c r="I35" s="761"/>
      <c r="J35" s="788"/>
      <c r="K35" s="205"/>
      <c r="L35" s="1"/>
      <c r="M35" s="761"/>
      <c r="N35" s="857"/>
      <c r="O35" s="205"/>
    </row>
    <row r="36" spans="1:17" s="91" customFormat="1" x14ac:dyDescent="0.2">
      <c r="A36" s="251" t="s">
        <v>48</v>
      </c>
      <c r="B36" s="828"/>
      <c r="C36" s="864"/>
      <c r="D36" s="88"/>
      <c r="E36" s="761"/>
      <c r="F36" s="857"/>
      <c r="G36" s="312"/>
      <c r="H36" s="88"/>
      <c r="I36" s="832"/>
      <c r="J36" s="857"/>
      <c r="K36" s="312"/>
      <c r="L36" s="88"/>
      <c r="M36" s="832"/>
      <c r="N36" s="857"/>
      <c r="O36" s="312"/>
      <c r="Q36" s="88"/>
    </row>
    <row r="37" spans="1:17" ht="12.75" x14ac:dyDescent="0.2">
      <c r="A37" s="1787" t="s">
        <v>3</v>
      </c>
      <c r="B37" s="828">
        <f>B19*B16</f>
        <v>1034915485.9646839</v>
      </c>
      <c r="C37" s="400" t="s">
        <v>719</v>
      </c>
      <c r="D37" s="1"/>
      <c r="E37" s="832"/>
      <c r="F37" s="269">
        <f>F19*F16</f>
        <v>1122775920.4371121</v>
      </c>
      <c r="G37" s="835" t="s">
        <v>719</v>
      </c>
      <c r="H37" s="1"/>
      <c r="I37" s="832"/>
      <c r="J37" s="269">
        <f>J19*J16</f>
        <v>1086266348.6848297</v>
      </c>
      <c r="K37" s="835" t="s">
        <v>719</v>
      </c>
      <c r="L37" s="1"/>
      <c r="M37" s="832"/>
      <c r="N37" s="269">
        <f>N19*N16</f>
        <v>1183828782.321445</v>
      </c>
      <c r="O37" s="835" t="s">
        <v>719</v>
      </c>
    </row>
    <row r="38" spans="1:17" s="91" customFormat="1" x14ac:dyDescent="0.2">
      <c r="A38" s="212" t="s">
        <v>2</v>
      </c>
      <c r="B38" s="828">
        <f>B37/1000</f>
        <v>1034915.4859646839</v>
      </c>
      <c r="C38" s="392" t="s">
        <v>731</v>
      </c>
      <c r="D38" s="88"/>
      <c r="E38" s="761"/>
      <c r="F38" s="857">
        <f>F37/1000</f>
        <v>1122775.920437112</v>
      </c>
      <c r="G38" s="205" t="s">
        <v>731</v>
      </c>
      <c r="H38" s="88"/>
      <c r="I38" s="832"/>
      <c r="J38" s="857">
        <f>J37/1000</f>
        <v>1086266.3486848297</v>
      </c>
      <c r="K38" s="205" t="s">
        <v>731</v>
      </c>
      <c r="L38" s="88"/>
      <c r="M38" s="832"/>
      <c r="N38" s="857">
        <f>N37/1000</f>
        <v>1183828.7823214449</v>
      </c>
      <c r="O38" s="205" t="s">
        <v>731</v>
      </c>
      <c r="Q38" s="88"/>
    </row>
    <row r="39" spans="1:17" ht="13.5" x14ac:dyDescent="0.2">
      <c r="A39" s="654" t="s">
        <v>104</v>
      </c>
      <c r="B39" s="797">
        <f>B38*B8*tonTOMg+(B44*B43/B24)</f>
        <v>46541.342259471188</v>
      </c>
      <c r="C39" s="836" t="s">
        <v>940</v>
      </c>
      <c r="D39" s="88" t="s">
        <v>2410</v>
      </c>
      <c r="E39" s="663"/>
      <c r="F39" s="797">
        <f>F38*F8*tonTOMg+(F44*F43/F24)</f>
        <v>15616.107651918865</v>
      </c>
      <c r="G39" s="836" t="s">
        <v>940</v>
      </c>
      <c r="H39" s="88" t="s">
        <v>2410</v>
      </c>
      <c r="I39" s="663"/>
      <c r="J39" s="797">
        <f>J38*J8*tonTOMg+(J44*J43/J24)</f>
        <v>23353.536123946342</v>
      </c>
      <c r="K39" s="836" t="s">
        <v>940</v>
      </c>
      <c r="L39" s="88" t="s">
        <v>2410</v>
      </c>
      <c r="M39" s="663"/>
      <c r="N39" s="797">
        <f>N38*N8*tonTOMg+(N44*N43/N24)</f>
        <v>28653.59629880367</v>
      </c>
      <c r="O39" s="836" t="s">
        <v>940</v>
      </c>
      <c r="Q39" s="88" t="s">
        <v>2410</v>
      </c>
    </row>
    <row r="40" spans="1:17" ht="12.75" x14ac:dyDescent="0.2">
      <c r="A40" s="654"/>
      <c r="B40" s="797"/>
      <c r="C40" s="836"/>
      <c r="D40" s="131"/>
      <c r="E40" s="663"/>
      <c r="F40" s="797"/>
      <c r="G40" s="836"/>
      <c r="H40" s="130"/>
      <c r="I40" s="663"/>
      <c r="J40" s="797"/>
      <c r="K40" s="836"/>
      <c r="L40" s="130"/>
      <c r="M40" s="663"/>
      <c r="N40" s="797"/>
      <c r="O40" s="836"/>
    </row>
    <row r="41" spans="1:17" x14ac:dyDescent="0.2">
      <c r="A41" s="251" t="s">
        <v>1771</v>
      </c>
      <c r="B41" s="797"/>
      <c r="C41" s="865"/>
      <c r="D41" s="131"/>
      <c r="E41" s="663"/>
      <c r="F41" s="797"/>
      <c r="G41" s="865"/>
      <c r="H41" s="130"/>
      <c r="I41" s="663"/>
      <c r="J41" s="797"/>
      <c r="K41" s="865"/>
      <c r="L41" s="130"/>
      <c r="M41" s="663"/>
      <c r="N41" s="797"/>
      <c r="O41" s="312"/>
    </row>
    <row r="42" spans="1:17" ht="12.75" x14ac:dyDescent="0.2">
      <c r="A42" s="1787" t="s">
        <v>2411</v>
      </c>
      <c r="B42" s="269">
        <f>B21</f>
        <v>728186932.90120006</v>
      </c>
      <c r="C42" s="313" t="s">
        <v>719</v>
      </c>
      <c r="D42" s="131"/>
      <c r="E42" s="663"/>
      <c r="F42" s="269">
        <f>F21</f>
        <v>789272181.68910003</v>
      </c>
      <c r="G42" s="313" t="s">
        <v>719</v>
      </c>
      <c r="H42" s="130"/>
      <c r="I42" s="663"/>
      <c r="J42" s="269">
        <f>J21</f>
        <v>636783183.48600006</v>
      </c>
      <c r="K42" s="313" t="s">
        <v>719</v>
      </c>
      <c r="L42" s="130"/>
      <c r="M42" s="663"/>
      <c r="N42" s="269">
        <f>N21</f>
        <v>434223391.92479998</v>
      </c>
      <c r="O42" s="835" t="s">
        <v>719</v>
      </c>
    </row>
    <row r="43" spans="1:17" x14ac:dyDescent="0.2">
      <c r="A43" s="212" t="s">
        <v>2</v>
      </c>
      <c r="B43" s="269">
        <f>B42/1000</f>
        <v>728186.93290120002</v>
      </c>
      <c r="C43" s="205" t="s">
        <v>731</v>
      </c>
      <c r="D43" s="131"/>
      <c r="E43" s="663"/>
      <c r="F43" s="269">
        <f>F42/1000</f>
        <v>789272.18168909999</v>
      </c>
      <c r="G43" s="205" t="s">
        <v>731</v>
      </c>
      <c r="H43" s="130"/>
      <c r="I43" s="663"/>
      <c r="J43" s="269">
        <f>J42/1000</f>
        <v>636783.18348600005</v>
      </c>
      <c r="K43" s="205" t="s">
        <v>731</v>
      </c>
      <c r="L43" s="130"/>
      <c r="M43" s="663"/>
      <c r="N43" s="269">
        <f>N42/1000</f>
        <v>434223.3919248</v>
      </c>
      <c r="O43" s="205" t="s">
        <v>731</v>
      </c>
    </row>
    <row r="44" spans="1:17" ht="13.5" x14ac:dyDescent="0.2">
      <c r="A44" s="654" t="s">
        <v>104</v>
      </c>
      <c r="B44" s="1829">
        <f>B43*B8*tonTOMg</f>
        <v>30958.992080162392</v>
      </c>
      <c r="C44" s="865" t="s">
        <v>940</v>
      </c>
      <c r="D44" s="131"/>
      <c r="E44" s="832"/>
      <c r="F44" s="1829">
        <f>F43*F8*tonTOMg</f>
        <v>10378.593038189483</v>
      </c>
      <c r="G44" s="865" t="s">
        <v>940</v>
      </c>
      <c r="H44" s="130"/>
      <c r="I44" s="760"/>
      <c r="J44" s="1829">
        <f>J43*J8*tonTOMg</f>
        <v>13162.369724876191</v>
      </c>
      <c r="K44" s="865" t="s">
        <v>940</v>
      </c>
      <c r="L44" s="392"/>
      <c r="M44" s="760"/>
      <c r="N44" s="1829">
        <f>N43*N8*tonTOMg</f>
        <v>10328.550324715836</v>
      </c>
      <c r="O44" s="836" t="s">
        <v>940</v>
      </c>
    </row>
    <row r="45" spans="1:17" ht="12.75" x14ac:dyDescent="0.2">
      <c r="A45" s="654"/>
      <c r="B45" s="271"/>
      <c r="C45" s="131"/>
      <c r="D45" s="131"/>
      <c r="E45" s="832"/>
      <c r="F45" s="320"/>
      <c r="G45" s="72"/>
      <c r="H45" s="130"/>
      <c r="I45" s="652"/>
      <c r="J45" s="536"/>
      <c r="K45" s="536"/>
      <c r="L45" s="536"/>
      <c r="M45" s="652"/>
      <c r="N45" s="1829"/>
      <c r="O45" s="836"/>
    </row>
    <row r="46" spans="1:17" s="1792" customFormat="1" ht="13.5" x14ac:dyDescent="0.2">
      <c r="A46" s="1788" t="s">
        <v>1772</v>
      </c>
      <c r="B46" s="1555">
        <f>SUM(B39,B34,B28)</f>
        <v>406977.17692065489</v>
      </c>
      <c r="C46" s="2024" t="s">
        <v>1991</v>
      </c>
      <c r="D46" s="1542"/>
      <c r="E46" s="1543"/>
      <c r="F46" s="1789">
        <f>SUM(F39,F34,F28)</f>
        <v>136428.56476465208</v>
      </c>
      <c r="G46" s="2024" t="s">
        <v>1991</v>
      </c>
      <c r="H46" s="1549"/>
      <c r="I46" s="1790"/>
      <c r="J46" s="2095">
        <f>SUM(J28,J34,J39)</f>
        <v>204760.01141024943</v>
      </c>
      <c r="K46" s="2024" t="s">
        <v>1991</v>
      </c>
      <c r="L46" s="1791"/>
      <c r="M46" s="1790"/>
      <c r="N46" s="2103">
        <f>SUM(N39+N34+N28)</f>
        <v>224887.61321289049</v>
      </c>
      <c r="O46" s="2024" t="s">
        <v>1991</v>
      </c>
      <c r="Q46" s="1793"/>
    </row>
    <row r="47" spans="1:17" s="91" customFormat="1" x14ac:dyDescent="0.2">
      <c r="A47" s="1622" t="s">
        <v>314</v>
      </c>
      <c r="B47" s="806"/>
      <c r="C47" s="840"/>
      <c r="D47" s="840"/>
      <c r="E47" s="1684"/>
      <c r="F47" s="825"/>
      <c r="G47" s="840"/>
      <c r="H47" s="840"/>
      <c r="I47" s="1684"/>
      <c r="J47" s="840"/>
      <c r="K47" s="840"/>
      <c r="L47" s="840"/>
      <c r="M47" s="1684"/>
      <c r="N47" s="1781"/>
      <c r="O47" s="840"/>
      <c r="P47" s="840"/>
      <c r="Q47" s="1684"/>
    </row>
    <row r="48" spans="1:17" x14ac:dyDescent="0.2">
      <c r="A48" s="1483" t="s">
        <v>119</v>
      </c>
      <c r="B48" s="587"/>
      <c r="C48" s="226"/>
      <c r="D48" s="226"/>
      <c r="E48" s="761"/>
      <c r="F48" s="857"/>
      <c r="G48" s="205"/>
      <c r="H48" s="130"/>
      <c r="I48" s="761"/>
      <c r="J48" s="226"/>
      <c r="K48" s="226"/>
      <c r="L48" s="226"/>
      <c r="M48" s="761"/>
      <c r="N48" s="1782"/>
      <c r="O48" s="67"/>
    </row>
    <row r="49" spans="1:17" ht="13.5" x14ac:dyDescent="0.2">
      <c r="A49" s="116" t="s">
        <v>1146</v>
      </c>
      <c r="B49" s="2317">
        <v>0.42240487735807475</v>
      </c>
      <c r="C49" s="2367" t="s">
        <v>2433</v>
      </c>
      <c r="D49" s="226" t="s">
        <v>1764</v>
      </c>
      <c r="E49" s="1007" t="s">
        <v>2140</v>
      </c>
      <c r="F49" s="2102">
        <v>0.43058804921326344</v>
      </c>
      <c r="G49" s="2367" t="s">
        <v>2433</v>
      </c>
      <c r="H49" s="226" t="s">
        <v>1764</v>
      </c>
      <c r="I49" s="1007" t="s">
        <v>1405</v>
      </c>
      <c r="J49" s="2338">
        <v>0.50200754621122423</v>
      </c>
      <c r="K49" s="2367" t="s">
        <v>2433</v>
      </c>
      <c r="L49" s="226" t="s">
        <v>1764</v>
      </c>
      <c r="M49" s="761"/>
      <c r="N49" s="2101">
        <v>0.48684029572190662</v>
      </c>
      <c r="O49" s="2367" t="s">
        <v>2433</v>
      </c>
      <c r="P49" s="226" t="s">
        <v>1764</v>
      </c>
    </row>
    <row r="50" spans="1:17" x14ac:dyDescent="0.2">
      <c r="A50" s="116" t="s">
        <v>1147</v>
      </c>
      <c r="B50" s="1008"/>
      <c r="C50" s="1006"/>
      <c r="D50" s="1006"/>
      <c r="E50" s="1007"/>
      <c r="F50" s="1008"/>
      <c r="G50" s="1006"/>
      <c r="H50" s="1006"/>
      <c r="I50" s="1007"/>
      <c r="J50" s="1006"/>
      <c r="K50" s="1006"/>
      <c r="L50" s="1006"/>
      <c r="M50" s="1007"/>
      <c r="N50" s="1782"/>
      <c r="O50" s="67"/>
    </row>
    <row r="51" spans="1:17" x14ac:dyDescent="0.2">
      <c r="A51" s="651" t="s">
        <v>1148</v>
      </c>
      <c r="B51" s="777">
        <v>5273985</v>
      </c>
      <c r="C51" s="392" t="s">
        <v>719</v>
      </c>
      <c r="D51" s="392" t="s">
        <v>2183</v>
      </c>
      <c r="E51" s="1007" t="s">
        <v>1149</v>
      </c>
      <c r="F51" s="777">
        <v>8687031</v>
      </c>
      <c r="G51" s="392" t="s">
        <v>719</v>
      </c>
      <c r="H51" s="130" t="s">
        <v>2221</v>
      </c>
      <c r="I51" s="1007" t="s">
        <v>1425</v>
      </c>
      <c r="J51" s="219">
        <v>9409490</v>
      </c>
      <c r="K51" s="1006" t="s">
        <v>719</v>
      </c>
      <c r="L51" s="1006" t="s">
        <v>1398</v>
      </c>
      <c r="M51" s="1007" t="s">
        <v>1399</v>
      </c>
      <c r="N51" s="2523">
        <v>57170388</v>
      </c>
      <c r="O51" s="835" t="s">
        <v>719</v>
      </c>
      <c r="P51" t="s">
        <v>2165</v>
      </c>
    </row>
    <row r="52" spans="1:17" x14ac:dyDescent="0.2">
      <c r="A52" s="651" t="s">
        <v>47</v>
      </c>
      <c r="B52" s="777">
        <v>4861062187</v>
      </c>
      <c r="C52" s="392" t="s">
        <v>719</v>
      </c>
      <c r="D52" s="392" t="s">
        <v>2183</v>
      </c>
      <c r="E52" s="1007" t="s">
        <v>1150</v>
      </c>
      <c r="F52" s="777">
        <v>5591194198</v>
      </c>
      <c r="G52" s="392" t="s">
        <v>719</v>
      </c>
      <c r="H52" s="130" t="s">
        <v>2221</v>
      </c>
      <c r="I52" s="1007" t="s">
        <v>1154</v>
      </c>
      <c r="J52" s="219">
        <v>5390573419</v>
      </c>
      <c r="K52" s="1006" t="s">
        <v>719</v>
      </c>
      <c r="L52" s="1006"/>
      <c r="M52" s="1007" t="s">
        <v>1406</v>
      </c>
      <c r="N52" s="796">
        <v>5523887879</v>
      </c>
      <c r="O52" s="835" t="s">
        <v>719</v>
      </c>
      <c r="P52" t="s">
        <v>1758</v>
      </c>
    </row>
    <row r="53" spans="1:17" x14ac:dyDescent="0.2">
      <c r="A53" s="651" t="s">
        <v>48</v>
      </c>
      <c r="B53" s="777">
        <v>1306454981</v>
      </c>
      <c r="C53" s="392" t="s">
        <v>719</v>
      </c>
      <c r="D53" s="392" t="s">
        <v>2183</v>
      </c>
      <c r="E53" s="1007" t="s">
        <v>1151</v>
      </c>
      <c r="F53" s="777">
        <v>1240043443</v>
      </c>
      <c r="G53" s="392" t="s">
        <v>719</v>
      </c>
      <c r="H53" s="130" t="s">
        <v>2221</v>
      </c>
      <c r="I53" s="1007" t="s">
        <v>1155</v>
      </c>
      <c r="J53" s="219">
        <v>1092120789</v>
      </c>
      <c r="K53" s="1006" t="s">
        <v>719</v>
      </c>
      <c r="L53" s="1006"/>
      <c r="M53" s="1007" t="s">
        <v>1407</v>
      </c>
      <c r="N53" s="1829">
        <v>1146191569</v>
      </c>
      <c r="O53" s="835" t="s">
        <v>719</v>
      </c>
      <c r="P53" t="s">
        <v>1758</v>
      </c>
    </row>
    <row r="54" spans="1:17" ht="12.75" x14ac:dyDescent="0.2">
      <c r="A54" s="651" t="s">
        <v>46</v>
      </c>
      <c r="B54" s="777">
        <v>4652125371</v>
      </c>
      <c r="C54" s="392" t="s">
        <v>719</v>
      </c>
      <c r="D54" s="392" t="s">
        <v>2183</v>
      </c>
      <c r="E54" s="1007" t="s">
        <v>1152</v>
      </c>
      <c r="F54" s="777">
        <v>5128648826</v>
      </c>
      <c r="G54" s="392" t="s">
        <v>719</v>
      </c>
      <c r="H54" s="130" t="s">
        <v>2221</v>
      </c>
      <c r="I54" s="1007" t="s">
        <v>1156</v>
      </c>
      <c r="J54" s="219">
        <v>4941252126</v>
      </c>
      <c r="K54" s="1006" t="s">
        <v>719</v>
      </c>
      <c r="L54" s="1006"/>
      <c r="M54" s="1007" t="s">
        <v>1408</v>
      </c>
      <c r="N54" s="2366">
        <v>4983551413</v>
      </c>
      <c r="O54" s="835" t="s">
        <v>719</v>
      </c>
      <c r="P54" t="s">
        <v>1758</v>
      </c>
    </row>
    <row r="55" spans="1:17" x14ac:dyDescent="0.2">
      <c r="A55" s="653" t="s">
        <v>2412</v>
      </c>
      <c r="B55" s="2497">
        <v>8.2100000000000006E-2</v>
      </c>
      <c r="C55" s="392"/>
      <c r="D55" s="130" t="s">
        <v>2425</v>
      </c>
      <c r="E55" s="1007" t="s">
        <v>2431</v>
      </c>
      <c r="F55" s="2497">
        <v>8.2100000000000006E-2</v>
      </c>
      <c r="G55" s="392"/>
      <c r="H55" s="130" t="s">
        <v>2425</v>
      </c>
      <c r="I55" s="1007" t="s">
        <v>2431</v>
      </c>
      <c r="J55" s="2497">
        <v>6.8400000000000002E-2</v>
      </c>
      <c r="K55" s="1006"/>
      <c r="L55" s="130" t="s">
        <v>2426</v>
      </c>
      <c r="M55" s="1007" t="s">
        <v>2430</v>
      </c>
      <c r="N55" s="2497">
        <v>4.7899999999999998E-2</v>
      </c>
      <c r="O55" s="835"/>
      <c r="P55" s="130" t="s">
        <v>2427</v>
      </c>
      <c r="Q55" s="1007" t="s">
        <v>2430</v>
      </c>
    </row>
    <row r="56" spans="1:17" ht="12.75" x14ac:dyDescent="0.2">
      <c r="A56" s="653" t="s">
        <v>1768</v>
      </c>
      <c r="B56" s="876">
        <f>B55*B57</f>
        <v>888725646.62040007</v>
      </c>
      <c r="C56" s="392" t="s">
        <v>719</v>
      </c>
      <c r="D56" s="392"/>
      <c r="E56" s="1007"/>
      <c r="F56" s="777">
        <f>F55*F57</f>
        <v>982619884.18580008</v>
      </c>
      <c r="G56" s="135" t="s">
        <v>719</v>
      </c>
      <c r="H56" s="130"/>
      <c r="I56" s="1007"/>
      <c r="J56" s="219">
        <f>J55*J57</f>
        <v>782041538.36160004</v>
      </c>
      <c r="K56" s="835" t="s">
        <v>719</v>
      </c>
      <c r="L56" s="1006"/>
      <c r="M56" s="1007"/>
      <c r="N56" s="2505">
        <f>N55*N57</f>
        <v>560947379.82709992</v>
      </c>
      <c r="O56" s="835" t="s">
        <v>719</v>
      </c>
    </row>
    <row r="57" spans="1:17" ht="12.75" x14ac:dyDescent="0.2">
      <c r="A57" s="629" t="s">
        <v>2403</v>
      </c>
      <c r="B57" s="587">
        <v>10824916524</v>
      </c>
      <c r="C57" s="392" t="s">
        <v>719</v>
      </c>
      <c r="D57" s="392" t="s">
        <v>2183</v>
      </c>
      <c r="E57" s="1007" t="s">
        <v>1153</v>
      </c>
      <c r="F57" s="788">
        <f>SUM(F51:F54)</f>
        <v>11968573498</v>
      </c>
      <c r="G57" s="135" t="s">
        <v>719</v>
      </c>
      <c r="H57" s="72"/>
      <c r="I57" s="1007"/>
      <c r="J57" s="788">
        <f>SUM(J51:J54)</f>
        <v>11433355824</v>
      </c>
      <c r="K57" s="135" t="s">
        <v>719</v>
      </c>
      <c r="L57" s="1006"/>
      <c r="M57" s="1007"/>
      <c r="N57" s="2366">
        <f>SUM(N51:N54)</f>
        <v>11710801249</v>
      </c>
      <c r="O57" s="835" t="s">
        <v>719</v>
      </c>
      <c r="P57" t="s">
        <v>1758</v>
      </c>
    </row>
    <row r="58" spans="1:17" x14ac:dyDescent="0.2">
      <c r="B58" s="587"/>
      <c r="C58" s="392"/>
      <c r="D58" s="392"/>
      <c r="E58" s="760"/>
      <c r="F58" s="788"/>
      <c r="G58" s="135"/>
      <c r="H58" s="130"/>
      <c r="I58" s="761"/>
      <c r="J58" s="226"/>
      <c r="K58" s="226"/>
      <c r="L58" s="226"/>
      <c r="M58" s="761"/>
      <c r="N58" s="1351"/>
      <c r="O58" s="67"/>
    </row>
    <row r="59" spans="1:17" x14ac:dyDescent="0.2">
      <c r="A59" s="1476" t="s">
        <v>1773</v>
      </c>
      <c r="B59" s="587"/>
      <c r="C59" s="392"/>
      <c r="D59" s="392"/>
      <c r="E59" s="760"/>
      <c r="F59" s="788"/>
      <c r="G59" s="135"/>
      <c r="H59" s="130"/>
      <c r="I59" s="761"/>
      <c r="J59" s="226"/>
      <c r="K59" s="226"/>
      <c r="L59" s="226"/>
      <c r="M59" s="761"/>
      <c r="N59" s="1351"/>
      <c r="O59" s="67"/>
    </row>
    <row r="60" spans="1:17" x14ac:dyDescent="0.2">
      <c r="A60" s="1" t="s">
        <v>33</v>
      </c>
      <c r="B60" s="587">
        <f>B57/1000</f>
        <v>10824916.524</v>
      </c>
      <c r="C60" s="392" t="s">
        <v>731</v>
      </c>
      <c r="D60" s="392"/>
      <c r="E60" s="760"/>
      <c r="F60" s="587">
        <f>F57/1000</f>
        <v>11968573.498</v>
      </c>
      <c r="G60" s="392" t="s">
        <v>731</v>
      </c>
      <c r="H60" s="187"/>
      <c r="I60" s="761"/>
      <c r="J60" s="587">
        <f>J57/1000</f>
        <v>11433355.823999999</v>
      </c>
      <c r="K60" s="392" t="s">
        <v>731</v>
      </c>
      <c r="L60" s="226"/>
      <c r="M60" s="761"/>
      <c r="N60" s="526">
        <f>N57/1000</f>
        <v>11710801.249</v>
      </c>
      <c r="O60" s="67" t="s">
        <v>731</v>
      </c>
    </row>
    <row r="61" spans="1:17" ht="13.5" customHeight="1" x14ac:dyDescent="0.3">
      <c r="A61" s="1018" t="s">
        <v>1157</v>
      </c>
      <c r="B61" s="271">
        <f>B49*B60</f>
        <v>4572497.5367316166</v>
      </c>
      <c r="C61" s="179" t="s">
        <v>207</v>
      </c>
      <c r="D61" s="226"/>
      <c r="E61" s="761"/>
      <c r="F61" s="271">
        <f>F49*F60</f>
        <v>5153524.7143693846</v>
      </c>
      <c r="G61" s="179" t="s">
        <v>207</v>
      </c>
      <c r="H61" s="187"/>
      <c r="I61" s="761"/>
      <c r="J61" s="271">
        <f>J49*J60</f>
        <v>5739630.902166049</v>
      </c>
      <c r="K61" s="179" t="s">
        <v>207</v>
      </c>
      <c r="L61" s="226"/>
      <c r="M61" s="761"/>
      <c r="N61" s="2526">
        <f>N49*N60</f>
        <v>5701289.9432036337</v>
      </c>
      <c r="O61" s="179" t="s">
        <v>207</v>
      </c>
    </row>
    <row r="62" spans="1:17" x14ac:dyDescent="0.2">
      <c r="A62" s="650"/>
      <c r="B62" s="587"/>
      <c r="C62" s="226"/>
      <c r="D62" s="226"/>
      <c r="E62" s="761"/>
      <c r="F62" s="862"/>
      <c r="G62" s="214"/>
      <c r="H62" s="135"/>
      <c r="I62" s="760"/>
      <c r="J62" s="862"/>
      <c r="K62" s="214"/>
      <c r="L62" s="392"/>
      <c r="M62" s="760"/>
      <c r="N62" s="526"/>
      <c r="O62" s="67"/>
    </row>
    <row r="63" spans="1:17" x14ac:dyDescent="0.2">
      <c r="A63" s="251" t="s">
        <v>46</v>
      </c>
      <c r="B63" s="806"/>
      <c r="C63" s="245"/>
      <c r="D63" s="245"/>
      <c r="E63" s="119"/>
      <c r="F63" s="862"/>
      <c r="G63" s="245"/>
      <c r="H63" s="245"/>
      <c r="I63" s="119"/>
      <c r="J63" s="862"/>
      <c r="K63" s="245"/>
      <c r="L63" s="245"/>
      <c r="M63" s="119"/>
      <c r="N63" s="526"/>
      <c r="O63" s="67"/>
    </row>
    <row r="64" spans="1:17" s="91" customFormat="1" x14ac:dyDescent="0.2">
      <c r="A64" s="1" t="s">
        <v>33</v>
      </c>
      <c r="B64" s="791">
        <f>B54/1000</f>
        <v>4652125.3710000003</v>
      </c>
      <c r="C64" s="392" t="s">
        <v>731</v>
      </c>
      <c r="D64" s="245"/>
      <c r="E64" s="119"/>
      <c r="F64" s="791">
        <f>F54/1000</f>
        <v>5128648.8260000004</v>
      </c>
      <c r="G64" s="392" t="s">
        <v>731</v>
      </c>
      <c r="H64" s="245"/>
      <c r="I64" s="119"/>
      <c r="J64" s="791">
        <f>J54/1000</f>
        <v>4941252.1260000002</v>
      </c>
      <c r="K64" s="392" t="s">
        <v>731</v>
      </c>
      <c r="L64" s="245"/>
      <c r="M64" s="119"/>
      <c r="N64" s="526">
        <f>N54/1000</f>
        <v>4983551.4129999997</v>
      </c>
      <c r="O64" s="392" t="s">
        <v>731</v>
      </c>
      <c r="Q64" s="88"/>
    </row>
    <row r="65" spans="1:17" ht="13.5" x14ac:dyDescent="0.2">
      <c r="A65" s="1" t="s">
        <v>1158</v>
      </c>
      <c r="B65" s="587">
        <f>B$49*B64</f>
        <v>1965080.446791643</v>
      </c>
      <c r="C65" s="2527" t="s">
        <v>940</v>
      </c>
      <c r="D65" s="226"/>
      <c r="E65" s="761"/>
      <c r="F65" s="587">
        <f>F$49*F64</f>
        <v>2208334.8930872339</v>
      </c>
      <c r="G65" s="2527" t="s">
        <v>940</v>
      </c>
      <c r="H65" s="130"/>
      <c r="I65" s="761"/>
      <c r="J65" s="587">
        <f>J$49*J64</f>
        <v>2480545.854984255</v>
      </c>
      <c r="K65" s="2527" t="s">
        <v>940</v>
      </c>
      <c r="L65" s="226"/>
      <c r="M65" s="761"/>
      <c r="N65" s="526">
        <f>N64*N49</f>
        <v>2426193.6436502454</v>
      </c>
      <c r="O65" s="2527" t="s">
        <v>940</v>
      </c>
    </row>
    <row r="66" spans="1:17" ht="13.5" customHeight="1" x14ac:dyDescent="0.2">
      <c r="A66" s="1018" t="s">
        <v>2432</v>
      </c>
      <c r="B66" s="812">
        <f>B65+(B82*B64/B60)</f>
        <v>2126413.5514732371</v>
      </c>
      <c r="C66" s="836" t="s">
        <v>940</v>
      </c>
      <c r="D66" s="1012"/>
      <c r="E66" s="88" t="s">
        <v>2408</v>
      </c>
      <c r="F66" s="812">
        <f>F65+(F82*F64/F60)</f>
        <v>2389639.187809696</v>
      </c>
      <c r="G66" s="836" t="s">
        <v>940</v>
      </c>
      <c r="H66" s="130"/>
      <c r="I66" s="88" t="s">
        <v>2408</v>
      </c>
      <c r="J66" s="812">
        <f>J65+(J82*J64/J60)</f>
        <v>2650215.191465178</v>
      </c>
      <c r="K66" s="836" t="s">
        <v>940</v>
      </c>
      <c r="L66" s="226"/>
      <c r="M66" s="88" t="s">
        <v>2408</v>
      </c>
      <c r="N66" s="812">
        <f>N65+(N82*N64/N60)</f>
        <v>2542408.3191810921</v>
      </c>
      <c r="O66" s="836" t="s">
        <v>940</v>
      </c>
      <c r="Q66" s="88" t="s">
        <v>2408</v>
      </c>
    </row>
    <row r="67" spans="1:17" ht="12.75" x14ac:dyDescent="0.2">
      <c r="A67" s="1786"/>
      <c r="B67" s="587"/>
      <c r="C67" s="226"/>
      <c r="D67" s="226"/>
      <c r="E67" s="1"/>
      <c r="F67" s="857"/>
      <c r="G67" s="267"/>
      <c r="H67" s="130"/>
      <c r="I67" s="1"/>
      <c r="J67" s="857"/>
      <c r="K67" s="267"/>
      <c r="L67" s="226"/>
      <c r="M67" s="1"/>
      <c r="N67" s="526"/>
      <c r="O67" s="267"/>
    </row>
    <row r="68" spans="1:17" x14ac:dyDescent="0.2">
      <c r="A68" s="251" t="s">
        <v>47</v>
      </c>
      <c r="B68" s="587"/>
      <c r="C68" s="226"/>
      <c r="D68" s="226"/>
      <c r="E68" s="1"/>
      <c r="F68" s="857"/>
      <c r="G68" s="267"/>
      <c r="H68" s="130"/>
      <c r="I68" s="1"/>
      <c r="J68" s="857"/>
      <c r="K68" s="267"/>
      <c r="L68" s="226"/>
      <c r="M68" s="1"/>
      <c r="N68" s="526"/>
      <c r="O68" s="267"/>
    </row>
    <row r="69" spans="1:17" x14ac:dyDescent="0.2">
      <c r="A69" s="1" t="s">
        <v>33</v>
      </c>
      <c r="B69" s="587">
        <f>SUM(B52,B51)/1000</f>
        <v>4866336.1720000003</v>
      </c>
      <c r="C69" s="392" t="s">
        <v>731</v>
      </c>
      <c r="D69" s="226"/>
      <c r="E69" s="761" t="s">
        <v>1426</v>
      </c>
      <c r="F69" s="587">
        <f>SUM(F52,F51)/1000</f>
        <v>5599881.2290000003</v>
      </c>
      <c r="G69" s="392" t="s">
        <v>731</v>
      </c>
      <c r="H69" s="130"/>
      <c r="I69" s="761" t="s">
        <v>1426</v>
      </c>
      <c r="J69" s="587">
        <f>SUM(J52,J51)/1000</f>
        <v>5399982.909</v>
      </c>
      <c r="K69" s="392" t="s">
        <v>731</v>
      </c>
      <c r="L69" s="226"/>
      <c r="M69" s="761" t="s">
        <v>1426</v>
      </c>
      <c r="N69" s="526">
        <f>SUM(N51:N52)/1000</f>
        <v>5581058.267</v>
      </c>
      <c r="O69" s="392" t="s">
        <v>731</v>
      </c>
      <c r="Q69" s="761" t="s">
        <v>1426</v>
      </c>
    </row>
    <row r="70" spans="1:17" x14ac:dyDescent="0.2">
      <c r="A70" s="1293" t="s">
        <v>2349</v>
      </c>
      <c r="B70" s="587">
        <f>B69-'Trans-Rail'!H49</f>
        <v>4866336.1720000003</v>
      </c>
      <c r="C70" s="392" t="s">
        <v>731</v>
      </c>
      <c r="D70" s="226"/>
      <c r="E70" s="1"/>
      <c r="F70" s="587">
        <f>F69-'Trans-Rail'!O49</f>
        <v>5599745.9526583524</v>
      </c>
      <c r="G70" s="392" t="s">
        <v>731</v>
      </c>
      <c r="H70" s="130"/>
      <c r="I70" s="1"/>
      <c r="J70" s="587">
        <f>J69-'Trans-Rail'!V49</f>
        <v>5395673.7561466368</v>
      </c>
      <c r="K70" s="392" t="s">
        <v>731</v>
      </c>
      <c r="L70" s="226"/>
      <c r="M70" s="1"/>
      <c r="N70" s="526">
        <f>N69-'Trans-Rail'!AC49</f>
        <v>5576951.8669999996</v>
      </c>
      <c r="O70" s="392" t="s">
        <v>731</v>
      </c>
    </row>
    <row r="71" spans="1:17" ht="13.5" x14ac:dyDescent="0.2">
      <c r="A71" s="1" t="s">
        <v>1159</v>
      </c>
      <c r="B71" s="587">
        <f>B$49*B70</f>
        <v>2055564.133916823</v>
      </c>
      <c r="C71" s="2527" t="s">
        <v>940</v>
      </c>
      <c r="D71" s="226"/>
      <c r="E71" s="1"/>
      <c r="F71" s="587">
        <f>F$49*F70</f>
        <v>2411183.6858450272</v>
      </c>
      <c r="G71" s="2527" t="s">
        <v>940</v>
      </c>
      <c r="H71" s="130"/>
      <c r="I71" s="1"/>
      <c r="J71" s="587">
        <f>J$49*J70</f>
        <v>2708668.9424794726</v>
      </c>
      <c r="K71" s="2527" t="s">
        <v>940</v>
      </c>
      <c r="L71" s="226"/>
      <c r="M71" s="1"/>
      <c r="N71" s="526">
        <f>N70*N49</f>
        <v>2715084.896157119</v>
      </c>
      <c r="O71" s="2527" t="s">
        <v>940</v>
      </c>
    </row>
    <row r="72" spans="1:17" ht="14.25" customHeight="1" x14ac:dyDescent="0.2">
      <c r="A72" s="1018" t="s">
        <v>2432</v>
      </c>
      <c r="B72" s="812">
        <f>B71+(B82*B70/B60)</f>
        <v>2224325.9493113942</v>
      </c>
      <c r="C72" s="836" t="s">
        <v>940</v>
      </c>
      <c r="D72" s="1012"/>
      <c r="E72" s="88" t="s">
        <v>2409</v>
      </c>
      <c r="F72" s="812">
        <f>F71+(F82*F70/F60)</f>
        <v>2609141.866452904</v>
      </c>
      <c r="G72" s="836" t="s">
        <v>940</v>
      </c>
      <c r="H72" s="130"/>
      <c r="I72" s="88" t="s">
        <v>2409</v>
      </c>
      <c r="J72" s="812">
        <f>J71+(J82*J70/J60)</f>
        <v>2893941.8981450684</v>
      </c>
      <c r="K72" s="836" t="s">
        <v>940</v>
      </c>
      <c r="L72" s="226"/>
      <c r="M72" s="88" t="s">
        <v>2409</v>
      </c>
      <c r="N72" s="812">
        <f>N71+(N82*N70/N60)</f>
        <v>2845137.4626830448</v>
      </c>
      <c r="O72" s="836" t="s">
        <v>940</v>
      </c>
      <c r="Q72" s="88" t="s">
        <v>2409</v>
      </c>
    </row>
    <row r="73" spans="1:17" x14ac:dyDescent="0.2">
      <c r="B73" s="587"/>
      <c r="C73" s="226"/>
      <c r="D73" s="226"/>
      <c r="E73" s="1"/>
      <c r="F73" s="857"/>
      <c r="G73" s="267"/>
      <c r="H73" s="131"/>
      <c r="I73" s="1"/>
      <c r="J73" s="857"/>
      <c r="K73" s="267"/>
      <c r="L73" s="131"/>
      <c r="M73" s="1"/>
      <c r="N73" s="526"/>
      <c r="O73" s="267"/>
    </row>
    <row r="74" spans="1:17" x14ac:dyDescent="0.2">
      <c r="A74" s="251" t="s">
        <v>48</v>
      </c>
      <c r="B74" s="271"/>
      <c r="C74" s="131"/>
      <c r="D74" s="131"/>
      <c r="E74" s="88"/>
      <c r="F74" s="271"/>
      <c r="G74" s="309"/>
      <c r="H74" s="130"/>
      <c r="I74" s="88"/>
      <c r="J74" s="271"/>
      <c r="K74" s="309"/>
      <c r="L74" s="226"/>
      <c r="M74" s="88"/>
      <c r="N74" s="526"/>
      <c r="O74" s="309"/>
      <c r="Q74" s="88"/>
    </row>
    <row r="75" spans="1:17" x14ac:dyDescent="0.2">
      <c r="A75" s="1" t="s">
        <v>33</v>
      </c>
      <c r="B75" s="587">
        <f>B53/1000</f>
        <v>1306454.9809999999</v>
      </c>
      <c r="C75" s="392" t="s">
        <v>731</v>
      </c>
      <c r="D75" s="226"/>
      <c r="E75" s="1"/>
      <c r="F75" s="587">
        <f>F53/1000</f>
        <v>1240043.443</v>
      </c>
      <c r="G75" s="392" t="s">
        <v>731</v>
      </c>
      <c r="H75" s="135"/>
      <c r="I75" s="1"/>
      <c r="J75" s="587">
        <f>J53/1000</f>
        <v>1092120.7890000001</v>
      </c>
      <c r="K75" s="392" t="s">
        <v>731</v>
      </c>
      <c r="L75" s="392"/>
      <c r="M75" s="1"/>
      <c r="N75" s="526">
        <f>N53/1000</f>
        <v>1146191.5689999999</v>
      </c>
      <c r="O75" s="392" t="s">
        <v>731</v>
      </c>
    </row>
    <row r="76" spans="1:17" ht="13.5" x14ac:dyDescent="0.2">
      <c r="A76" s="1" t="s">
        <v>1160</v>
      </c>
      <c r="B76" s="587">
        <f>B$49*B75</f>
        <v>551852.95602315082</v>
      </c>
      <c r="C76" s="2527" t="s">
        <v>940</v>
      </c>
      <c r="D76" s="392"/>
      <c r="E76" s="88"/>
      <c r="F76" s="587">
        <f>F$49*F75</f>
        <v>533947.88706106867</v>
      </c>
      <c r="G76" s="2527" t="s">
        <v>940</v>
      </c>
      <c r="H76" s="135"/>
      <c r="I76" s="88"/>
      <c r="J76" s="587">
        <f>J$49*J75</f>
        <v>548252.87745215627</v>
      </c>
      <c r="K76" s="2527" t="s">
        <v>940</v>
      </c>
      <c r="L76" s="392"/>
      <c r="M76" s="88"/>
      <c r="N76" s="1825">
        <f>N75*N49</f>
        <v>558012.2424059161</v>
      </c>
      <c r="O76" s="2527" t="s">
        <v>940</v>
      </c>
      <c r="Q76" s="88"/>
    </row>
    <row r="77" spans="1:17" ht="12.75" customHeight="1" x14ac:dyDescent="0.2">
      <c r="A77" s="1018" t="s">
        <v>2432</v>
      </c>
      <c r="B77" s="812">
        <f>B76+(B82*B81/B60)</f>
        <v>582673.46414471196</v>
      </c>
      <c r="C77" s="836" t="s">
        <v>940</v>
      </c>
      <c r="D77" s="1014"/>
      <c r="E77" s="88" t="s">
        <v>2410</v>
      </c>
      <c r="F77" s="812">
        <f>F76+(F82*F81/F60)</f>
        <v>568684.75658105128</v>
      </c>
      <c r="G77" s="836" t="s">
        <v>940</v>
      </c>
      <c r="H77" s="1017"/>
      <c r="I77" s="88" t="s">
        <v>2410</v>
      </c>
      <c r="J77" s="812">
        <f>J76+(J82*J81/J60)</f>
        <v>575106.0850057943</v>
      </c>
      <c r="K77" s="836" t="s">
        <v>940</v>
      </c>
      <c r="L77" s="628"/>
      <c r="M77" s="88" t="s">
        <v>2410</v>
      </c>
      <c r="N77" s="812">
        <f>N76+(N82*N81/N60)</f>
        <v>571093.33906450192</v>
      </c>
      <c r="O77" s="836" t="s">
        <v>940</v>
      </c>
      <c r="Q77" s="88" t="s">
        <v>2410</v>
      </c>
    </row>
    <row r="78" spans="1:17" ht="12.75" customHeight="1" x14ac:dyDescent="0.2">
      <c r="A78" s="1018"/>
      <c r="B78" s="812"/>
      <c r="C78" s="836"/>
      <c r="D78" s="1014"/>
      <c r="E78" s="692"/>
      <c r="F78" s="812"/>
      <c r="G78" s="836"/>
      <c r="H78" s="1017"/>
      <c r="I78" s="692"/>
      <c r="J78" s="812"/>
      <c r="K78" s="836"/>
      <c r="L78" s="628"/>
      <c r="M78" s="692"/>
      <c r="N78" s="1825"/>
      <c r="O78" s="836"/>
    </row>
    <row r="79" spans="1:17" ht="12.75" customHeight="1" x14ac:dyDescent="0.2">
      <c r="A79" s="251" t="s">
        <v>1771</v>
      </c>
      <c r="B79" s="797"/>
      <c r="C79" s="865"/>
      <c r="D79" s="131"/>
      <c r="E79" s="663"/>
      <c r="F79" s="797"/>
      <c r="G79" s="865"/>
      <c r="H79" s="130"/>
      <c r="I79" s="663"/>
      <c r="J79" s="797"/>
      <c r="K79" s="865"/>
      <c r="L79" s="130"/>
      <c r="M79" s="663"/>
      <c r="N79" s="797"/>
      <c r="O79" s="312"/>
    </row>
    <row r="80" spans="1:17" ht="12.75" customHeight="1" x14ac:dyDescent="0.2">
      <c r="A80" s="1787" t="s">
        <v>2411</v>
      </c>
      <c r="B80" s="269">
        <f>B56</f>
        <v>888725646.62040007</v>
      </c>
      <c r="C80" s="313" t="s">
        <v>719</v>
      </c>
      <c r="D80" s="131"/>
      <c r="E80" s="663"/>
      <c r="F80" s="269">
        <f>F56</f>
        <v>982619884.18580008</v>
      </c>
      <c r="G80" s="313" t="s">
        <v>719</v>
      </c>
      <c r="H80" s="130"/>
      <c r="I80" s="663"/>
      <c r="J80" s="269">
        <f>J56</f>
        <v>782041538.36160004</v>
      </c>
      <c r="K80" s="313" t="s">
        <v>719</v>
      </c>
      <c r="L80" s="130"/>
      <c r="M80" s="663"/>
      <c r="N80" s="269">
        <f>N56</f>
        <v>560947379.82709992</v>
      </c>
      <c r="O80" s="835" t="s">
        <v>719</v>
      </c>
    </row>
    <row r="81" spans="1:17" ht="12.75" customHeight="1" x14ac:dyDescent="0.2">
      <c r="A81" s="212" t="s">
        <v>2</v>
      </c>
      <c r="B81" s="269">
        <f>B80/1000</f>
        <v>888725.64662040002</v>
      </c>
      <c r="C81" s="205" t="s">
        <v>731</v>
      </c>
      <c r="D81" s="131"/>
      <c r="E81" s="663"/>
      <c r="F81" s="269">
        <f>F80/1000</f>
        <v>982619.8841858001</v>
      </c>
      <c r="G81" s="205" t="s">
        <v>731</v>
      </c>
      <c r="H81" s="130"/>
      <c r="I81" s="663"/>
      <c r="J81" s="269">
        <f>J80/1000</f>
        <v>782041.53836160002</v>
      </c>
      <c r="K81" s="205" t="s">
        <v>731</v>
      </c>
      <c r="L81" s="130"/>
      <c r="M81" s="663"/>
      <c r="N81" s="269">
        <f>N80/1000</f>
        <v>560947.37982709997</v>
      </c>
      <c r="O81" s="205" t="s">
        <v>731</v>
      </c>
    </row>
    <row r="82" spans="1:17" ht="12.75" customHeight="1" x14ac:dyDescent="0.2">
      <c r="A82" s="654" t="s">
        <v>104</v>
      </c>
      <c r="B82" s="1829">
        <f>B81*B49</f>
        <v>375402.04776566575</v>
      </c>
      <c r="C82" s="865" t="s">
        <v>940</v>
      </c>
      <c r="D82" s="131"/>
      <c r="E82" s="832"/>
      <c r="F82" s="1829">
        <f>F81*F49</f>
        <v>423104.37904972653</v>
      </c>
      <c r="G82" s="865" t="s">
        <v>940</v>
      </c>
      <c r="H82" s="130"/>
      <c r="I82" s="760"/>
      <c r="J82" s="1829">
        <f>J81*J49</f>
        <v>392590.7537081578</v>
      </c>
      <c r="K82" s="865" t="s">
        <v>940</v>
      </c>
      <c r="L82" s="392"/>
      <c r="M82" s="760"/>
      <c r="N82" s="1829">
        <f>N81*N49</f>
        <v>273091.78827945405</v>
      </c>
      <c r="O82" s="836" t="s">
        <v>940</v>
      </c>
    </row>
    <row r="83" spans="1:17" ht="12.75" customHeight="1" x14ac:dyDescent="0.2">
      <c r="A83" s="1018"/>
      <c r="B83" s="812"/>
      <c r="C83" s="836"/>
      <c r="D83" s="1014"/>
      <c r="E83" s="692"/>
      <c r="F83" s="812"/>
      <c r="G83" s="836"/>
      <c r="H83" s="1017"/>
      <c r="I83" s="692"/>
      <c r="J83" s="812"/>
      <c r="K83" s="836"/>
      <c r="L83" s="628"/>
      <c r="M83" s="692"/>
      <c r="N83" s="1825"/>
      <c r="O83" s="836"/>
    </row>
    <row r="84" spans="1:17" x14ac:dyDescent="0.2">
      <c r="A84" s="655"/>
      <c r="B84" s="587"/>
      <c r="C84" s="255"/>
      <c r="D84" s="255"/>
      <c r="E84" s="874"/>
      <c r="F84" s="855"/>
      <c r="G84" s="130"/>
      <c r="H84" s="135"/>
      <c r="I84" s="760"/>
      <c r="J84" s="392"/>
      <c r="K84" s="392"/>
      <c r="L84" s="392"/>
      <c r="M84" s="760"/>
      <c r="N84" s="1825"/>
      <c r="O84" s="5"/>
      <c r="P84" s="1196"/>
    </row>
    <row r="85" spans="1:17" s="1792" customFormat="1" ht="13.5" x14ac:dyDescent="0.2">
      <c r="A85" s="1794" t="s">
        <v>1774</v>
      </c>
      <c r="B85" s="1555">
        <f>SUM(B77,B72,B66)</f>
        <v>4933412.9649293432</v>
      </c>
      <c r="C85" s="1670" t="s">
        <v>207</v>
      </c>
      <c r="D85" s="1791"/>
      <c r="E85" s="1790"/>
      <c r="F85" s="1564">
        <f>SUM(F77,F72,F66,F28,F34,F39)</f>
        <v>5703894.3756083036</v>
      </c>
      <c r="G85" s="1670" t="s">
        <v>207</v>
      </c>
      <c r="H85" s="1609"/>
      <c r="I85" s="1790"/>
      <c r="J85" s="2023">
        <f>SUM(J77,J72,J66)</f>
        <v>6119263.1746160407</v>
      </c>
      <c r="K85" s="1511" t="s">
        <v>207</v>
      </c>
      <c r="L85" s="1791"/>
      <c r="M85" s="1790"/>
      <c r="N85" s="1826">
        <f>SUM(N77+N72+N66)</f>
        <v>5958639.1209286386</v>
      </c>
      <c r="O85" s="1511" t="s">
        <v>207</v>
      </c>
      <c r="Q85" s="1793"/>
    </row>
    <row r="86" spans="1:17" s="91" customFormat="1" x14ac:dyDescent="0.2">
      <c r="A86" s="605"/>
      <c r="B86" s="271"/>
      <c r="C86" s="309"/>
      <c r="D86" s="392"/>
      <c r="E86" s="760"/>
      <c r="F86" s="271"/>
      <c r="G86" s="309"/>
      <c r="H86" s="135"/>
      <c r="I86" s="760"/>
      <c r="J86" s="554"/>
      <c r="K86" s="309"/>
      <c r="L86" s="392"/>
      <c r="M86" s="760"/>
      <c r="N86" s="316"/>
      <c r="O86" s="309"/>
      <c r="Q86" s="88"/>
    </row>
    <row r="87" spans="1:17" ht="13.5" x14ac:dyDescent="0.2">
      <c r="A87" s="120" t="s">
        <v>1834</v>
      </c>
      <c r="B87" s="1833">
        <f>(B85+B46)/popKC03</f>
        <v>3.0175906704777438</v>
      </c>
      <c r="C87" s="836" t="s">
        <v>1835</v>
      </c>
      <c r="D87" s="392"/>
      <c r="E87" s="760"/>
      <c r="F87" s="1833">
        <f>(F85+F46)/popKC08</f>
        <v>3.0995609589282882</v>
      </c>
      <c r="G87" s="836" t="s">
        <v>1835</v>
      </c>
      <c r="H87" s="138"/>
      <c r="I87" s="652"/>
      <c r="J87" s="1832">
        <f>(J85+J46)/popKC10</f>
        <v>3.2632355274571005</v>
      </c>
      <c r="K87" s="836" t="s">
        <v>1835</v>
      </c>
      <c r="L87" s="536"/>
      <c r="M87" s="652"/>
      <c r="N87" s="2320">
        <f>(N85+N46)/popKC15</f>
        <v>3.0122402251274014</v>
      </c>
      <c r="O87" s="836" t="s">
        <v>1835</v>
      </c>
    </row>
    <row r="88" spans="1:17" ht="13.5" x14ac:dyDescent="0.2">
      <c r="A88" s="120" t="s">
        <v>1836</v>
      </c>
      <c r="B88" s="1833">
        <f>(B66+B28)/popKC03</f>
        <v>1.2785062052387823</v>
      </c>
      <c r="C88" s="836" t="s">
        <v>1835</v>
      </c>
      <c r="D88" s="392"/>
      <c r="E88" s="760"/>
      <c r="F88" s="1833">
        <f>(F66+F28)/popKC08</f>
        <v>1.2924149344386799</v>
      </c>
      <c r="G88" s="836" t="s">
        <v>1835</v>
      </c>
      <c r="H88" s="138"/>
      <c r="I88" s="652"/>
      <c r="J88" s="1832">
        <f>(J66+J28)/popKC10</f>
        <v>1.4029458152653151</v>
      </c>
      <c r="K88" s="836" t="s">
        <v>1835</v>
      </c>
      <c r="L88" s="536"/>
      <c r="M88" s="652"/>
      <c r="N88" s="1832">
        <f>(N66+N28)/popKC15</f>
        <v>1.2739174950942436</v>
      </c>
      <c r="O88" s="836" t="s">
        <v>1835</v>
      </c>
    </row>
    <row r="89" spans="1:17" x14ac:dyDescent="0.2">
      <c r="A89" s="120" t="s">
        <v>1837</v>
      </c>
      <c r="B89" s="1833">
        <f>(B64+B27)/popKC03</f>
        <v>4.3018485121935095</v>
      </c>
      <c r="C89" s="1831" t="s">
        <v>1838</v>
      </c>
      <c r="D89" s="392"/>
      <c r="E89" s="760"/>
      <c r="F89" s="1833">
        <f>(F64+F27)/popKC08</f>
        <v>4.4220244183072026</v>
      </c>
      <c r="G89" s="1831" t="s">
        <v>1838</v>
      </c>
      <c r="H89" s="138"/>
      <c r="I89" s="652"/>
      <c r="J89" s="1832">
        <f>(J64+J27)/popKC10</f>
        <v>4.1535164758217524</v>
      </c>
      <c r="K89" s="1831" t="s">
        <v>1838</v>
      </c>
      <c r="L89" s="536"/>
      <c r="M89" s="652"/>
      <c r="N89" s="1832">
        <f>(N64+N27)/popKC15</f>
        <v>3.8483087894583008</v>
      </c>
      <c r="O89" s="1831" t="s">
        <v>1838</v>
      </c>
    </row>
    <row r="90" spans="1:17" x14ac:dyDescent="0.2">
      <c r="A90" s="122"/>
      <c r="B90" s="587"/>
      <c r="C90" s="392"/>
      <c r="D90" s="392"/>
      <c r="E90" s="760"/>
      <c r="F90" s="855"/>
      <c r="G90" s="130"/>
      <c r="H90" s="138"/>
      <c r="I90" s="652"/>
      <c r="J90" s="536"/>
      <c r="K90" s="536"/>
      <c r="L90" s="536"/>
      <c r="M90" s="652"/>
      <c r="O90" s="5"/>
    </row>
    <row r="91" spans="1:17" x14ac:dyDescent="0.2">
      <c r="A91" s="1795" t="s">
        <v>1775</v>
      </c>
      <c r="C91" s="536"/>
      <c r="D91" s="536"/>
      <c r="E91" s="652"/>
      <c r="F91" s="795"/>
      <c r="G91" s="138"/>
      <c r="H91" s="138"/>
      <c r="I91" s="652"/>
      <c r="J91" s="536"/>
      <c r="K91" s="536"/>
      <c r="L91" s="536"/>
      <c r="M91" s="652"/>
      <c r="O91" s="5"/>
    </row>
    <row r="92" spans="1:17" ht="13.5" x14ac:dyDescent="0.25">
      <c r="A92" s="121" t="s">
        <v>1944</v>
      </c>
      <c r="B92" s="526">
        <v>921</v>
      </c>
      <c r="C92" s="531" t="s">
        <v>2395</v>
      </c>
      <c r="D92" s="392" t="s">
        <v>2396</v>
      </c>
      <c r="E92" s="760" t="s">
        <v>2397</v>
      </c>
      <c r="F92" s="2498">
        <f>(819.21+858.79)/2</f>
        <v>839</v>
      </c>
      <c r="G92" s="531" t="s">
        <v>2395</v>
      </c>
      <c r="H92" s="392" t="s">
        <v>2399</v>
      </c>
      <c r="I92" s="760" t="s">
        <v>2398</v>
      </c>
      <c r="J92" s="392">
        <v>842.58</v>
      </c>
      <c r="K92" s="531" t="s">
        <v>2395</v>
      </c>
      <c r="L92" s="392" t="s">
        <v>2400</v>
      </c>
      <c r="M92" s="760" t="s">
        <v>2401</v>
      </c>
      <c r="N92" s="1199">
        <v>907</v>
      </c>
      <c r="O92" s="531" t="s">
        <v>2395</v>
      </c>
      <c r="P92" s="392" t="s">
        <v>2402</v>
      </c>
      <c r="Q92" s="1" t="s">
        <v>1990</v>
      </c>
    </row>
    <row r="93" spans="1:17" x14ac:dyDescent="0.2">
      <c r="A93" s="1796" t="s">
        <v>1776</v>
      </c>
      <c r="B93" s="1199"/>
      <c r="C93" s="5"/>
      <c r="D93" s="536"/>
      <c r="E93" s="652"/>
      <c r="F93" s="1199"/>
      <c r="G93" s="5"/>
      <c r="H93" s="659"/>
      <c r="J93" s="1199"/>
      <c r="K93" s="5"/>
      <c r="O93" s="5"/>
    </row>
    <row r="94" spans="1:17" ht="13.5" x14ac:dyDescent="0.2">
      <c r="A94" s="1741" t="s">
        <v>46</v>
      </c>
      <c r="B94" s="1199">
        <f>B92/2000*tonTOMg*B27+(B44*B27/B24)</f>
        <v>1247347.3871596234</v>
      </c>
      <c r="C94" s="536" t="s">
        <v>168</v>
      </c>
      <c r="D94" s="536"/>
      <c r="E94" s="652"/>
      <c r="F94" s="1199">
        <f>F92/2000*tonTOMg*F27+(F44*F27/F24)</f>
        <v>1222594.6758421299</v>
      </c>
      <c r="G94" s="536" t="s">
        <v>168</v>
      </c>
      <c r="H94" s="659"/>
      <c r="J94" s="1199">
        <f>J92/2000*tonTOMg*J27+(J44*J27/J24)</f>
        <v>1192266.5309843782</v>
      </c>
      <c r="K94" s="536" t="s">
        <v>168</v>
      </c>
      <c r="N94" s="1199">
        <f>N92/2000*tonTOMg*N27+(N44*N27/N24)</f>
        <v>1203088.624750881</v>
      </c>
      <c r="O94" s="536" t="s">
        <v>168</v>
      </c>
    </row>
    <row r="95" spans="1:17" ht="13.5" x14ac:dyDescent="0.2">
      <c r="A95" s="1741" t="s">
        <v>47</v>
      </c>
      <c r="B95" s="1199">
        <f>B92/2000*tonTOMg*B32+(B44*B33/B24)</f>
        <v>2052951.9821336423</v>
      </c>
      <c r="C95" s="536" t="s">
        <v>168</v>
      </c>
      <c r="D95" s="536"/>
      <c r="E95" s="652"/>
      <c r="F95" s="1199">
        <f>F92/2000*tonTOMg*F32+(F44*F33/F24)</f>
        <v>2017836.2683589105</v>
      </c>
      <c r="G95" s="536" t="s">
        <v>168</v>
      </c>
      <c r="H95" s="659"/>
      <c r="J95" s="1199">
        <f>J92/2000*tonTOMg*J32+(J44*J33/J24)</f>
        <v>1962225.7102861432</v>
      </c>
      <c r="K95" s="536" t="s">
        <v>168</v>
      </c>
      <c r="N95" s="1199">
        <f>N92/2000*tonTOMg*N32+(N44*N33/N24)</f>
        <v>2048328.4349441598</v>
      </c>
      <c r="O95" s="536" t="s">
        <v>168</v>
      </c>
    </row>
    <row r="96" spans="1:17" ht="13.5" x14ac:dyDescent="0.2">
      <c r="A96" s="1741" t="s">
        <v>48</v>
      </c>
      <c r="B96" s="1199">
        <f>B92/2000*tonTOMg*B38+(B44*B43/B24)</f>
        <v>434884.29062148335</v>
      </c>
      <c r="C96" s="536" t="s">
        <v>168</v>
      </c>
      <c r="D96" s="536"/>
      <c r="E96" s="652"/>
      <c r="F96" s="1199">
        <f>F92/2000*tonTOMg*F38+(F44*F43/F24)</f>
        <v>428137.94354958279</v>
      </c>
      <c r="G96" s="536" t="s">
        <v>168</v>
      </c>
      <c r="H96" s="659"/>
      <c r="J96" s="1199">
        <f>J92/2000*tonTOMg*J38+(J44*J43/J24)</f>
        <v>416055.947140139</v>
      </c>
      <c r="K96" s="536" t="s">
        <v>168</v>
      </c>
      <c r="N96" s="1199">
        <f>N92/2000*tonTOMg*N38+(N44*N43/N24)</f>
        <v>487529.15547803196</v>
      </c>
      <c r="O96" s="536" t="s">
        <v>168</v>
      </c>
    </row>
    <row r="97" spans="1:15" ht="13.5" x14ac:dyDescent="0.2">
      <c r="A97" s="1741" t="s">
        <v>1777</v>
      </c>
      <c r="B97" s="1797">
        <f>SUM(B94:B96)</f>
        <v>3735183.6599147492</v>
      </c>
      <c r="C97" s="536" t="s">
        <v>168</v>
      </c>
      <c r="D97" s="536"/>
      <c r="E97" s="652"/>
      <c r="F97" s="1797">
        <f>SUM(F94:F96)</f>
        <v>3668568.8877506228</v>
      </c>
      <c r="G97" s="536" t="s">
        <v>168</v>
      </c>
      <c r="H97" s="659"/>
      <c r="J97" s="1797">
        <f>SUM(J94:J96)</f>
        <v>3570548.1884106607</v>
      </c>
      <c r="K97" s="536" t="s">
        <v>168</v>
      </c>
      <c r="N97" s="1797">
        <f>SUM(N94:N96)</f>
        <v>3738946.2151730726</v>
      </c>
      <c r="O97" s="536" t="s">
        <v>168</v>
      </c>
    </row>
    <row r="98" spans="1:15" ht="13.5" x14ac:dyDescent="0.2">
      <c r="A98" s="1741" t="s">
        <v>2421</v>
      </c>
      <c r="B98" s="1199">
        <f>SUM(B28,B34,B39)</f>
        <v>406977.17692065489</v>
      </c>
      <c r="C98" s="536" t="s">
        <v>168</v>
      </c>
      <c r="D98" s="536"/>
      <c r="E98" s="652"/>
      <c r="F98" s="1199">
        <f>SUM(F28,F34,F39)</f>
        <v>136428.56476465208</v>
      </c>
      <c r="G98" s="536" t="s">
        <v>168</v>
      </c>
      <c r="H98" s="659"/>
      <c r="J98" s="1199">
        <f>SUM(J28,J34,J39)</f>
        <v>204760.01141024943</v>
      </c>
      <c r="K98" s="536" t="s">
        <v>168</v>
      </c>
      <c r="N98" s="1199">
        <f>SUM(N28,N34,N39)</f>
        <v>224887.61321289049</v>
      </c>
      <c r="O98" s="536" t="s">
        <v>168</v>
      </c>
    </row>
    <row r="99" spans="1:15" x14ac:dyDescent="0.2">
      <c r="A99" s="629" t="s">
        <v>2417</v>
      </c>
      <c r="B99" s="2315">
        <f>B98/B97</f>
        <v>0.10895774183429138</v>
      </c>
      <c r="C99" s="536"/>
      <c r="D99" s="536"/>
      <c r="E99" s="652"/>
      <c r="F99" s="2315">
        <f>F98/F97</f>
        <v>3.7188497460191636E-2</v>
      </c>
      <c r="G99" s="536"/>
      <c r="H99" s="659"/>
      <c r="J99" s="2315">
        <f>J98/J97</f>
        <v>5.7346939630968312E-2</v>
      </c>
      <c r="K99" s="536"/>
      <c r="N99" s="2315">
        <f>N98/N97</f>
        <v>6.0147325013735355E-2</v>
      </c>
      <c r="O99" s="536"/>
    </row>
    <row r="100" spans="1:15" x14ac:dyDescent="0.2">
      <c r="A100" s="629"/>
      <c r="B100" s="1797"/>
      <c r="C100" s="536"/>
      <c r="D100" s="536"/>
      <c r="E100" s="652"/>
      <c r="F100" s="1797"/>
      <c r="G100" s="536"/>
      <c r="H100" s="659"/>
      <c r="J100" s="1797"/>
      <c r="K100" s="536"/>
      <c r="N100" s="1797"/>
      <c r="O100" s="536"/>
    </row>
    <row r="101" spans="1:15" x14ac:dyDescent="0.2">
      <c r="A101" s="1796" t="s">
        <v>1778</v>
      </c>
      <c r="B101" s="1199"/>
      <c r="C101" s="536"/>
      <c r="D101" s="536"/>
      <c r="E101" s="652"/>
      <c r="F101" s="1351"/>
      <c r="G101" s="536"/>
      <c r="H101" s="659"/>
      <c r="J101" s="1199"/>
      <c r="K101" s="536"/>
      <c r="O101" s="536"/>
    </row>
    <row r="102" spans="1:15" ht="13.5" x14ac:dyDescent="0.2">
      <c r="A102" s="1741" t="s">
        <v>46</v>
      </c>
      <c r="B102" s="1199">
        <f>B92/2000*tonTOMg*B64+(B82*B64/B60)</f>
        <v>2104788.2054979648</v>
      </c>
      <c r="C102" s="536" t="s">
        <v>168</v>
      </c>
      <c r="D102" s="536"/>
      <c r="E102" s="652"/>
      <c r="F102" s="1351">
        <f>F92/2000*tonTOMg*F64+(F82*F64/F60)</f>
        <v>2133073.2005291623</v>
      </c>
      <c r="G102" s="536" t="s">
        <v>168</v>
      </c>
      <c r="H102" s="659"/>
      <c r="J102" s="1199">
        <f>J92/2000*tonTOMg*J64+(J82*J64/J60)</f>
        <v>2058146.040603816</v>
      </c>
      <c r="K102" s="536" t="s">
        <v>168</v>
      </c>
      <c r="N102" s="1199">
        <f>N92/2000*tonTOMg*N64+(N82*N64/N60)</f>
        <v>2166478.2760092081</v>
      </c>
      <c r="O102" s="536" t="s">
        <v>168</v>
      </c>
    </row>
    <row r="103" spans="1:15" ht="13.5" x14ac:dyDescent="0.2">
      <c r="A103" s="1741" t="s">
        <v>47</v>
      </c>
      <c r="B103" s="1199">
        <f>B92/2000*tonTOMg*B69+(B82*B70/B60)</f>
        <v>2201704.8471357105</v>
      </c>
      <c r="C103" s="536" t="s">
        <v>168</v>
      </c>
      <c r="D103" s="536"/>
      <c r="E103" s="652"/>
      <c r="F103" s="1351">
        <f>F92/2000*tonTOMg*F69+(F82*F70/F60)</f>
        <v>2329060.2368773874</v>
      </c>
      <c r="G103" s="536" t="s">
        <v>168</v>
      </c>
      <c r="H103" s="659"/>
      <c r="J103" s="1199">
        <f>J92/2000*tonTOMg*J69+(J82*J70/J60)</f>
        <v>2249070.0796070253</v>
      </c>
      <c r="K103" s="536" t="s">
        <v>168</v>
      </c>
      <c r="N103" s="1199">
        <f>N92/2000*tonTOMg*N69+(N82*N70/N60)</f>
        <v>2426134.1494569024</v>
      </c>
      <c r="O103" s="536" t="s">
        <v>168</v>
      </c>
    </row>
    <row r="104" spans="1:15" ht="13.5" x14ac:dyDescent="0.2">
      <c r="A104" s="1741" t="s">
        <v>48</v>
      </c>
      <c r="B104" s="1199">
        <f>B92/2000*tonTOMg*B75+(B82*B81/B60)</f>
        <v>576600.42468163976</v>
      </c>
      <c r="C104" s="536" t="s">
        <v>168</v>
      </c>
      <c r="D104" s="536"/>
      <c r="E104" s="652"/>
      <c r="F104" s="1351">
        <f>F92/2000*tonTOMg*F75+(F82*F81/F60)</f>
        <v>506650.29467538296</v>
      </c>
      <c r="G104" s="536" t="s">
        <v>168</v>
      </c>
      <c r="H104" s="659"/>
      <c r="J104" s="1199">
        <f>J92/2000*tonTOMg*J75+(J82*J81/J60)</f>
        <v>444246.33292414737</v>
      </c>
      <c r="K104" s="536" t="s">
        <v>168</v>
      </c>
      <c r="N104" s="1199">
        <f>N92/2000*tonTOMg*N75+(N82*N81/N60)</f>
        <v>484631.33429950371</v>
      </c>
      <c r="O104" s="536" t="s">
        <v>168</v>
      </c>
    </row>
    <row r="105" spans="1:15" ht="13.5" x14ac:dyDescent="0.2">
      <c r="A105" s="1741" t="s">
        <v>1777</v>
      </c>
      <c r="B105" s="1797">
        <f>SUM(B102:B104)</f>
        <v>4883093.4773153141</v>
      </c>
      <c r="C105" s="536" t="s">
        <v>168</v>
      </c>
      <c r="D105" s="536"/>
      <c r="E105" s="652"/>
      <c r="F105" s="2499">
        <f>SUM(F102:F104)</f>
        <v>4968783.732081932</v>
      </c>
      <c r="G105" s="536" t="s">
        <v>168</v>
      </c>
      <c r="H105" s="659"/>
      <c r="J105" s="1797">
        <f>SUM(J102:J104)</f>
        <v>4751462.4531349884</v>
      </c>
      <c r="K105" s="536" t="s">
        <v>168</v>
      </c>
      <c r="N105" s="1797">
        <f>SUM(N102:N104)</f>
        <v>5077243.7597656148</v>
      </c>
      <c r="O105" s="536" t="s">
        <v>168</v>
      </c>
    </row>
    <row r="106" spans="1:15" ht="13.5" x14ac:dyDescent="0.2">
      <c r="A106" s="1741" t="s">
        <v>2416</v>
      </c>
      <c r="B106" s="1199">
        <f>SUM(B66,B72,B77)</f>
        <v>4933412.9649293441</v>
      </c>
      <c r="C106" s="536" t="s">
        <v>168</v>
      </c>
      <c r="D106" s="536"/>
      <c r="E106" s="652"/>
      <c r="F106" s="1351">
        <f>SUM(F66,F72,F77)</f>
        <v>5567465.8108436512</v>
      </c>
      <c r="G106" s="536" t="s">
        <v>168</v>
      </c>
      <c r="H106" s="659"/>
      <c r="J106" s="1199">
        <f>SUM(J66,J72,J77)</f>
        <v>6119263.1746160416</v>
      </c>
      <c r="K106" s="536" t="s">
        <v>168</v>
      </c>
      <c r="N106" s="1199">
        <f>SUM(N66,N72,N77)</f>
        <v>5958639.1209286386</v>
      </c>
      <c r="O106" s="536" t="s">
        <v>168</v>
      </c>
    </row>
    <row r="107" spans="1:15" x14ac:dyDescent="0.2">
      <c r="A107" s="629" t="s">
        <v>2417</v>
      </c>
      <c r="B107" s="1797">
        <f>B106/B105</f>
        <v>1.010304838080162</v>
      </c>
      <c r="C107" s="5"/>
      <c r="D107" s="536"/>
      <c r="E107" s="652"/>
      <c r="F107" s="2499">
        <f>F106/F105</f>
        <v>1.1204886569918933</v>
      </c>
      <c r="G107" s="5"/>
      <c r="H107" s="659"/>
      <c r="J107" s="1797">
        <f>J106/J105</f>
        <v>1.2878694159897204</v>
      </c>
      <c r="K107" s="5"/>
      <c r="N107" s="2316">
        <f>N106/N105</f>
        <v>1.1735972119652007</v>
      </c>
      <c r="O107" s="5"/>
    </row>
    <row r="108" spans="1:15" x14ac:dyDescent="0.2">
      <c r="B108" s="2510"/>
      <c r="C108" s="536"/>
      <c r="D108" s="536"/>
      <c r="E108" s="652"/>
      <c r="F108" s="2510"/>
      <c r="G108" s="659"/>
      <c r="H108" s="659"/>
      <c r="J108" s="2510"/>
      <c r="N108" s="2510"/>
      <c r="O108" s="5"/>
    </row>
    <row r="109" spans="1:15" x14ac:dyDescent="0.2">
      <c r="A109" s="1796" t="s">
        <v>2422</v>
      </c>
      <c r="C109" s="536"/>
      <c r="D109" s="536"/>
      <c r="E109" s="652"/>
      <c r="G109" s="659"/>
      <c r="H109" s="659"/>
      <c r="O109" s="5"/>
    </row>
    <row r="110" spans="1:15" x14ac:dyDescent="0.2">
      <c r="A110" s="1" t="s">
        <v>1777</v>
      </c>
      <c r="B110" s="626">
        <f>SUM(B97,B105)</f>
        <v>8618277.1372300629</v>
      </c>
      <c r="C110" s="536"/>
      <c r="D110" s="536"/>
      <c r="E110" s="652"/>
      <c r="F110" s="626">
        <f>SUM(F97,F105)</f>
        <v>8637352.6198325548</v>
      </c>
      <c r="G110" s="659"/>
      <c r="H110" s="659"/>
      <c r="J110" s="626">
        <f>SUM(J97,J105)</f>
        <v>8322010.6415456496</v>
      </c>
      <c r="N110" s="626">
        <f>SUM(N97,N105)</f>
        <v>8816189.9749386869</v>
      </c>
      <c r="O110" s="5"/>
    </row>
    <row r="111" spans="1:15" x14ac:dyDescent="0.2">
      <c r="A111" s="1" t="s">
        <v>2416</v>
      </c>
      <c r="B111" s="626">
        <f>SUM(B98,B106)</f>
        <v>5340390.1418499993</v>
      </c>
      <c r="C111" s="536"/>
      <c r="D111" s="536"/>
      <c r="E111" s="652"/>
      <c r="F111" s="626">
        <f>SUM(F98,F106)</f>
        <v>5703894.3756083036</v>
      </c>
      <c r="G111" s="659"/>
      <c r="H111" s="659"/>
      <c r="J111" s="626">
        <f>SUM(J98,J106)</f>
        <v>6324023.186026291</v>
      </c>
      <c r="N111" s="626">
        <f>SUM(N98,N106)</f>
        <v>6183526.7341415295</v>
      </c>
      <c r="O111" s="5"/>
    </row>
    <row r="112" spans="1:15" x14ac:dyDescent="0.2">
      <c r="B112" s="2509">
        <f>(B110-B111)/B111</f>
        <v>0.61379167220253861</v>
      </c>
      <c r="C112" s="536"/>
      <c r="D112" s="536"/>
      <c r="E112" s="652"/>
      <c r="F112" s="2509">
        <f>(F110-F111)/F111</f>
        <v>0.51429042178071649</v>
      </c>
      <c r="G112" s="659"/>
      <c r="H112" s="659"/>
      <c r="J112" s="2509">
        <f>(J110-J111)/J111</f>
        <v>0.31593613697276729</v>
      </c>
      <c r="N112" s="2509">
        <f>(N110-N111)/N111</f>
        <v>0.42575432338009533</v>
      </c>
      <c r="O112" s="5"/>
    </row>
    <row r="113" spans="1:15" x14ac:dyDescent="0.2">
      <c r="C113" s="536"/>
      <c r="D113" s="536"/>
      <c r="E113" s="652"/>
      <c r="G113" s="659"/>
      <c r="H113" s="659"/>
      <c r="O113" s="5"/>
    </row>
    <row r="114" spans="1:15" x14ac:dyDescent="0.2">
      <c r="C114" s="536"/>
      <c r="D114" s="536"/>
      <c r="E114" s="652"/>
      <c r="G114" s="659"/>
      <c r="H114" s="659"/>
      <c r="O114" s="5"/>
    </row>
    <row r="115" spans="1:15" x14ac:dyDescent="0.2">
      <c r="C115" s="536"/>
      <c r="D115" s="536"/>
      <c r="E115" s="652"/>
      <c r="G115" s="659"/>
      <c r="H115" s="659"/>
      <c r="O115" s="5"/>
    </row>
    <row r="116" spans="1:15" x14ac:dyDescent="0.2">
      <c r="B116" s="626">
        <v>2003</v>
      </c>
      <c r="C116" s="536">
        <v>2008</v>
      </c>
      <c r="D116" s="536">
        <v>2010</v>
      </c>
      <c r="E116" s="652">
        <v>2015</v>
      </c>
      <c r="G116" s="659"/>
      <c r="H116" s="659"/>
      <c r="O116" s="5"/>
    </row>
    <row r="117" spans="1:15" x14ac:dyDescent="0.2">
      <c r="A117" s="1" t="s">
        <v>2423</v>
      </c>
      <c r="B117" s="626">
        <f>B111</f>
        <v>5340390.1418499993</v>
      </c>
      <c r="C117" s="626">
        <f>F111</f>
        <v>5703894.3756083036</v>
      </c>
      <c r="D117" s="558">
        <f>J111</f>
        <v>6324023.186026291</v>
      </c>
      <c r="E117" s="897">
        <f>N111</f>
        <v>6183526.7341415295</v>
      </c>
      <c r="G117" s="659"/>
      <c r="H117" s="659"/>
      <c r="O117" s="5"/>
    </row>
    <row r="118" spans="1:15" x14ac:dyDescent="0.2">
      <c r="A118" s="1" t="s">
        <v>2424</v>
      </c>
      <c r="B118" s="626">
        <f>B110</f>
        <v>8618277.1372300629</v>
      </c>
      <c r="C118" s="626">
        <f>F110</f>
        <v>8637352.6198325548</v>
      </c>
      <c r="D118" s="558">
        <f>J110</f>
        <v>8322010.6415456496</v>
      </c>
      <c r="E118" s="897">
        <f>N110</f>
        <v>8816189.9749386869</v>
      </c>
      <c r="G118" s="659"/>
      <c r="H118" s="659"/>
      <c r="O118" s="5"/>
    </row>
    <row r="119" spans="1:15" x14ac:dyDescent="0.2">
      <c r="C119" s="536"/>
      <c r="D119" s="536"/>
      <c r="E119" s="652"/>
      <c r="G119" s="659"/>
      <c r="H119" s="659"/>
      <c r="O119" s="5"/>
    </row>
    <row r="120" spans="1:15" x14ac:dyDescent="0.2">
      <c r="C120" s="536"/>
      <c r="D120" s="536"/>
      <c r="E120" s="652"/>
      <c r="G120" s="659"/>
      <c r="H120" s="659"/>
      <c r="O120" s="5"/>
    </row>
    <row r="121" spans="1:15" x14ac:dyDescent="0.2">
      <c r="A121" s="1" t="s">
        <v>2434</v>
      </c>
      <c r="C121" s="536"/>
      <c r="D121" s="536"/>
      <c r="E121" s="652"/>
      <c r="G121" s="659"/>
      <c r="H121" s="659"/>
      <c r="O121" s="5"/>
    </row>
    <row r="122" spans="1:15" x14ac:dyDescent="0.2">
      <c r="A122" s="1" t="s">
        <v>1778</v>
      </c>
      <c r="B122" s="2511">
        <f>B49</f>
        <v>0.42240487735807475</v>
      </c>
      <c r="C122" s="2512">
        <f>F49</f>
        <v>0.43058804921326344</v>
      </c>
      <c r="D122" s="2512">
        <f>J49</f>
        <v>0.50200754621122423</v>
      </c>
      <c r="E122" s="2514">
        <f>N49</f>
        <v>0.48684029572190662</v>
      </c>
      <c r="G122" s="659"/>
      <c r="H122" s="659"/>
      <c r="O122" s="5"/>
    </row>
    <row r="123" spans="1:15" x14ac:dyDescent="0.2">
      <c r="A123" s="1" t="s">
        <v>1776</v>
      </c>
      <c r="B123" s="2511">
        <f>B8*tonTOMg</f>
        <v>4.2515171148179466E-2</v>
      </c>
      <c r="C123" s="2513">
        <f>F8*tonTOMg</f>
        <v>1.3149574099999999E-2</v>
      </c>
      <c r="D123" s="2513">
        <f>J8*tonTOMg</f>
        <v>2.0670096299999999E-2</v>
      </c>
      <c r="E123" s="2515">
        <f>N8*tonTOMg</f>
        <v>2.3786259599999998E-2</v>
      </c>
      <c r="G123" s="659"/>
      <c r="H123" s="659"/>
      <c r="O123" s="5"/>
    </row>
    <row r="124" spans="1:15" x14ac:dyDescent="0.2">
      <c r="C124" s="536"/>
      <c r="D124" s="536"/>
      <c r="E124" s="652"/>
      <c r="G124" s="659"/>
      <c r="H124" s="659"/>
      <c r="O124" s="5"/>
    </row>
    <row r="125" spans="1:15" x14ac:dyDescent="0.2">
      <c r="C125" s="536"/>
      <c r="D125" s="536"/>
      <c r="E125" s="652"/>
      <c r="G125" s="659"/>
      <c r="H125" s="659"/>
      <c r="O125" s="5"/>
    </row>
    <row r="126" spans="1:15" x14ac:dyDescent="0.2">
      <c r="C126" s="536"/>
      <c r="D126" s="536"/>
      <c r="E126" s="652"/>
      <c r="G126" s="659"/>
      <c r="H126" s="659"/>
      <c r="O126" s="5"/>
    </row>
    <row r="127" spans="1:15" x14ac:dyDescent="0.2">
      <c r="C127" s="536"/>
      <c r="D127" s="536"/>
      <c r="E127" s="652"/>
      <c r="G127" s="659"/>
      <c r="H127" s="659"/>
      <c r="O127" s="5"/>
    </row>
    <row r="128" spans="1:15" x14ac:dyDescent="0.2">
      <c r="C128" s="536"/>
      <c r="D128" s="536"/>
      <c r="E128" s="652"/>
      <c r="G128" s="659"/>
      <c r="H128" s="659"/>
      <c r="O128" s="5"/>
    </row>
    <row r="129" spans="3:15" x14ac:dyDescent="0.2">
      <c r="C129" s="536"/>
      <c r="D129" s="536"/>
      <c r="E129" s="652"/>
      <c r="G129" s="659"/>
      <c r="H129" s="659"/>
      <c r="O129" s="5"/>
    </row>
    <row r="130" spans="3:15" x14ac:dyDescent="0.2">
      <c r="C130" s="536"/>
      <c r="D130" s="536"/>
      <c r="E130" s="652"/>
      <c r="G130" s="659"/>
      <c r="H130" s="659"/>
      <c r="O130" s="5"/>
    </row>
    <row r="131" spans="3:15" x14ac:dyDescent="0.2">
      <c r="C131" s="536"/>
      <c r="D131" s="536"/>
      <c r="E131" s="652"/>
      <c r="G131" s="659"/>
      <c r="H131" s="659"/>
      <c r="O131" s="5"/>
    </row>
    <row r="132" spans="3:15" x14ac:dyDescent="0.2">
      <c r="C132" s="536"/>
      <c r="D132" s="536"/>
      <c r="E132" s="652"/>
      <c r="G132" s="659"/>
      <c r="H132" s="659"/>
      <c r="O132" s="5"/>
    </row>
    <row r="133" spans="3:15" x14ac:dyDescent="0.2">
      <c r="C133" s="536"/>
      <c r="D133" s="536"/>
      <c r="E133" s="652"/>
      <c r="G133" s="659"/>
      <c r="H133" s="659"/>
      <c r="O133" s="5"/>
    </row>
    <row r="134" spans="3:15" x14ac:dyDescent="0.2">
      <c r="C134" s="536"/>
      <c r="D134" s="536"/>
      <c r="E134" s="652"/>
      <c r="G134" s="659"/>
      <c r="H134" s="659"/>
      <c r="O134" s="5"/>
    </row>
    <row r="135" spans="3:15" x14ac:dyDescent="0.2">
      <c r="C135" s="536"/>
      <c r="D135" s="536"/>
      <c r="E135" s="652"/>
      <c r="G135" s="659"/>
      <c r="H135" s="659"/>
      <c r="O135" s="5"/>
    </row>
    <row r="136" spans="3:15" x14ac:dyDescent="0.2">
      <c r="C136" s="536"/>
      <c r="D136" s="536"/>
      <c r="E136" s="652"/>
      <c r="G136" s="659"/>
      <c r="H136" s="659"/>
      <c r="O136" s="5"/>
    </row>
    <row r="137" spans="3:15" x14ac:dyDescent="0.2">
      <c r="C137" s="536"/>
      <c r="D137" s="536"/>
      <c r="E137" s="652"/>
      <c r="G137" s="659"/>
      <c r="H137" s="659"/>
      <c r="O137" s="5"/>
    </row>
    <row r="138" spans="3:15" x14ac:dyDescent="0.2">
      <c r="C138" s="536"/>
      <c r="D138" s="536"/>
      <c r="E138" s="652"/>
      <c r="G138" s="659"/>
      <c r="H138" s="659"/>
      <c r="O138" s="5"/>
    </row>
    <row r="139" spans="3:15" x14ac:dyDescent="0.2">
      <c r="C139" s="536"/>
      <c r="D139" s="536"/>
      <c r="E139" s="652"/>
      <c r="G139" s="659"/>
      <c r="H139" s="659"/>
      <c r="O139" s="5"/>
    </row>
    <row r="140" spans="3:15" x14ac:dyDescent="0.2">
      <c r="C140" s="536"/>
      <c r="D140" s="536"/>
      <c r="E140" s="652"/>
      <c r="G140" s="659"/>
      <c r="H140" s="659"/>
      <c r="O140" s="5"/>
    </row>
    <row r="141" spans="3:15" x14ac:dyDescent="0.2">
      <c r="C141" s="536"/>
      <c r="D141" s="536"/>
      <c r="E141" s="652"/>
      <c r="G141" s="659"/>
      <c r="H141" s="659"/>
      <c r="O141" s="5"/>
    </row>
    <row r="142" spans="3:15" x14ac:dyDescent="0.2">
      <c r="C142" s="536"/>
      <c r="D142" s="536"/>
      <c r="E142" s="652"/>
      <c r="G142" s="659"/>
      <c r="H142" s="659"/>
      <c r="O142" s="5"/>
    </row>
    <row r="143" spans="3:15" x14ac:dyDescent="0.2">
      <c r="C143" s="536"/>
      <c r="D143" s="536"/>
      <c r="E143" s="652"/>
      <c r="G143" s="659"/>
      <c r="H143" s="659"/>
      <c r="O143" s="5"/>
    </row>
    <row r="144" spans="3:15" x14ac:dyDescent="0.2">
      <c r="C144" s="536"/>
      <c r="D144" s="536"/>
      <c r="E144" s="652"/>
      <c r="G144" s="659"/>
      <c r="H144" s="659"/>
      <c r="O144" s="5"/>
    </row>
    <row r="145" spans="3:15" x14ac:dyDescent="0.2">
      <c r="C145" s="536"/>
      <c r="D145" s="536"/>
      <c r="E145" s="652"/>
      <c r="G145" s="659"/>
      <c r="H145" s="659"/>
      <c r="O145" s="5"/>
    </row>
    <row r="146" spans="3:15" x14ac:dyDescent="0.2">
      <c r="C146" s="536"/>
      <c r="D146" s="536"/>
      <c r="E146" s="652"/>
      <c r="G146" s="659"/>
      <c r="H146" s="659"/>
      <c r="O146" s="5"/>
    </row>
    <row r="147" spans="3:15" x14ac:dyDescent="0.2">
      <c r="C147" s="536"/>
      <c r="D147" s="536"/>
      <c r="E147" s="652"/>
      <c r="G147" s="659"/>
      <c r="H147" s="659"/>
      <c r="O147" s="5"/>
    </row>
    <row r="148" spans="3:15" x14ac:dyDescent="0.2">
      <c r="C148" s="536"/>
      <c r="D148" s="536"/>
      <c r="E148" s="652"/>
      <c r="G148" s="659"/>
      <c r="H148" s="659"/>
      <c r="O148" s="5"/>
    </row>
    <row r="149" spans="3:15" x14ac:dyDescent="0.2">
      <c r="C149" s="536"/>
      <c r="D149" s="536"/>
      <c r="E149" s="652"/>
      <c r="G149" s="659"/>
      <c r="H149" s="659"/>
      <c r="O149" s="5"/>
    </row>
    <row r="150" spans="3:15" x14ac:dyDescent="0.2">
      <c r="C150" s="536"/>
      <c r="D150" s="536"/>
      <c r="E150" s="652"/>
      <c r="G150" s="659"/>
      <c r="H150" s="659"/>
      <c r="O150" s="5"/>
    </row>
    <row r="151" spans="3:15" x14ac:dyDescent="0.2">
      <c r="C151" s="536"/>
      <c r="D151" s="536"/>
      <c r="E151" s="652"/>
      <c r="G151" s="659"/>
      <c r="H151" s="659"/>
      <c r="O151" s="5"/>
    </row>
    <row r="152" spans="3:15" x14ac:dyDescent="0.2">
      <c r="C152" s="536"/>
      <c r="D152" s="536"/>
      <c r="E152" s="652"/>
      <c r="G152" s="659"/>
      <c r="H152" s="659"/>
      <c r="O152" s="5"/>
    </row>
    <row r="153" spans="3:15" x14ac:dyDescent="0.2">
      <c r="C153" s="536"/>
      <c r="D153" s="536"/>
      <c r="E153" s="652"/>
      <c r="G153" s="659"/>
      <c r="H153" s="659"/>
      <c r="O153" s="5"/>
    </row>
    <row r="154" spans="3:15" x14ac:dyDescent="0.2">
      <c r="C154" s="536"/>
      <c r="D154" s="536"/>
      <c r="E154" s="652"/>
      <c r="G154" s="659"/>
      <c r="H154" s="659"/>
      <c r="O154" s="5"/>
    </row>
    <row r="155" spans="3:15" x14ac:dyDescent="0.2">
      <c r="C155" s="536"/>
      <c r="D155" s="536"/>
      <c r="E155" s="652"/>
      <c r="G155" s="659"/>
      <c r="H155" s="659"/>
      <c r="O155" s="5"/>
    </row>
    <row r="156" spans="3:15" x14ac:dyDescent="0.2">
      <c r="C156" s="536"/>
      <c r="D156" s="536"/>
      <c r="E156" s="652"/>
      <c r="G156" s="659"/>
      <c r="H156" s="659"/>
      <c r="O156" s="5"/>
    </row>
    <row r="157" spans="3:15" x14ac:dyDescent="0.2">
      <c r="C157" s="536"/>
      <c r="D157" s="536"/>
      <c r="E157" s="652"/>
      <c r="G157" s="659"/>
      <c r="H157" s="659"/>
      <c r="O157" s="5"/>
    </row>
    <row r="158" spans="3:15" x14ac:dyDescent="0.2">
      <c r="C158" s="536"/>
      <c r="D158" s="536"/>
      <c r="E158" s="652"/>
      <c r="G158" s="659"/>
      <c r="H158" s="659"/>
      <c r="O158" s="5"/>
    </row>
    <row r="159" spans="3:15" x14ac:dyDescent="0.2">
      <c r="C159" s="536"/>
      <c r="D159" s="536"/>
      <c r="E159" s="652"/>
      <c r="G159" s="659"/>
      <c r="H159" s="659"/>
      <c r="O159" s="5"/>
    </row>
    <row r="160" spans="3:15" x14ac:dyDescent="0.2">
      <c r="C160" s="536"/>
      <c r="D160" s="536"/>
      <c r="E160" s="652"/>
      <c r="G160" s="659"/>
      <c r="H160" s="659"/>
      <c r="O160" s="5"/>
    </row>
    <row r="161" spans="3:15" x14ac:dyDescent="0.2">
      <c r="C161" s="536"/>
      <c r="D161" s="536"/>
      <c r="E161" s="652"/>
      <c r="G161" s="659"/>
      <c r="H161" s="659"/>
      <c r="O161" s="5"/>
    </row>
    <row r="162" spans="3:15" x14ac:dyDescent="0.2">
      <c r="C162" s="536"/>
      <c r="D162" s="536"/>
      <c r="E162" s="652"/>
      <c r="G162" s="659"/>
      <c r="H162" s="659"/>
      <c r="O162" s="5"/>
    </row>
    <row r="163" spans="3:15" x14ac:dyDescent="0.2">
      <c r="C163" s="536"/>
      <c r="D163" s="536"/>
      <c r="E163" s="652"/>
      <c r="G163" s="659"/>
      <c r="H163" s="659"/>
      <c r="O163" s="5"/>
    </row>
    <row r="164" spans="3:15" x14ac:dyDescent="0.2">
      <c r="C164" s="536"/>
      <c r="D164" s="536"/>
      <c r="E164" s="652"/>
      <c r="G164" s="659"/>
      <c r="H164" s="659"/>
      <c r="O164" s="5"/>
    </row>
    <row r="165" spans="3:15" x14ac:dyDescent="0.2">
      <c r="C165" s="536"/>
      <c r="D165" s="536"/>
      <c r="E165" s="652"/>
      <c r="G165" s="659"/>
      <c r="H165" s="659"/>
      <c r="O165" s="5"/>
    </row>
    <row r="166" spans="3:15" x14ac:dyDescent="0.2">
      <c r="C166" s="536"/>
      <c r="D166" s="536"/>
      <c r="E166" s="652"/>
      <c r="G166" s="659"/>
      <c r="H166" s="659"/>
      <c r="O166" s="5"/>
    </row>
    <row r="167" spans="3:15" x14ac:dyDescent="0.2">
      <c r="C167" s="536"/>
      <c r="D167" s="536"/>
      <c r="E167" s="652"/>
      <c r="G167" s="659"/>
      <c r="H167" s="659"/>
      <c r="O167" s="5"/>
    </row>
    <row r="168" spans="3:15" x14ac:dyDescent="0.2">
      <c r="C168" s="536"/>
      <c r="D168" s="536"/>
      <c r="E168" s="652"/>
      <c r="G168" s="659"/>
      <c r="H168" s="659"/>
      <c r="O168" s="5"/>
    </row>
    <row r="169" spans="3:15" x14ac:dyDescent="0.2">
      <c r="C169" s="536"/>
      <c r="D169" s="536"/>
      <c r="E169" s="652"/>
      <c r="G169" s="659"/>
      <c r="H169" s="659"/>
      <c r="O169" s="5"/>
    </row>
    <row r="170" spans="3:15" x14ac:dyDescent="0.2">
      <c r="C170" s="536"/>
      <c r="D170" s="536"/>
      <c r="E170" s="652"/>
      <c r="G170" s="659"/>
      <c r="H170" s="659"/>
      <c r="O170" s="5"/>
    </row>
    <row r="171" spans="3:15" x14ac:dyDescent="0.2">
      <c r="C171" s="536"/>
      <c r="D171" s="536"/>
      <c r="E171" s="652"/>
      <c r="G171" s="659"/>
      <c r="H171" s="659"/>
      <c r="O171" s="5"/>
    </row>
    <row r="172" spans="3:15" x14ac:dyDescent="0.2">
      <c r="C172" s="536"/>
      <c r="D172" s="536"/>
      <c r="E172" s="652"/>
      <c r="G172" s="659"/>
      <c r="H172" s="659"/>
      <c r="O172" s="5"/>
    </row>
    <row r="173" spans="3:15" x14ac:dyDescent="0.2">
      <c r="C173" s="536"/>
      <c r="D173" s="536"/>
      <c r="E173" s="652"/>
      <c r="G173" s="659"/>
      <c r="H173" s="659"/>
      <c r="O173" s="5"/>
    </row>
    <row r="174" spans="3:15" x14ac:dyDescent="0.2">
      <c r="C174" s="536"/>
      <c r="D174" s="536"/>
      <c r="E174" s="652"/>
      <c r="G174" s="659"/>
      <c r="H174" s="659"/>
      <c r="O174" s="5"/>
    </row>
    <row r="175" spans="3:15" x14ac:dyDescent="0.2">
      <c r="C175" s="536"/>
      <c r="D175" s="536"/>
      <c r="E175" s="652"/>
      <c r="G175" s="659"/>
      <c r="H175" s="659"/>
      <c r="O175" s="5"/>
    </row>
    <row r="176" spans="3:15" x14ac:dyDescent="0.2">
      <c r="C176" s="536"/>
      <c r="D176" s="536"/>
      <c r="E176" s="652"/>
      <c r="G176" s="659"/>
      <c r="H176" s="659"/>
      <c r="O176" s="5"/>
    </row>
    <row r="177" spans="3:15" x14ac:dyDescent="0.2">
      <c r="C177" s="536"/>
      <c r="D177" s="536"/>
      <c r="E177" s="652"/>
      <c r="G177" s="659"/>
      <c r="H177" s="659"/>
      <c r="O177" s="5"/>
    </row>
    <row r="178" spans="3:15" x14ac:dyDescent="0.2">
      <c r="C178" s="536"/>
      <c r="D178" s="536"/>
      <c r="E178" s="652"/>
      <c r="G178" s="659"/>
      <c r="H178" s="659"/>
      <c r="O178" s="5"/>
    </row>
    <row r="179" spans="3:15" x14ac:dyDescent="0.2">
      <c r="C179" s="536"/>
      <c r="D179" s="536"/>
      <c r="E179" s="652"/>
      <c r="G179" s="659"/>
      <c r="H179" s="659"/>
      <c r="O179" s="5"/>
    </row>
    <row r="180" spans="3:15" x14ac:dyDescent="0.2">
      <c r="C180" s="536"/>
      <c r="D180" s="536"/>
      <c r="E180" s="652"/>
      <c r="G180" s="659"/>
      <c r="H180" s="659"/>
      <c r="O180" s="5"/>
    </row>
    <row r="181" spans="3:15" x14ac:dyDescent="0.2">
      <c r="C181" s="536"/>
      <c r="D181" s="536"/>
      <c r="E181" s="652"/>
      <c r="G181" s="659"/>
      <c r="H181" s="659"/>
      <c r="O181" s="5"/>
    </row>
    <row r="182" spans="3:15" x14ac:dyDescent="0.2">
      <c r="C182" s="536"/>
      <c r="D182" s="536"/>
      <c r="E182" s="652"/>
      <c r="G182" s="659"/>
      <c r="H182" s="659"/>
      <c r="O182" s="5"/>
    </row>
    <row r="183" spans="3:15" x14ac:dyDescent="0.2">
      <c r="C183" s="536"/>
      <c r="D183" s="536"/>
      <c r="E183" s="652"/>
      <c r="G183" s="659"/>
      <c r="H183" s="659"/>
      <c r="O183" s="5"/>
    </row>
    <row r="184" spans="3:15" x14ac:dyDescent="0.2">
      <c r="C184" s="536"/>
      <c r="D184" s="536"/>
      <c r="E184" s="652"/>
      <c r="G184" s="659"/>
      <c r="H184" s="659"/>
      <c r="O184" s="5"/>
    </row>
    <row r="185" spans="3:15" x14ac:dyDescent="0.2">
      <c r="C185" s="536"/>
      <c r="D185" s="536"/>
      <c r="E185" s="652"/>
      <c r="G185" s="659"/>
      <c r="H185" s="659"/>
      <c r="O185" s="5"/>
    </row>
    <row r="186" spans="3:15" x14ac:dyDescent="0.2">
      <c r="C186" s="536"/>
      <c r="D186" s="536"/>
      <c r="E186" s="652"/>
      <c r="G186" s="659"/>
      <c r="H186" s="659"/>
      <c r="O186" s="5"/>
    </row>
    <row r="187" spans="3:15" x14ac:dyDescent="0.2">
      <c r="C187" s="536"/>
      <c r="D187" s="536"/>
      <c r="E187" s="652"/>
      <c r="G187" s="659"/>
      <c r="H187" s="659"/>
      <c r="O187" s="5"/>
    </row>
    <row r="188" spans="3:15" x14ac:dyDescent="0.2">
      <c r="C188" s="536"/>
      <c r="D188" s="536"/>
      <c r="E188" s="652"/>
      <c r="G188" s="659"/>
      <c r="H188" s="659"/>
      <c r="O188" s="5"/>
    </row>
    <row r="189" spans="3:15" x14ac:dyDescent="0.2">
      <c r="C189" s="536"/>
      <c r="D189" s="536"/>
      <c r="E189" s="652"/>
      <c r="G189" s="659"/>
      <c r="H189" s="659"/>
      <c r="O189" s="5"/>
    </row>
    <row r="190" spans="3:15" x14ac:dyDescent="0.2">
      <c r="C190" s="536"/>
      <c r="D190" s="536"/>
      <c r="E190" s="652"/>
      <c r="G190" s="659"/>
      <c r="H190" s="659"/>
      <c r="O190" s="5"/>
    </row>
    <row r="191" spans="3:15" x14ac:dyDescent="0.2">
      <c r="C191" s="536"/>
      <c r="D191" s="536"/>
      <c r="E191" s="652"/>
      <c r="G191" s="659"/>
      <c r="H191" s="659"/>
      <c r="O191" s="5"/>
    </row>
    <row r="192" spans="3:15" x14ac:dyDescent="0.2">
      <c r="C192" s="536"/>
      <c r="D192" s="536"/>
      <c r="E192" s="652"/>
      <c r="G192" s="659"/>
      <c r="H192" s="659"/>
      <c r="O192" s="5"/>
    </row>
    <row r="193" spans="3:15" x14ac:dyDescent="0.2">
      <c r="C193" s="536"/>
      <c r="D193" s="536"/>
      <c r="E193" s="652"/>
      <c r="G193" s="659"/>
      <c r="H193" s="659"/>
      <c r="O193" s="5"/>
    </row>
    <row r="194" spans="3:15" x14ac:dyDescent="0.2">
      <c r="C194" s="536"/>
      <c r="D194" s="536"/>
      <c r="E194" s="652"/>
      <c r="G194" s="659"/>
      <c r="H194" s="659"/>
      <c r="O194" s="5"/>
    </row>
    <row r="195" spans="3:15" x14ac:dyDescent="0.2">
      <c r="C195" s="536"/>
      <c r="D195" s="536"/>
      <c r="E195" s="652"/>
      <c r="G195" s="659"/>
      <c r="H195" s="659"/>
      <c r="O195" s="5"/>
    </row>
    <row r="196" spans="3:15" x14ac:dyDescent="0.2">
      <c r="C196" s="536"/>
      <c r="D196" s="536"/>
      <c r="E196" s="652"/>
      <c r="G196" s="659"/>
      <c r="H196" s="659"/>
      <c r="O196" s="5"/>
    </row>
    <row r="197" spans="3:15" x14ac:dyDescent="0.2">
      <c r="C197" s="536"/>
      <c r="D197" s="536"/>
      <c r="E197" s="652"/>
      <c r="G197" s="659"/>
      <c r="H197" s="659"/>
      <c r="O197" s="5"/>
    </row>
    <row r="198" spans="3:15" x14ac:dyDescent="0.2">
      <c r="C198" s="536"/>
      <c r="D198" s="536"/>
      <c r="E198" s="652"/>
      <c r="G198" s="659"/>
      <c r="H198" s="659"/>
      <c r="O198" s="5"/>
    </row>
    <row r="199" spans="3:15" x14ac:dyDescent="0.2">
      <c r="C199" s="536"/>
      <c r="D199" s="536"/>
      <c r="E199" s="652"/>
      <c r="G199" s="659"/>
      <c r="H199" s="659"/>
      <c r="O199" s="5"/>
    </row>
    <row r="200" spans="3:15" x14ac:dyDescent="0.2">
      <c r="C200" s="536"/>
      <c r="D200" s="536"/>
      <c r="E200" s="652"/>
      <c r="G200" s="659"/>
      <c r="H200" s="659"/>
      <c r="O200" s="5"/>
    </row>
    <row r="201" spans="3:15" x14ac:dyDescent="0.2">
      <c r="C201" s="536"/>
      <c r="D201" s="536"/>
      <c r="E201" s="652"/>
      <c r="G201" s="659"/>
      <c r="H201" s="659"/>
      <c r="O201" s="5"/>
    </row>
    <row r="202" spans="3:15" x14ac:dyDescent="0.2">
      <c r="C202" s="536"/>
      <c r="D202" s="536"/>
      <c r="E202" s="652"/>
      <c r="G202" s="659"/>
      <c r="H202" s="659"/>
      <c r="O202" s="5"/>
    </row>
    <row r="203" spans="3:15" x14ac:dyDescent="0.2">
      <c r="C203" s="536"/>
      <c r="D203" s="536"/>
      <c r="E203" s="652"/>
      <c r="G203" s="659"/>
      <c r="H203" s="659"/>
      <c r="O203" s="5"/>
    </row>
    <row r="204" spans="3:15" x14ac:dyDescent="0.2">
      <c r="C204" s="536"/>
      <c r="D204" s="536"/>
      <c r="E204" s="652"/>
      <c r="G204" s="659"/>
      <c r="H204" s="659"/>
      <c r="O204" s="5"/>
    </row>
    <row r="205" spans="3:15" x14ac:dyDescent="0.2">
      <c r="G205" s="659"/>
      <c r="H205" s="659"/>
      <c r="O205" s="5"/>
    </row>
    <row r="206" spans="3:15" x14ac:dyDescent="0.2">
      <c r="G206" s="659"/>
      <c r="H206" s="659"/>
      <c r="O206" s="5"/>
    </row>
    <row r="207" spans="3:15" x14ac:dyDescent="0.2">
      <c r="G207" s="659"/>
      <c r="H207" s="659"/>
      <c r="O207" s="5"/>
    </row>
    <row r="208" spans="3:15" x14ac:dyDescent="0.2">
      <c r="G208" s="659"/>
      <c r="H208" s="659"/>
      <c r="O208" s="5"/>
    </row>
    <row r="209" spans="7:15" x14ac:dyDescent="0.2">
      <c r="G209" s="659"/>
      <c r="H209" s="659"/>
      <c r="O209" s="5"/>
    </row>
    <row r="210" spans="7:15" x14ac:dyDescent="0.2">
      <c r="G210" s="659"/>
      <c r="H210" s="659"/>
      <c r="O210" s="5"/>
    </row>
    <row r="211" spans="7:15" x14ac:dyDescent="0.2">
      <c r="G211" s="659"/>
      <c r="H211" s="659"/>
      <c r="O211" s="5"/>
    </row>
    <row r="212" spans="7:15" x14ac:dyDescent="0.2">
      <c r="G212" s="659"/>
      <c r="H212" s="659"/>
      <c r="O212" s="5"/>
    </row>
    <row r="213" spans="7:15" x14ac:dyDescent="0.2">
      <c r="G213" s="659"/>
      <c r="H213" s="659"/>
      <c r="O213" s="5"/>
    </row>
    <row r="214" spans="7:15" x14ac:dyDescent="0.2">
      <c r="G214" s="659"/>
      <c r="H214" s="659"/>
      <c r="O214" s="5"/>
    </row>
    <row r="215" spans="7:15" x14ac:dyDescent="0.2">
      <c r="G215" s="659"/>
      <c r="H215" s="659"/>
      <c r="O215" s="5"/>
    </row>
    <row r="216" spans="7:15" x14ac:dyDescent="0.2">
      <c r="G216" s="659"/>
      <c r="H216" s="659"/>
      <c r="O216" s="5"/>
    </row>
    <row r="217" spans="7:15" x14ac:dyDescent="0.2">
      <c r="G217" s="659"/>
      <c r="H217" s="659"/>
      <c r="O217" s="5"/>
    </row>
    <row r="218" spans="7:15" x14ac:dyDescent="0.2">
      <c r="G218" s="659"/>
      <c r="H218" s="659"/>
      <c r="O218" s="5"/>
    </row>
    <row r="219" spans="7:15" x14ac:dyDescent="0.2">
      <c r="G219" s="659"/>
      <c r="H219" s="659"/>
      <c r="O219" s="5"/>
    </row>
    <row r="220" spans="7:15" x14ac:dyDescent="0.2">
      <c r="G220" s="659"/>
      <c r="H220" s="659"/>
      <c r="O220" s="5"/>
    </row>
    <row r="221" spans="7:15" x14ac:dyDescent="0.2">
      <c r="G221" s="659"/>
      <c r="H221" s="659"/>
      <c r="O221" s="5"/>
    </row>
    <row r="222" spans="7:15" x14ac:dyDescent="0.2">
      <c r="G222" s="659"/>
      <c r="H222" s="659"/>
      <c r="O222" s="5"/>
    </row>
    <row r="223" spans="7:15" x14ac:dyDescent="0.2">
      <c r="G223" s="659"/>
      <c r="H223" s="659"/>
      <c r="O223" s="5"/>
    </row>
    <row r="224" spans="7:15" x14ac:dyDescent="0.2">
      <c r="G224" s="659"/>
      <c r="H224" s="659"/>
      <c r="O224" s="5"/>
    </row>
    <row r="225" spans="7:15" x14ac:dyDescent="0.2">
      <c r="G225" s="659"/>
      <c r="H225" s="659"/>
      <c r="O225" s="5"/>
    </row>
    <row r="226" spans="7:15" x14ac:dyDescent="0.2">
      <c r="G226" s="659"/>
      <c r="H226" s="659"/>
      <c r="O226" s="5"/>
    </row>
    <row r="227" spans="7:15" x14ac:dyDescent="0.2">
      <c r="G227" s="659"/>
      <c r="H227" s="659"/>
      <c r="O227" s="5"/>
    </row>
    <row r="228" spans="7:15" x14ac:dyDescent="0.2">
      <c r="G228" s="659"/>
      <c r="H228" s="659"/>
      <c r="O228" s="5"/>
    </row>
    <row r="229" spans="7:15" x14ac:dyDescent="0.2">
      <c r="G229" s="659"/>
      <c r="H229" s="659"/>
      <c r="O229" s="5"/>
    </row>
    <row r="230" spans="7:15" x14ac:dyDescent="0.2">
      <c r="G230" s="659"/>
      <c r="H230" s="659"/>
      <c r="O230" s="5"/>
    </row>
    <row r="231" spans="7:15" x14ac:dyDescent="0.2">
      <c r="G231" s="659"/>
      <c r="H231" s="659"/>
      <c r="O231" s="5"/>
    </row>
    <row r="232" spans="7:15" x14ac:dyDescent="0.2">
      <c r="G232" s="659"/>
      <c r="H232" s="659"/>
      <c r="O232" s="5"/>
    </row>
    <row r="233" spans="7:15" x14ac:dyDescent="0.2">
      <c r="G233" s="659"/>
      <c r="H233" s="659"/>
      <c r="O233" s="5"/>
    </row>
    <row r="234" spans="7:15" x14ac:dyDescent="0.2">
      <c r="G234" s="659"/>
      <c r="H234" s="659"/>
      <c r="O234" s="5"/>
    </row>
    <row r="235" spans="7:15" x14ac:dyDescent="0.2">
      <c r="G235" s="659"/>
      <c r="H235" s="659"/>
      <c r="O235" s="5"/>
    </row>
    <row r="236" spans="7:15" x14ac:dyDescent="0.2">
      <c r="G236" s="659"/>
      <c r="H236" s="659"/>
      <c r="O236" s="5"/>
    </row>
    <row r="237" spans="7:15" x14ac:dyDescent="0.2">
      <c r="G237" s="659"/>
      <c r="H237" s="659"/>
      <c r="O237" s="5"/>
    </row>
    <row r="238" spans="7:15" x14ac:dyDescent="0.2">
      <c r="G238" s="659"/>
      <c r="H238" s="659"/>
      <c r="O238" s="5"/>
    </row>
    <row r="239" spans="7:15" x14ac:dyDescent="0.2">
      <c r="G239" s="659"/>
      <c r="H239" s="659"/>
      <c r="O239" s="5"/>
    </row>
    <row r="240" spans="7:15" x14ac:dyDescent="0.2">
      <c r="G240" s="659"/>
      <c r="H240" s="659"/>
      <c r="O240" s="5"/>
    </row>
    <row r="241" spans="7:15" x14ac:dyDescent="0.2">
      <c r="G241" s="659"/>
      <c r="H241" s="659"/>
      <c r="O241" s="5"/>
    </row>
    <row r="242" spans="7:15" x14ac:dyDescent="0.2">
      <c r="G242" s="659"/>
      <c r="H242" s="659"/>
      <c r="O242" s="5"/>
    </row>
    <row r="243" spans="7:15" x14ac:dyDescent="0.2">
      <c r="G243" s="659"/>
      <c r="H243" s="659"/>
      <c r="O243" s="5"/>
    </row>
    <row r="244" spans="7:15" x14ac:dyDescent="0.2">
      <c r="G244" s="659"/>
      <c r="H244" s="659"/>
      <c r="O244" s="5"/>
    </row>
    <row r="245" spans="7:15" x14ac:dyDescent="0.2">
      <c r="G245" s="659"/>
      <c r="H245" s="659"/>
      <c r="O245" s="5"/>
    </row>
    <row r="246" spans="7:15" x14ac:dyDescent="0.2">
      <c r="G246" s="659"/>
      <c r="H246" s="659"/>
      <c r="O246" s="5"/>
    </row>
    <row r="247" spans="7:15" x14ac:dyDescent="0.2">
      <c r="G247" s="659"/>
      <c r="H247" s="659"/>
      <c r="O247" s="5"/>
    </row>
    <row r="248" spans="7:15" x14ac:dyDescent="0.2">
      <c r="G248" s="659"/>
      <c r="H248" s="659"/>
      <c r="O248" s="5"/>
    </row>
    <row r="249" spans="7:15" x14ac:dyDescent="0.2">
      <c r="G249" s="659"/>
      <c r="H249" s="659"/>
      <c r="O249" s="5"/>
    </row>
    <row r="250" spans="7:15" x14ac:dyDescent="0.2">
      <c r="G250" s="659"/>
      <c r="H250" s="659"/>
      <c r="O250" s="5"/>
    </row>
    <row r="251" spans="7:15" x14ac:dyDescent="0.2">
      <c r="G251" s="659"/>
      <c r="H251" s="659"/>
      <c r="O251" s="5"/>
    </row>
    <row r="252" spans="7:15" x14ac:dyDescent="0.2">
      <c r="G252" s="659"/>
      <c r="H252" s="659"/>
      <c r="O252" s="5"/>
    </row>
    <row r="253" spans="7:15" x14ac:dyDescent="0.2">
      <c r="G253" s="659"/>
      <c r="H253" s="659"/>
      <c r="O253" s="5"/>
    </row>
    <row r="254" spans="7:15" x14ac:dyDescent="0.2">
      <c r="G254" s="659"/>
      <c r="H254" s="659"/>
      <c r="O254" s="5"/>
    </row>
    <row r="255" spans="7:15" x14ac:dyDescent="0.2">
      <c r="G255" s="659"/>
      <c r="H255" s="659"/>
      <c r="O255" s="5"/>
    </row>
    <row r="256" spans="7:15" x14ac:dyDescent="0.2">
      <c r="G256" s="659"/>
      <c r="H256" s="659"/>
      <c r="O256" s="5"/>
    </row>
    <row r="257" spans="7:15" x14ac:dyDescent="0.2">
      <c r="G257" s="659"/>
      <c r="H257" s="659"/>
      <c r="O257" s="5"/>
    </row>
    <row r="258" spans="7:15" x14ac:dyDescent="0.2">
      <c r="G258" s="659"/>
      <c r="H258" s="659"/>
      <c r="O258" s="5"/>
    </row>
    <row r="259" spans="7:15" x14ac:dyDescent="0.2">
      <c r="G259" s="659"/>
      <c r="H259" s="659"/>
      <c r="O259" s="5"/>
    </row>
    <row r="260" spans="7:15" x14ac:dyDescent="0.2">
      <c r="G260" s="659"/>
      <c r="H260" s="659"/>
      <c r="O260" s="5"/>
    </row>
    <row r="261" spans="7:15" x14ac:dyDescent="0.2">
      <c r="G261" s="659"/>
      <c r="H261" s="659"/>
      <c r="O261" s="5"/>
    </row>
    <row r="262" spans="7:15" x14ac:dyDescent="0.2">
      <c r="G262" s="659"/>
      <c r="H262" s="659"/>
      <c r="O262" s="5"/>
    </row>
    <row r="263" spans="7:15" x14ac:dyDescent="0.2">
      <c r="G263" s="659"/>
      <c r="H263" s="659"/>
      <c r="O263" s="5"/>
    </row>
    <row r="264" spans="7:15" x14ac:dyDescent="0.2">
      <c r="G264" s="659"/>
      <c r="H264" s="659"/>
      <c r="O264" s="5"/>
    </row>
    <row r="265" spans="7:15" x14ac:dyDescent="0.2">
      <c r="G265" s="659"/>
      <c r="H265" s="659"/>
      <c r="O265" s="5"/>
    </row>
    <row r="266" spans="7:15" x14ac:dyDescent="0.2">
      <c r="G266" s="659"/>
      <c r="H266" s="659"/>
      <c r="O266" s="5"/>
    </row>
    <row r="267" spans="7:15" x14ac:dyDescent="0.2">
      <c r="G267" s="659"/>
      <c r="H267" s="659"/>
      <c r="O267" s="5"/>
    </row>
    <row r="268" spans="7:15" x14ac:dyDescent="0.2">
      <c r="G268" s="659"/>
      <c r="H268" s="659"/>
      <c r="O268" s="5"/>
    </row>
    <row r="269" spans="7:15" x14ac:dyDescent="0.2">
      <c r="G269" s="659"/>
      <c r="H269" s="659"/>
      <c r="O269" s="5"/>
    </row>
    <row r="270" spans="7:15" x14ac:dyDescent="0.2">
      <c r="G270" s="659"/>
      <c r="H270" s="659"/>
      <c r="O270" s="5"/>
    </row>
    <row r="271" spans="7:15" x14ac:dyDescent="0.2">
      <c r="G271" s="659"/>
      <c r="H271" s="659"/>
      <c r="O271" s="5"/>
    </row>
    <row r="272" spans="7:15" x14ac:dyDescent="0.2">
      <c r="G272" s="659"/>
      <c r="H272" s="659"/>
      <c r="O272" s="5"/>
    </row>
    <row r="273" spans="7:15" x14ac:dyDescent="0.2">
      <c r="G273" s="659"/>
      <c r="H273" s="659"/>
      <c r="O273" s="5"/>
    </row>
    <row r="274" spans="7:15" x14ac:dyDescent="0.2">
      <c r="G274" s="659"/>
      <c r="H274" s="659"/>
      <c r="O274" s="5"/>
    </row>
    <row r="275" spans="7:15" x14ac:dyDescent="0.2">
      <c r="G275" s="659"/>
      <c r="H275" s="659"/>
      <c r="O275" s="5"/>
    </row>
    <row r="276" spans="7:15" x14ac:dyDescent="0.2">
      <c r="G276" s="659"/>
      <c r="H276" s="659"/>
      <c r="O276" s="5"/>
    </row>
    <row r="277" spans="7:15" x14ac:dyDescent="0.2">
      <c r="G277" s="659"/>
      <c r="H277" s="659"/>
      <c r="O277" s="5"/>
    </row>
    <row r="278" spans="7:15" x14ac:dyDescent="0.2">
      <c r="G278" s="659"/>
      <c r="H278" s="659"/>
      <c r="O278" s="5"/>
    </row>
    <row r="279" spans="7:15" x14ac:dyDescent="0.2">
      <c r="G279" s="659"/>
      <c r="H279" s="659"/>
      <c r="O279" s="5"/>
    </row>
    <row r="280" spans="7:15" x14ac:dyDescent="0.2">
      <c r="G280" s="659"/>
      <c r="H280" s="659"/>
      <c r="O280" s="5"/>
    </row>
    <row r="281" spans="7:15" x14ac:dyDescent="0.2">
      <c r="G281" s="659"/>
      <c r="H281" s="659"/>
      <c r="O281" s="5"/>
    </row>
    <row r="282" spans="7:15" x14ac:dyDescent="0.2">
      <c r="G282" s="659"/>
      <c r="H282" s="659"/>
      <c r="O282" s="5"/>
    </row>
    <row r="283" spans="7:15" x14ac:dyDescent="0.2">
      <c r="G283" s="659"/>
      <c r="H283" s="659"/>
      <c r="O283" s="5"/>
    </row>
    <row r="284" spans="7:15" x14ac:dyDescent="0.2">
      <c r="G284" s="659"/>
      <c r="H284" s="659"/>
      <c r="O284" s="5"/>
    </row>
    <row r="285" spans="7:15" x14ac:dyDescent="0.2">
      <c r="G285" s="659"/>
      <c r="H285" s="659"/>
      <c r="O285" s="5"/>
    </row>
    <row r="286" spans="7:15" x14ac:dyDescent="0.2">
      <c r="G286" s="659"/>
      <c r="H286" s="659"/>
      <c r="O286" s="5"/>
    </row>
    <row r="287" spans="7:15" x14ac:dyDescent="0.2">
      <c r="G287" s="659"/>
      <c r="H287" s="659"/>
      <c r="O287" s="5"/>
    </row>
    <row r="288" spans="7:15" x14ac:dyDescent="0.2">
      <c r="G288" s="659"/>
      <c r="H288" s="659"/>
      <c r="O288" s="5"/>
    </row>
    <row r="289" spans="7:15" x14ac:dyDescent="0.2">
      <c r="G289" s="659"/>
      <c r="H289" s="659"/>
      <c r="O289" s="5"/>
    </row>
    <row r="290" spans="7:15" x14ac:dyDescent="0.2">
      <c r="G290" s="659"/>
      <c r="H290" s="659"/>
      <c r="O290" s="5"/>
    </row>
    <row r="291" spans="7:15" x14ac:dyDescent="0.2">
      <c r="G291" s="659"/>
      <c r="H291" s="659"/>
      <c r="O291" s="5"/>
    </row>
    <row r="292" spans="7:15" x14ac:dyDescent="0.2">
      <c r="G292" s="659"/>
      <c r="H292" s="659"/>
      <c r="O292" s="5"/>
    </row>
    <row r="293" spans="7:15" x14ac:dyDescent="0.2">
      <c r="G293" s="659"/>
      <c r="H293" s="659"/>
      <c r="O293" s="5"/>
    </row>
    <row r="294" spans="7:15" x14ac:dyDescent="0.2">
      <c r="G294" s="659"/>
      <c r="H294" s="659"/>
      <c r="O294" s="5"/>
    </row>
    <row r="295" spans="7:15" x14ac:dyDescent="0.2">
      <c r="G295" s="659"/>
      <c r="H295" s="659"/>
      <c r="O295" s="5"/>
    </row>
    <row r="296" spans="7:15" x14ac:dyDescent="0.2">
      <c r="G296" s="659"/>
      <c r="H296" s="659"/>
      <c r="O296" s="5"/>
    </row>
    <row r="297" spans="7:15" x14ac:dyDescent="0.2">
      <c r="G297" s="659"/>
      <c r="H297" s="659"/>
      <c r="O297" s="5"/>
    </row>
    <row r="298" spans="7:15" x14ac:dyDescent="0.2">
      <c r="G298" s="659"/>
      <c r="H298" s="659"/>
      <c r="O298" s="5"/>
    </row>
    <row r="299" spans="7:15" x14ac:dyDescent="0.2">
      <c r="G299" s="659"/>
      <c r="H299" s="659"/>
      <c r="O299" s="5"/>
    </row>
    <row r="300" spans="7:15" x14ac:dyDescent="0.2">
      <c r="G300" s="659"/>
      <c r="H300" s="659"/>
      <c r="O300" s="5"/>
    </row>
    <row r="301" spans="7:15" x14ac:dyDescent="0.2">
      <c r="G301" s="659"/>
      <c r="H301" s="659"/>
      <c r="O301" s="5"/>
    </row>
    <row r="302" spans="7:15" x14ac:dyDescent="0.2">
      <c r="G302" s="659"/>
      <c r="H302" s="659"/>
      <c r="O302" s="5"/>
    </row>
    <row r="303" spans="7:15" x14ac:dyDescent="0.2">
      <c r="G303" s="659"/>
      <c r="H303" s="659"/>
      <c r="O303" s="5"/>
    </row>
    <row r="304" spans="7:15" x14ac:dyDescent="0.2">
      <c r="G304" s="659"/>
      <c r="H304" s="659"/>
      <c r="O304" s="5"/>
    </row>
    <row r="305" spans="7:15" x14ac:dyDescent="0.2">
      <c r="G305" s="659"/>
      <c r="H305" s="659"/>
      <c r="O305" s="5"/>
    </row>
    <row r="306" spans="7:15" x14ac:dyDescent="0.2">
      <c r="G306" s="659"/>
      <c r="H306" s="659"/>
      <c r="O306" s="5"/>
    </row>
    <row r="307" spans="7:15" x14ac:dyDescent="0.2">
      <c r="G307" s="659"/>
      <c r="H307" s="659"/>
      <c r="O307" s="5"/>
    </row>
    <row r="308" spans="7:15" x14ac:dyDescent="0.2">
      <c r="G308" s="659"/>
      <c r="H308" s="659"/>
      <c r="O308" s="5"/>
    </row>
    <row r="309" spans="7:15" x14ac:dyDescent="0.2">
      <c r="G309" s="659"/>
      <c r="H309" s="659"/>
      <c r="O309" s="5"/>
    </row>
    <row r="310" spans="7:15" x14ac:dyDescent="0.2">
      <c r="G310" s="659"/>
      <c r="H310" s="659"/>
      <c r="O310" s="5"/>
    </row>
    <row r="311" spans="7:15" x14ac:dyDescent="0.2">
      <c r="G311" s="659"/>
      <c r="H311" s="659"/>
      <c r="O311" s="5"/>
    </row>
    <row r="312" spans="7:15" x14ac:dyDescent="0.2">
      <c r="G312" s="659"/>
      <c r="H312" s="659"/>
      <c r="O312" s="5"/>
    </row>
    <row r="313" spans="7:15" x14ac:dyDescent="0.2">
      <c r="G313" s="659"/>
      <c r="H313" s="659"/>
      <c r="O313" s="5"/>
    </row>
    <row r="314" spans="7:15" x14ac:dyDescent="0.2">
      <c r="G314" s="659"/>
      <c r="H314" s="659"/>
      <c r="O314" s="5"/>
    </row>
    <row r="315" spans="7:15" x14ac:dyDescent="0.2">
      <c r="G315" s="659"/>
      <c r="H315" s="659"/>
      <c r="O315" s="5"/>
    </row>
    <row r="316" spans="7:15" x14ac:dyDescent="0.2">
      <c r="G316" s="659"/>
      <c r="H316" s="659"/>
      <c r="O316" s="5"/>
    </row>
    <row r="317" spans="7:15" x14ac:dyDescent="0.2">
      <c r="G317" s="659"/>
      <c r="H317" s="659"/>
      <c r="O317" s="5"/>
    </row>
    <row r="318" spans="7:15" x14ac:dyDescent="0.2">
      <c r="G318" s="659"/>
      <c r="H318" s="659"/>
      <c r="O318" s="5"/>
    </row>
    <row r="319" spans="7:15" x14ac:dyDescent="0.2">
      <c r="G319" s="659"/>
      <c r="H319" s="659"/>
      <c r="O319" s="5"/>
    </row>
    <row r="320" spans="7:15" x14ac:dyDescent="0.2">
      <c r="G320" s="659"/>
      <c r="H320" s="659"/>
      <c r="O320" s="5"/>
    </row>
    <row r="321" spans="7:15" x14ac:dyDescent="0.2">
      <c r="G321" s="659"/>
      <c r="H321" s="659"/>
      <c r="O321" s="5"/>
    </row>
    <row r="322" spans="7:15" x14ac:dyDescent="0.2">
      <c r="G322" s="659"/>
      <c r="H322" s="659"/>
      <c r="O322" s="5"/>
    </row>
    <row r="323" spans="7:15" x14ac:dyDescent="0.2">
      <c r="G323" s="659"/>
      <c r="H323" s="659"/>
      <c r="O323" s="5"/>
    </row>
    <row r="324" spans="7:15" x14ac:dyDescent="0.2">
      <c r="G324" s="659"/>
      <c r="H324" s="659"/>
      <c r="O324" s="5"/>
    </row>
    <row r="325" spans="7:15" x14ac:dyDescent="0.2">
      <c r="G325" s="659"/>
      <c r="H325" s="659"/>
      <c r="O325" s="5"/>
    </row>
    <row r="326" spans="7:15" x14ac:dyDescent="0.2">
      <c r="G326" s="659"/>
      <c r="H326" s="659"/>
      <c r="O326" s="5"/>
    </row>
    <row r="327" spans="7:15" x14ac:dyDescent="0.2">
      <c r="G327" s="659"/>
      <c r="H327" s="659"/>
      <c r="O327" s="5"/>
    </row>
    <row r="328" spans="7:15" x14ac:dyDescent="0.2">
      <c r="G328" s="659"/>
      <c r="H328" s="659"/>
      <c r="O328" s="5"/>
    </row>
    <row r="329" spans="7:15" x14ac:dyDescent="0.2">
      <c r="G329" s="659"/>
      <c r="H329" s="659"/>
      <c r="O329" s="5"/>
    </row>
    <row r="330" spans="7:15" x14ac:dyDescent="0.2">
      <c r="G330" s="659"/>
      <c r="H330" s="659"/>
      <c r="O330" s="5"/>
    </row>
    <row r="331" spans="7:15" x14ac:dyDescent="0.2">
      <c r="G331" s="659"/>
      <c r="H331" s="659"/>
      <c r="O331" s="5"/>
    </row>
    <row r="332" spans="7:15" x14ac:dyDescent="0.2">
      <c r="G332" s="659"/>
      <c r="H332" s="659"/>
      <c r="O332" s="5"/>
    </row>
    <row r="333" spans="7:15" x14ac:dyDescent="0.2">
      <c r="G333" s="659"/>
      <c r="H333" s="659"/>
      <c r="O333" s="5"/>
    </row>
    <row r="334" spans="7:15" x14ac:dyDescent="0.2">
      <c r="G334" s="659"/>
      <c r="H334" s="659"/>
      <c r="O334" s="5"/>
    </row>
    <row r="335" spans="7:15" x14ac:dyDescent="0.2">
      <c r="G335" s="659"/>
      <c r="H335" s="659"/>
      <c r="O335" s="5"/>
    </row>
    <row r="336" spans="7:15" x14ac:dyDescent="0.2">
      <c r="G336" s="659"/>
      <c r="H336" s="659"/>
      <c r="O336" s="5"/>
    </row>
    <row r="337" spans="7:15" x14ac:dyDescent="0.2">
      <c r="G337" s="659"/>
      <c r="H337" s="659"/>
      <c r="O337" s="5"/>
    </row>
    <row r="338" spans="7:15" x14ac:dyDescent="0.2">
      <c r="G338" s="659"/>
      <c r="H338" s="659"/>
      <c r="O338" s="5"/>
    </row>
    <row r="339" spans="7:15" x14ac:dyDescent="0.2">
      <c r="G339" s="659"/>
      <c r="H339" s="659"/>
      <c r="O339" s="5"/>
    </row>
    <row r="340" spans="7:15" x14ac:dyDescent="0.2">
      <c r="G340" s="659"/>
      <c r="H340" s="659"/>
      <c r="O340" s="5"/>
    </row>
    <row r="341" spans="7:15" x14ac:dyDescent="0.2">
      <c r="G341" s="659"/>
      <c r="H341" s="659"/>
      <c r="O341" s="5"/>
    </row>
    <row r="342" spans="7:15" x14ac:dyDescent="0.2">
      <c r="G342" s="659"/>
      <c r="H342" s="659"/>
      <c r="O342" s="5"/>
    </row>
    <row r="343" spans="7:15" x14ac:dyDescent="0.2">
      <c r="G343" s="659"/>
      <c r="H343" s="659"/>
      <c r="O343" s="5"/>
    </row>
    <row r="344" spans="7:15" x14ac:dyDescent="0.2">
      <c r="G344" s="659"/>
      <c r="H344" s="659"/>
      <c r="O344" s="5"/>
    </row>
    <row r="345" spans="7:15" x14ac:dyDescent="0.2">
      <c r="G345" s="659"/>
      <c r="H345" s="659"/>
      <c r="O345" s="5"/>
    </row>
    <row r="346" spans="7:15" x14ac:dyDescent="0.2">
      <c r="G346" s="659"/>
      <c r="H346" s="659"/>
      <c r="O346" s="5"/>
    </row>
    <row r="347" spans="7:15" x14ac:dyDescent="0.2">
      <c r="G347" s="659"/>
      <c r="H347" s="659"/>
      <c r="O347" s="5"/>
    </row>
    <row r="348" spans="7:15" x14ac:dyDescent="0.2">
      <c r="G348" s="659"/>
      <c r="H348" s="659"/>
      <c r="O348" s="5"/>
    </row>
    <row r="349" spans="7:15" x14ac:dyDescent="0.2">
      <c r="G349" s="659"/>
      <c r="H349" s="659"/>
      <c r="O349" s="5"/>
    </row>
    <row r="350" spans="7:15" x14ac:dyDescent="0.2">
      <c r="G350" s="659"/>
      <c r="H350" s="659"/>
      <c r="O350" s="5"/>
    </row>
    <row r="351" spans="7:15" x14ac:dyDescent="0.2">
      <c r="G351" s="659"/>
      <c r="H351" s="659"/>
      <c r="O351" s="5"/>
    </row>
    <row r="352" spans="7:15" x14ac:dyDescent="0.2">
      <c r="G352" s="659"/>
      <c r="H352" s="659"/>
      <c r="O352" s="5"/>
    </row>
    <row r="353" spans="7:15" x14ac:dyDescent="0.2">
      <c r="G353" s="659"/>
      <c r="H353" s="659"/>
      <c r="O353" s="5"/>
    </row>
    <row r="354" spans="7:15" x14ac:dyDescent="0.2">
      <c r="G354" s="659"/>
      <c r="H354" s="659"/>
      <c r="O354" s="5"/>
    </row>
    <row r="355" spans="7:15" x14ac:dyDescent="0.2">
      <c r="G355" s="659"/>
      <c r="H355" s="659"/>
      <c r="O355" s="5"/>
    </row>
    <row r="356" spans="7:15" x14ac:dyDescent="0.2">
      <c r="G356" s="659"/>
      <c r="H356" s="659"/>
      <c r="O356" s="5"/>
    </row>
    <row r="357" spans="7:15" x14ac:dyDescent="0.2">
      <c r="G357" s="659"/>
      <c r="H357" s="659"/>
      <c r="O357" s="5"/>
    </row>
    <row r="358" spans="7:15" x14ac:dyDescent="0.2">
      <c r="G358" s="659"/>
      <c r="H358" s="659"/>
      <c r="O358" s="5"/>
    </row>
    <row r="359" spans="7:15" x14ac:dyDescent="0.2">
      <c r="G359" s="659"/>
      <c r="H359" s="659"/>
      <c r="O359" s="5"/>
    </row>
    <row r="360" spans="7:15" x14ac:dyDescent="0.2">
      <c r="G360" s="659"/>
      <c r="H360" s="659"/>
      <c r="O360" s="5"/>
    </row>
    <row r="361" spans="7:15" x14ac:dyDescent="0.2">
      <c r="G361" s="659"/>
      <c r="H361" s="659"/>
      <c r="O361" s="5"/>
    </row>
    <row r="362" spans="7:15" x14ac:dyDescent="0.2">
      <c r="G362" s="659"/>
      <c r="H362" s="659"/>
      <c r="O362" s="5"/>
    </row>
    <row r="363" spans="7:15" x14ac:dyDescent="0.2">
      <c r="G363" s="659"/>
      <c r="H363" s="659"/>
      <c r="O363" s="5"/>
    </row>
    <row r="364" spans="7:15" x14ac:dyDescent="0.2">
      <c r="G364" s="659"/>
      <c r="H364" s="659"/>
      <c r="O364" s="5"/>
    </row>
    <row r="365" spans="7:15" x14ac:dyDescent="0.2">
      <c r="G365" s="659"/>
      <c r="H365" s="659"/>
      <c r="O365" s="5"/>
    </row>
    <row r="366" spans="7:15" x14ac:dyDescent="0.2">
      <c r="G366" s="659"/>
      <c r="H366" s="659"/>
      <c r="O366" s="5"/>
    </row>
    <row r="367" spans="7:15" x14ac:dyDescent="0.2">
      <c r="G367" s="659"/>
      <c r="H367" s="659"/>
      <c r="O367" s="5"/>
    </row>
    <row r="368" spans="7:15" x14ac:dyDescent="0.2">
      <c r="G368" s="659"/>
      <c r="H368" s="659"/>
      <c r="O368" s="5"/>
    </row>
    <row r="369" spans="7:15" x14ac:dyDescent="0.2">
      <c r="G369" s="659"/>
      <c r="H369" s="659"/>
      <c r="O369" s="5"/>
    </row>
    <row r="370" spans="7:15" x14ac:dyDescent="0.2">
      <c r="G370" s="659"/>
      <c r="H370" s="659"/>
      <c r="O370" s="5"/>
    </row>
    <row r="371" spans="7:15" x14ac:dyDescent="0.2">
      <c r="G371" s="659"/>
      <c r="H371" s="659"/>
      <c r="O371" s="5"/>
    </row>
    <row r="372" spans="7:15" x14ac:dyDescent="0.2">
      <c r="G372" s="659"/>
      <c r="H372" s="659"/>
      <c r="O372" s="5"/>
    </row>
    <row r="373" spans="7:15" x14ac:dyDescent="0.2">
      <c r="G373" s="659"/>
      <c r="H373" s="659"/>
      <c r="O373" s="5"/>
    </row>
    <row r="374" spans="7:15" x14ac:dyDescent="0.2">
      <c r="G374" s="659"/>
      <c r="H374" s="659"/>
      <c r="O374" s="5"/>
    </row>
    <row r="375" spans="7:15" x14ac:dyDescent="0.2">
      <c r="G375" s="659"/>
      <c r="H375" s="659"/>
      <c r="O375" s="5"/>
    </row>
    <row r="376" spans="7:15" x14ac:dyDescent="0.2">
      <c r="G376" s="659"/>
      <c r="H376" s="659"/>
      <c r="O376" s="5"/>
    </row>
    <row r="377" spans="7:15" x14ac:dyDescent="0.2">
      <c r="G377" s="659"/>
      <c r="H377" s="659"/>
      <c r="O377" s="5"/>
    </row>
    <row r="378" spans="7:15" x14ac:dyDescent="0.2">
      <c r="G378" s="659"/>
      <c r="H378" s="659"/>
      <c r="O378" s="5"/>
    </row>
    <row r="379" spans="7:15" x14ac:dyDescent="0.2">
      <c r="G379" s="659"/>
      <c r="H379" s="659"/>
      <c r="O379" s="5"/>
    </row>
    <row r="380" spans="7:15" x14ac:dyDescent="0.2">
      <c r="G380" s="659"/>
      <c r="H380" s="659"/>
      <c r="O380" s="5"/>
    </row>
    <row r="381" spans="7:15" x14ac:dyDescent="0.2">
      <c r="G381" s="659"/>
      <c r="H381" s="659"/>
      <c r="O381" s="5"/>
    </row>
    <row r="382" spans="7:15" x14ac:dyDescent="0.2">
      <c r="G382" s="659"/>
      <c r="H382" s="659"/>
      <c r="O382" s="5"/>
    </row>
    <row r="383" spans="7:15" x14ac:dyDescent="0.2">
      <c r="G383" s="659"/>
      <c r="H383" s="659"/>
      <c r="O383" s="5"/>
    </row>
    <row r="384" spans="7:15" x14ac:dyDescent="0.2">
      <c r="G384" s="659"/>
      <c r="H384" s="659"/>
      <c r="O384" s="5"/>
    </row>
    <row r="385" spans="7:15" x14ac:dyDescent="0.2">
      <c r="G385" s="659"/>
      <c r="H385" s="659"/>
      <c r="O385" s="5"/>
    </row>
    <row r="386" spans="7:15" x14ac:dyDescent="0.2">
      <c r="G386" s="659"/>
      <c r="H386" s="659"/>
      <c r="O386" s="5"/>
    </row>
    <row r="387" spans="7:15" x14ac:dyDescent="0.2">
      <c r="G387" s="659"/>
      <c r="H387" s="659"/>
      <c r="O387" s="5"/>
    </row>
    <row r="388" spans="7:15" x14ac:dyDescent="0.2">
      <c r="G388" s="659"/>
      <c r="H388" s="659"/>
      <c r="O388" s="5"/>
    </row>
    <row r="389" spans="7:15" x14ac:dyDescent="0.2">
      <c r="G389" s="659"/>
      <c r="H389" s="659"/>
      <c r="O389" s="5"/>
    </row>
    <row r="390" spans="7:15" x14ac:dyDescent="0.2">
      <c r="G390" s="659"/>
      <c r="H390" s="659"/>
      <c r="O390" s="5"/>
    </row>
    <row r="391" spans="7:15" x14ac:dyDescent="0.2">
      <c r="G391" s="659"/>
      <c r="H391" s="659"/>
      <c r="O391" s="5"/>
    </row>
    <row r="392" spans="7:15" x14ac:dyDescent="0.2">
      <c r="G392" s="659"/>
      <c r="H392" s="659"/>
      <c r="O392" s="5"/>
    </row>
    <row r="393" spans="7:15" x14ac:dyDescent="0.2">
      <c r="G393" s="659"/>
      <c r="H393" s="659"/>
      <c r="O393" s="5"/>
    </row>
    <row r="394" spans="7:15" x14ac:dyDescent="0.2">
      <c r="G394" s="659"/>
      <c r="H394" s="659"/>
      <c r="O394" s="5"/>
    </row>
    <row r="395" spans="7:15" x14ac:dyDescent="0.2">
      <c r="G395" s="659"/>
      <c r="H395" s="659"/>
      <c r="O395" s="5"/>
    </row>
    <row r="396" spans="7:15" x14ac:dyDescent="0.2">
      <c r="G396" s="659"/>
      <c r="H396" s="659"/>
      <c r="O396" s="5"/>
    </row>
    <row r="397" spans="7:15" x14ac:dyDescent="0.2">
      <c r="G397" s="659"/>
      <c r="H397" s="659"/>
      <c r="O397" s="5"/>
    </row>
    <row r="398" spans="7:15" x14ac:dyDescent="0.2">
      <c r="G398" s="659"/>
      <c r="H398" s="659"/>
      <c r="O398" s="5"/>
    </row>
    <row r="399" spans="7:15" x14ac:dyDescent="0.2">
      <c r="G399" s="659"/>
      <c r="H399" s="659"/>
      <c r="O399" s="5"/>
    </row>
    <row r="400" spans="7:15" x14ac:dyDescent="0.2">
      <c r="G400" s="659"/>
      <c r="H400" s="659"/>
      <c r="O400" s="5"/>
    </row>
    <row r="401" spans="7:15" x14ac:dyDescent="0.2">
      <c r="G401" s="659"/>
      <c r="H401" s="659"/>
      <c r="O401" s="5"/>
    </row>
    <row r="402" spans="7:15" x14ac:dyDescent="0.2">
      <c r="G402" s="659"/>
      <c r="H402" s="659"/>
      <c r="O402" s="5"/>
    </row>
    <row r="403" spans="7:15" x14ac:dyDescent="0.2">
      <c r="G403" s="659"/>
      <c r="H403" s="659"/>
      <c r="O403" s="5"/>
    </row>
    <row r="404" spans="7:15" x14ac:dyDescent="0.2">
      <c r="G404" s="659"/>
      <c r="H404" s="659"/>
      <c r="O404" s="5"/>
    </row>
    <row r="405" spans="7:15" x14ac:dyDescent="0.2">
      <c r="G405" s="659"/>
      <c r="H405" s="659"/>
      <c r="O405" s="5"/>
    </row>
    <row r="406" spans="7:15" x14ac:dyDescent="0.2">
      <c r="G406" s="659"/>
      <c r="H406" s="659"/>
      <c r="O406" s="5"/>
    </row>
    <row r="407" spans="7:15" x14ac:dyDescent="0.2">
      <c r="G407" s="659"/>
      <c r="H407" s="659"/>
      <c r="O407" s="5"/>
    </row>
    <row r="408" spans="7:15" x14ac:dyDescent="0.2">
      <c r="G408" s="659"/>
      <c r="H408" s="659"/>
      <c r="O408" s="5"/>
    </row>
    <row r="409" spans="7:15" x14ac:dyDescent="0.2">
      <c r="G409" s="659"/>
      <c r="H409" s="659"/>
      <c r="O409" s="5"/>
    </row>
    <row r="410" spans="7:15" x14ac:dyDescent="0.2">
      <c r="G410" s="659"/>
      <c r="H410" s="659"/>
      <c r="O410" s="5"/>
    </row>
    <row r="411" spans="7:15" x14ac:dyDescent="0.2">
      <c r="G411" s="659"/>
      <c r="H411" s="659"/>
      <c r="O411" s="5"/>
    </row>
    <row r="412" spans="7:15" x14ac:dyDescent="0.2">
      <c r="G412" s="659"/>
      <c r="H412" s="659"/>
      <c r="O412" s="5"/>
    </row>
    <row r="413" spans="7:15" x14ac:dyDescent="0.2">
      <c r="G413" s="659"/>
      <c r="H413" s="659"/>
      <c r="O413" s="5"/>
    </row>
    <row r="414" spans="7:15" x14ac:dyDescent="0.2">
      <c r="G414" s="659"/>
      <c r="H414" s="659"/>
      <c r="O414" s="5"/>
    </row>
    <row r="415" spans="7:15" x14ac:dyDescent="0.2">
      <c r="G415" s="659"/>
      <c r="H415" s="659"/>
      <c r="O415" s="5"/>
    </row>
    <row r="416" spans="7:15" x14ac:dyDescent="0.2">
      <c r="G416" s="659"/>
      <c r="H416" s="659"/>
      <c r="O416" s="5"/>
    </row>
    <row r="417" spans="7:15" x14ac:dyDescent="0.2">
      <c r="G417" s="659"/>
      <c r="H417" s="659"/>
      <c r="O417" s="5"/>
    </row>
    <row r="418" spans="7:15" x14ac:dyDescent="0.2">
      <c r="G418" s="659"/>
      <c r="H418" s="659"/>
      <c r="O418" s="5"/>
    </row>
    <row r="419" spans="7:15" x14ac:dyDescent="0.2">
      <c r="G419" s="659"/>
      <c r="H419" s="659"/>
      <c r="O419" s="5"/>
    </row>
    <row r="420" spans="7:15" x14ac:dyDescent="0.2">
      <c r="G420" s="659"/>
      <c r="H420" s="659"/>
      <c r="O420" s="5"/>
    </row>
    <row r="421" spans="7:15" x14ac:dyDescent="0.2">
      <c r="G421" s="659"/>
      <c r="H421" s="659"/>
      <c r="O421" s="5"/>
    </row>
    <row r="422" spans="7:15" x14ac:dyDescent="0.2">
      <c r="G422" s="659"/>
      <c r="H422" s="659"/>
      <c r="O422" s="5"/>
    </row>
    <row r="423" spans="7:15" x14ac:dyDescent="0.2">
      <c r="G423" s="659"/>
      <c r="H423" s="659"/>
      <c r="O423" s="5"/>
    </row>
    <row r="424" spans="7:15" x14ac:dyDescent="0.2">
      <c r="G424" s="659"/>
      <c r="H424" s="659"/>
      <c r="O424" s="5"/>
    </row>
    <row r="425" spans="7:15" x14ac:dyDescent="0.2">
      <c r="G425" s="659"/>
      <c r="H425" s="659"/>
      <c r="O425" s="5"/>
    </row>
    <row r="426" spans="7:15" x14ac:dyDescent="0.2">
      <c r="G426" s="659"/>
      <c r="H426" s="659"/>
      <c r="O426" s="5"/>
    </row>
    <row r="427" spans="7:15" x14ac:dyDescent="0.2">
      <c r="G427" s="659"/>
      <c r="H427" s="659"/>
      <c r="O427" s="5"/>
    </row>
    <row r="428" spans="7:15" x14ac:dyDescent="0.2">
      <c r="G428" s="659"/>
      <c r="H428" s="659"/>
      <c r="O428" s="5"/>
    </row>
    <row r="429" spans="7:15" x14ac:dyDescent="0.2">
      <c r="G429" s="659"/>
      <c r="H429" s="659"/>
      <c r="O429" s="5"/>
    </row>
    <row r="430" spans="7:15" x14ac:dyDescent="0.2">
      <c r="G430" s="659"/>
      <c r="H430" s="659"/>
      <c r="O430" s="5"/>
    </row>
    <row r="431" spans="7:15" x14ac:dyDescent="0.2">
      <c r="G431" s="659"/>
      <c r="H431" s="659"/>
      <c r="O431" s="5"/>
    </row>
    <row r="432" spans="7:15" x14ac:dyDescent="0.2">
      <c r="G432" s="659"/>
      <c r="H432" s="659"/>
      <c r="O432" s="5"/>
    </row>
    <row r="433" spans="7:15" x14ac:dyDescent="0.2">
      <c r="G433" s="659"/>
      <c r="H433" s="659"/>
      <c r="O433" s="5"/>
    </row>
    <row r="434" spans="7:15" x14ac:dyDescent="0.2">
      <c r="G434" s="659"/>
      <c r="H434" s="659"/>
      <c r="O434" s="5"/>
    </row>
    <row r="435" spans="7:15" x14ac:dyDescent="0.2">
      <c r="G435" s="659"/>
      <c r="H435" s="659"/>
      <c r="O435" s="5"/>
    </row>
    <row r="436" spans="7:15" x14ac:dyDescent="0.2">
      <c r="G436" s="659"/>
      <c r="H436" s="659"/>
      <c r="O436" s="5"/>
    </row>
    <row r="437" spans="7:15" x14ac:dyDescent="0.2">
      <c r="G437" s="659"/>
      <c r="H437" s="659"/>
      <c r="O437" s="5"/>
    </row>
    <row r="438" spans="7:15" x14ac:dyDescent="0.2">
      <c r="G438" s="659"/>
      <c r="H438" s="659"/>
      <c r="O438" s="5"/>
    </row>
    <row r="439" spans="7:15" x14ac:dyDescent="0.2">
      <c r="G439" s="659"/>
      <c r="H439" s="659"/>
      <c r="O439" s="5"/>
    </row>
    <row r="440" spans="7:15" x14ac:dyDescent="0.2">
      <c r="G440" s="659"/>
      <c r="H440" s="659"/>
      <c r="O440" s="5"/>
    </row>
    <row r="441" spans="7:15" x14ac:dyDescent="0.2">
      <c r="G441" s="659"/>
      <c r="H441" s="659"/>
      <c r="O441" s="5"/>
    </row>
    <row r="442" spans="7:15" x14ac:dyDescent="0.2">
      <c r="G442" s="659"/>
      <c r="H442" s="659"/>
      <c r="O442" s="5"/>
    </row>
    <row r="443" spans="7:15" x14ac:dyDescent="0.2">
      <c r="G443" s="659"/>
      <c r="H443" s="659"/>
      <c r="O443" s="5"/>
    </row>
    <row r="444" spans="7:15" x14ac:dyDescent="0.2">
      <c r="G444" s="659"/>
      <c r="H444" s="659"/>
      <c r="O444" s="5"/>
    </row>
    <row r="445" spans="7:15" x14ac:dyDescent="0.2">
      <c r="G445" s="659"/>
      <c r="H445" s="659"/>
      <c r="O445" s="5"/>
    </row>
    <row r="446" spans="7:15" x14ac:dyDescent="0.2">
      <c r="G446" s="659"/>
      <c r="H446" s="659"/>
      <c r="O446" s="5"/>
    </row>
    <row r="447" spans="7:15" x14ac:dyDescent="0.2">
      <c r="G447" s="659"/>
      <c r="H447" s="659"/>
      <c r="O447" s="5"/>
    </row>
    <row r="448" spans="7:15" x14ac:dyDescent="0.2">
      <c r="G448" s="659"/>
      <c r="H448" s="659"/>
      <c r="O448" s="5"/>
    </row>
    <row r="449" spans="7:15" x14ac:dyDescent="0.2">
      <c r="G449" s="659"/>
      <c r="H449" s="659"/>
      <c r="O449" s="5"/>
    </row>
    <row r="450" spans="7:15" x14ac:dyDescent="0.2">
      <c r="G450" s="659"/>
      <c r="H450" s="659"/>
      <c r="O450" s="5"/>
    </row>
    <row r="451" spans="7:15" x14ac:dyDescent="0.2">
      <c r="G451" s="659"/>
      <c r="H451" s="659"/>
      <c r="O451" s="5"/>
    </row>
    <row r="452" spans="7:15" x14ac:dyDescent="0.2">
      <c r="G452" s="659"/>
      <c r="H452" s="659"/>
      <c r="O452" s="5"/>
    </row>
    <row r="453" spans="7:15" x14ac:dyDescent="0.2">
      <c r="G453" s="659"/>
      <c r="H453" s="659"/>
      <c r="O453" s="5"/>
    </row>
    <row r="454" spans="7:15" x14ac:dyDescent="0.2">
      <c r="G454" s="659"/>
      <c r="H454" s="659"/>
      <c r="O454" s="5"/>
    </row>
    <row r="455" spans="7:15" x14ac:dyDescent="0.2">
      <c r="G455" s="659"/>
      <c r="H455" s="659"/>
      <c r="O455" s="5"/>
    </row>
    <row r="456" spans="7:15" x14ac:dyDescent="0.2">
      <c r="G456" s="659"/>
      <c r="H456" s="659"/>
      <c r="O456" s="5"/>
    </row>
    <row r="457" spans="7:15" x14ac:dyDescent="0.2">
      <c r="G457" s="659"/>
      <c r="H457" s="659"/>
      <c r="O457" s="5"/>
    </row>
    <row r="458" spans="7:15" x14ac:dyDescent="0.2">
      <c r="G458" s="659"/>
      <c r="H458" s="659"/>
      <c r="O458" s="5"/>
    </row>
    <row r="459" spans="7:15" x14ac:dyDescent="0.2">
      <c r="G459" s="659"/>
      <c r="H459" s="659"/>
      <c r="O459" s="5"/>
    </row>
    <row r="460" spans="7:15" x14ac:dyDescent="0.2">
      <c r="G460" s="659"/>
      <c r="H460" s="659"/>
      <c r="O460" s="5"/>
    </row>
    <row r="461" spans="7:15" x14ac:dyDescent="0.2">
      <c r="G461" s="659"/>
      <c r="H461" s="659"/>
      <c r="O461" s="5"/>
    </row>
    <row r="462" spans="7:15" x14ac:dyDescent="0.2">
      <c r="G462" s="659"/>
      <c r="H462" s="659"/>
      <c r="O462" s="5"/>
    </row>
    <row r="463" spans="7:15" x14ac:dyDescent="0.2">
      <c r="G463" s="659"/>
      <c r="H463" s="659"/>
      <c r="O463" s="5"/>
    </row>
    <row r="464" spans="7:15" x14ac:dyDescent="0.2">
      <c r="G464" s="659"/>
      <c r="H464" s="659"/>
      <c r="O464" s="5"/>
    </row>
    <row r="465" spans="7:15" x14ac:dyDescent="0.2">
      <c r="G465" s="659"/>
      <c r="H465" s="659"/>
      <c r="O465" s="5"/>
    </row>
    <row r="466" spans="7:15" x14ac:dyDescent="0.2">
      <c r="G466" s="659"/>
      <c r="H466" s="659"/>
      <c r="O466" s="5"/>
    </row>
    <row r="467" spans="7:15" x14ac:dyDescent="0.2">
      <c r="G467" s="659"/>
      <c r="H467" s="659"/>
      <c r="O467" s="5"/>
    </row>
    <row r="468" spans="7:15" x14ac:dyDescent="0.2">
      <c r="G468" s="659"/>
      <c r="H468" s="659"/>
      <c r="O468" s="5"/>
    </row>
    <row r="469" spans="7:15" x14ac:dyDescent="0.2">
      <c r="G469" s="659"/>
      <c r="H469" s="659"/>
      <c r="O469" s="5"/>
    </row>
    <row r="470" spans="7:15" x14ac:dyDescent="0.2">
      <c r="G470" s="659"/>
      <c r="H470" s="659"/>
      <c r="O470" s="5"/>
    </row>
    <row r="471" spans="7:15" x14ac:dyDescent="0.2">
      <c r="G471" s="659"/>
      <c r="H471" s="659"/>
      <c r="O471" s="5"/>
    </row>
    <row r="472" spans="7:15" x14ac:dyDescent="0.2">
      <c r="G472" s="659"/>
      <c r="H472" s="659"/>
      <c r="O472" s="5"/>
    </row>
    <row r="473" spans="7:15" x14ac:dyDescent="0.2">
      <c r="G473" s="659"/>
      <c r="H473" s="659"/>
      <c r="O473" s="5"/>
    </row>
    <row r="474" spans="7:15" x14ac:dyDescent="0.2">
      <c r="G474" s="659"/>
      <c r="H474" s="659"/>
      <c r="O474" s="5"/>
    </row>
    <row r="475" spans="7:15" x14ac:dyDescent="0.2">
      <c r="G475" s="659"/>
      <c r="H475" s="659"/>
      <c r="O475" s="5"/>
    </row>
    <row r="476" spans="7:15" x14ac:dyDescent="0.2">
      <c r="G476" s="659"/>
      <c r="H476" s="659"/>
      <c r="O476" s="5"/>
    </row>
    <row r="477" spans="7:15" x14ac:dyDescent="0.2">
      <c r="G477" s="659"/>
      <c r="H477" s="659"/>
      <c r="O477" s="5"/>
    </row>
    <row r="478" spans="7:15" x14ac:dyDescent="0.2">
      <c r="G478" s="659"/>
      <c r="H478" s="659"/>
      <c r="O478" s="5"/>
    </row>
    <row r="479" spans="7:15" x14ac:dyDescent="0.2">
      <c r="G479" s="659"/>
      <c r="H479" s="659"/>
      <c r="O479" s="5"/>
    </row>
    <row r="480" spans="7:15" x14ac:dyDescent="0.2">
      <c r="G480" s="659"/>
      <c r="H480" s="659"/>
      <c r="O480" s="5"/>
    </row>
    <row r="481" spans="7:15" x14ac:dyDescent="0.2">
      <c r="G481" s="659"/>
      <c r="H481" s="659"/>
      <c r="O481" s="5"/>
    </row>
    <row r="482" spans="7:15" x14ac:dyDescent="0.2">
      <c r="G482" s="659"/>
      <c r="H482" s="659"/>
      <c r="O482" s="5"/>
    </row>
    <row r="483" spans="7:15" x14ac:dyDescent="0.2">
      <c r="G483" s="659"/>
      <c r="H483" s="659"/>
      <c r="O483" s="5"/>
    </row>
    <row r="484" spans="7:15" x14ac:dyDescent="0.2">
      <c r="G484" s="659"/>
      <c r="H484" s="659"/>
      <c r="O484" s="5"/>
    </row>
    <row r="485" spans="7:15" x14ac:dyDescent="0.2">
      <c r="G485" s="659"/>
      <c r="H485" s="659"/>
      <c r="O485" s="5"/>
    </row>
    <row r="486" spans="7:15" x14ac:dyDescent="0.2">
      <c r="G486" s="659"/>
      <c r="H486" s="659"/>
      <c r="O486" s="5"/>
    </row>
    <row r="487" spans="7:15" x14ac:dyDescent="0.2">
      <c r="G487" s="659"/>
      <c r="H487" s="659"/>
      <c r="O487" s="5"/>
    </row>
    <row r="488" spans="7:15" x14ac:dyDescent="0.2">
      <c r="G488" s="659"/>
      <c r="H488" s="659"/>
      <c r="O488" s="5"/>
    </row>
    <row r="489" spans="7:15" x14ac:dyDescent="0.2">
      <c r="G489" s="659"/>
      <c r="H489" s="659"/>
      <c r="O489" s="5"/>
    </row>
    <row r="490" spans="7:15" x14ac:dyDescent="0.2">
      <c r="G490" s="659"/>
      <c r="H490" s="659"/>
      <c r="O490" s="5"/>
    </row>
    <row r="491" spans="7:15" x14ac:dyDescent="0.2">
      <c r="G491" s="659"/>
      <c r="H491" s="659"/>
      <c r="O491" s="5"/>
    </row>
    <row r="492" spans="7:15" x14ac:dyDescent="0.2">
      <c r="G492" s="659"/>
      <c r="H492" s="659"/>
      <c r="O492" s="5"/>
    </row>
    <row r="493" spans="7:15" x14ac:dyDescent="0.2">
      <c r="G493" s="659"/>
      <c r="H493" s="659"/>
      <c r="O493" s="5"/>
    </row>
    <row r="494" spans="7:15" x14ac:dyDescent="0.2">
      <c r="G494" s="659"/>
      <c r="H494" s="659"/>
      <c r="O494" s="5"/>
    </row>
    <row r="495" spans="7:15" x14ac:dyDescent="0.2">
      <c r="G495" s="659"/>
      <c r="H495" s="659"/>
      <c r="O495" s="5"/>
    </row>
    <row r="496" spans="7:15" x14ac:dyDescent="0.2">
      <c r="G496" s="659"/>
      <c r="H496" s="659"/>
      <c r="O496" s="5"/>
    </row>
    <row r="497" spans="7:15" x14ac:dyDescent="0.2">
      <c r="G497" s="659"/>
      <c r="H497" s="659"/>
      <c r="O497" s="5"/>
    </row>
    <row r="498" spans="7:15" x14ac:dyDescent="0.2">
      <c r="G498" s="659"/>
      <c r="H498" s="659"/>
      <c r="O498" s="5"/>
    </row>
    <row r="499" spans="7:15" x14ac:dyDescent="0.2">
      <c r="G499" s="659"/>
      <c r="H499" s="659"/>
      <c r="O499" s="5"/>
    </row>
    <row r="500" spans="7:15" x14ac:dyDescent="0.2">
      <c r="G500" s="659"/>
      <c r="H500" s="659"/>
      <c r="O500" s="5"/>
    </row>
    <row r="501" spans="7:15" x14ac:dyDescent="0.2">
      <c r="G501" s="659"/>
      <c r="H501" s="659"/>
      <c r="O501" s="5"/>
    </row>
    <row r="502" spans="7:15" x14ac:dyDescent="0.2">
      <c r="G502" s="659"/>
      <c r="H502" s="659"/>
      <c r="O502" s="5"/>
    </row>
    <row r="503" spans="7:15" x14ac:dyDescent="0.2">
      <c r="G503" s="659"/>
      <c r="H503" s="659"/>
      <c r="O503" s="5"/>
    </row>
    <row r="504" spans="7:15" x14ac:dyDescent="0.2">
      <c r="G504" s="659"/>
      <c r="H504" s="659"/>
      <c r="O504" s="5"/>
    </row>
    <row r="505" spans="7:15" x14ac:dyDescent="0.2">
      <c r="G505" s="659"/>
      <c r="H505" s="659"/>
      <c r="O505" s="5"/>
    </row>
    <row r="506" spans="7:15" x14ac:dyDescent="0.2">
      <c r="G506" s="659"/>
      <c r="H506" s="659"/>
      <c r="O506" s="5"/>
    </row>
    <row r="507" spans="7:15" x14ac:dyDescent="0.2">
      <c r="G507" s="659"/>
      <c r="H507" s="659"/>
      <c r="O507" s="5"/>
    </row>
    <row r="508" spans="7:15" x14ac:dyDescent="0.2">
      <c r="G508" s="659"/>
      <c r="H508" s="659"/>
      <c r="O508" s="5"/>
    </row>
    <row r="509" spans="7:15" x14ac:dyDescent="0.2">
      <c r="G509" s="659"/>
      <c r="H509" s="659"/>
      <c r="O509" s="5"/>
    </row>
    <row r="510" spans="7:15" x14ac:dyDescent="0.2">
      <c r="G510" s="659"/>
      <c r="H510" s="659"/>
      <c r="O510" s="5"/>
    </row>
    <row r="511" spans="7:15" x14ac:dyDescent="0.2">
      <c r="G511" s="659"/>
      <c r="H511" s="659"/>
      <c r="O511" s="5"/>
    </row>
    <row r="512" spans="7:15" x14ac:dyDescent="0.2">
      <c r="G512" s="659"/>
      <c r="H512" s="659"/>
      <c r="O512" s="5"/>
    </row>
    <row r="513" spans="7:15" x14ac:dyDescent="0.2">
      <c r="G513" s="659"/>
      <c r="H513" s="659"/>
      <c r="O513" s="5"/>
    </row>
    <row r="514" spans="7:15" x14ac:dyDescent="0.2">
      <c r="G514" s="659"/>
      <c r="H514" s="659"/>
      <c r="O514" s="5"/>
    </row>
    <row r="515" spans="7:15" x14ac:dyDescent="0.2">
      <c r="G515" s="659"/>
      <c r="H515" s="659"/>
      <c r="O515" s="5"/>
    </row>
    <row r="516" spans="7:15" x14ac:dyDescent="0.2">
      <c r="G516" s="659"/>
      <c r="H516" s="659"/>
      <c r="O516" s="5"/>
    </row>
    <row r="517" spans="7:15" x14ac:dyDescent="0.2">
      <c r="G517" s="659"/>
      <c r="H517" s="659"/>
      <c r="O517" s="5"/>
    </row>
    <row r="518" spans="7:15" x14ac:dyDescent="0.2">
      <c r="G518" s="659"/>
      <c r="H518" s="659"/>
      <c r="O518" s="5"/>
    </row>
    <row r="519" spans="7:15" x14ac:dyDescent="0.2">
      <c r="G519" s="659"/>
      <c r="H519" s="659"/>
      <c r="O519" s="5"/>
    </row>
    <row r="520" spans="7:15" x14ac:dyDescent="0.2">
      <c r="G520" s="659"/>
      <c r="H520" s="659"/>
      <c r="O520" s="5"/>
    </row>
    <row r="521" spans="7:15" x14ac:dyDescent="0.2">
      <c r="G521" s="659"/>
      <c r="H521" s="659"/>
      <c r="O521" s="5"/>
    </row>
    <row r="522" spans="7:15" x14ac:dyDescent="0.2">
      <c r="G522" s="659"/>
      <c r="H522" s="659"/>
      <c r="O522" s="5"/>
    </row>
    <row r="523" spans="7:15" x14ac:dyDescent="0.2">
      <c r="G523" s="659"/>
      <c r="H523" s="659"/>
      <c r="O523" s="5"/>
    </row>
    <row r="524" spans="7:15" x14ac:dyDescent="0.2">
      <c r="G524" s="659"/>
      <c r="H524" s="659"/>
      <c r="O524" s="5"/>
    </row>
    <row r="525" spans="7:15" x14ac:dyDescent="0.2">
      <c r="G525" s="659"/>
      <c r="H525" s="659"/>
      <c r="O525" s="5"/>
    </row>
    <row r="526" spans="7:15" x14ac:dyDescent="0.2">
      <c r="G526" s="659"/>
      <c r="H526" s="659"/>
      <c r="O526" s="5"/>
    </row>
    <row r="527" spans="7:15" x14ac:dyDescent="0.2">
      <c r="G527" s="659"/>
      <c r="H527" s="659"/>
      <c r="O527" s="5"/>
    </row>
    <row r="528" spans="7:15" x14ac:dyDescent="0.2">
      <c r="G528" s="659"/>
      <c r="H528" s="659"/>
      <c r="O528" s="5"/>
    </row>
    <row r="529" spans="7:15" x14ac:dyDescent="0.2">
      <c r="G529" s="659"/>
      <c r="H529" s="659"/>
      <c r="O529" s="5"/>
    </row>
    <row r="530" spans="7:15" x14ac:dyDescent="0.2">
      <c r="G530" s="659"/>
      <c r="H530" s="659"/>
      <c r="O530" s="5"/>
    </row>
    <row r="531" spans="7:15" x14ac:dyDescent="0.2">
      <c r="G531" s="659"/>
      <c r="H531" s="659"/>
      <c r="O531" s="5"/>
    </row>
    <row r="532" spans="7:15" x14ac:dyDescent="0.2">
      <c r="G532" s="659"/>
      <c r="H532" s="659"/>
      <c r="O532" s="5"/>
    </row>
    <row r="533" spans="7:15" x14ac:dyDescent="0.2">
      <c r="G533" s="659"/>
      <c r="H533" s="659"/>
      <c r="O533" s="5"/>
    </row>
    <row r="534" spans="7:15" x14ac:dyDescent="0.2">
      <c r="G534" s="659"/>
      <c r="H534" s="659"/>
      <c r="O534" s="5"/>
    </row>
    <row r="535" spans="7:15" x14ac:dyDescent="0.2">
      <c r="G535" s="659"/>
      <c r="H535" s="659"/>
      <c r="O535" s="5"/>
    </row>
    <row r="536" spans="7:15" x14ac:dyDescent="0.2">
      <c r="G536" s="659"/>
      <c r="H536" s="659"/>
      <c r="O536" s="5"/>
    </row>
    <row r="537" spans="7:15" x14ac:dyDescent="0.2">
      <c r="G537" s="659"/>
      <c r="H537" s="659"/>
      <c r="O537" s="5"/>
    </row>
    <row r="538" spans="7:15" x14ac:dyDescent="0.2">
      <c r="G538" s="659"/>
      <c r="H538" s="659"/>
      <c r="O538" s="5"/>
    </row>
    <row r="539" spans="7:15" x14ac:dyDescent="0.2">
      <c r="G539" s="659"/>
      <c r="H539" s="659"/>
      <c r="O539" s="5"/>
    </row>
    <row r="540" spans="7:15" x14ac:dyDescent="0.2">
      <c r="G540" s="659"/>
      <c r="H540" s="659"/>
      <c r="O540" s="5"/>
    </row>
    <row r="541" spans="7:15" x14ac:dyDescent="0.2">
      <c r="G541" s="659"/>
      <c r="H541" s="659"/>
      <c r="O541" s="5"/>
    </row>
    <row r="542" spans="7:15" x14ac:dyDescent="0.2">
      <c r="G542" s="659"/>
      <c r="H542" s="659"/>
      <c r="O542" s="5"/>
    </row>
    <row r="543" spans="7:15" x14ac:dyDescent="0.2">
      <c r="G543" s="659"/>
      <c r="H543" s="659"/>
      <c r="O543" s="5"/>
    </row>
    <row r="544" spans="7:15" x14ac:dyDescent="0.2">
      <c r="G544" s="659"/>
      <c r="H544" s="659"/>
      <c r="O544" s="5"/>
    </row>
    <row r="545" spans="7:15" x14ac:dyDescent="0.2">
      <c r="G545" s="659"/>
      <c r="H545" s="659"/>
      <c r="O545" s="5"/>
    </row>
    <row r="546" spans="7:15" x14ac:dyDescent="0.2">
      <c r="G546" s="659"/>
      <c r="H546" s="659"/>
      <c r="O546" s="5"/>
    </row>
    <row r="547" spans="7:15" x14ac:dyDescent="0.2">
      <c r="G547" s="659"/>
      <c r="H547" s="659"/>
      <c r="O547" s="5"/>
    </row>
    <row r="548" spans="7:15" x14ac:dyDescent="0.2">
      <c r="G548" s="659"/>
      <c r="H548" s="659"/>
      <c r="O548" s="5"/>
    </row>
    <row r="549" spans="7:15" x14ac:dyDescent="0.2">
      <c r="G549" s="659"/>
      <c r="H549" s="659"/>
      <c r="O549" s="5"/>
    </row>
    <row r="550" spans="7:15" x14ac:dyDescent="0.2">
      <c r="G550" s="659"/>
      <c r="H550" s="659"/>
      <c r="O550" s="5"/>
    </row>
    <row r="551" spans="7:15" x14ac:dyDescent="0.2">
      <c r="G551" s="659"/>
      <c r="H551" s="659"/>
      <c r="O551" s="5"/>
    </row>
    <row r="552" spans="7:15" x14ac:dyDescent="0.2">
      <c r="G552" s="659"/>
      <c r="H552" s="659"/>
      <c r="O552" s="5"/>
    </row>
    <row r="553" spans="7:15" x14ac:dyDescent="0.2">
      <c r="G553" s="659"/>
      <c r="H553" s="659"/>
      <c r="O553" s="5"/>
    </row>
    <row r="554" spans="7:15" x14ac:dyDescent="0.2">
      <c r="G554" s="659"/>
      <c r="H554" s="659"/>
      <c r="O554" s="5"/>
    </row>
    <row r="555" spans="7:15" x14ac:dyDescent="0.2">
      <c r="G555" s="659"/>
      <c r="H555" s="659"/>
      <c r="O555" s="5"/>
    </row>
    <row r="556" spans="7:15" x14ac:dyDescent="0.2">
      <c r="G556" s="659"/>
      <c r="H556" s="659"/>
      <c r="O556" s="5"/>
    </row>
    <row r="557" spans="7:15" x14ac:dyDescent="0.2">
      <c r="G557" s="659"/>
      <c r="H557" s="659"/>
      <c r="O557" s="5"/>
    </row>
    <row r="558" spans="7:15" x14ac:dyDescent="0.2">
      <c r="G558" s="659"/>
      <c r="H558" s="659"/>
      <c r="O558" s="5"/>
    </row>
    <row r="559" spans="7:15" x14ac:dyDescent="0.2">
      <c r="G559" s="659"/>
      <c r="H559" s="659"/>
      <c r="O559" s="5"/>
    </row>
    <row r="560" spans="7:15" x14ac:dyDescent="0.2">
      <c r="G560" s="659"/>
      <c r="H560" s="659"/>
      <c r="O560" s="5"/>
    </row>
    <row r="561" spans="7:15" x14ac:dyDescent="0.2">
      <c r="G561" s="659"/>
      <c r="H561" s="659"/>
      <c r="O561" s="5"/>
    </row>
    <row r="562" spans="7:15" x14ac:dyDescent="0.2">
      <c r="G562" s="659"/>
      <c r="H562" s="659"/>
      <c r="O562" s="5"/>
    </row>
    <row r="563" spans="7:15" x14ac:dyDescent="0.2">
      <c r="G563" s="659"/>
      <c r="H563" s="659"/>
      <c r="O563" s="5"/>
    </row>
    <row r="564" spans="7:15" x14ac:dyDescent="0.2">
      <c r="G564" s="659"/>
      <c r="H564" s="659"/>
      <c r="O564" s="5"/>
    </row>
    <row r="565" spans="7:15" x14ac:dyDescent="0.2">
      <c r="G565" s="659"/>
      <c r="H565" s="659"/>
      <c r="O565" s="5"/>
    </row>
    <row r="566" spans="7:15" x14ac:dyDescent="0.2">
      <c r="G566" s="659"/>
      <c r="H566" s="659"/>
      <c r="O566" s="5"/>
    </row>
    <row r="567" spans="7:15" x14ac:dyDescent="0.2">
      <c r="G567" s="659"/>
      <c r="H567" s="659"/>
      <c r="O567" s="5"/>
    </row>
    <row r="568" spans="7:15" x14ac:dyDescent="0.2">
      <c r="G568" s="659"/>
      <c r="H568" s="659"/>
      <c r="O568" s="5"/>
    </row>
    <row r="569" spans="7:15" x14ac:dyDescent="0.2">
      <c r="G569" s="659"/>
      <c r="H569" s="659"/>
      <c r="O569" s="5"/>
    </row>
    <row r="570" spans="7:15" x14ac:dyDescent="0.2">
      <c r="G570" s="659"/>
      <c r="H570" s="659"/>
      <c r="O570" s="5"/>
    </row>
    <row r="571" spans="7:15" x14ac:dyDescent="0.2">
      <c r="G571" s="659"/>
      <c r="H571" s="659"/>
      <c r="O571" s="5"/>
    </row>
    <row r="572" spans="7:15" x14ac:dyDescent="0.2">
      <c r="G572" s="659"/>
      <c r="H572" s="659"/>
      <c r="O572" s="5"/>
    </row>
    <row r="573" spans="7:15" x14ac:dyDescent="0.2">
      <c r="G573" s="659"/>
      <c r="H573" s="659"/>
      <c r="O573" s="5"/>
    </row>
    <row r="574" spans="7:15" x14ac:dyDescent="0.2">
      <c r="G574" s="659"/>
      <c r="H574" s="659"/>
      <c r="O574" s="5"/>
    </row>
    <row r="575" spans="7:15" x14ac:dyDescent="0.2">
      <c r="G575" s="659"/>
      <c r="H575" s="659"/>
      <c r="O575" s="5"/>
    </row>
    <row r="576" spans="7:15" x14ac:dyDescent="0.2">
      <c r="G576" s="659"/>
      <c r="H576" s="659"/>
      <c r="O576" s="5"/>
    </row>
    <row r="577" spans="7:15" x14ac:dyDescent="0.2">
      <c r="G577" s="659"/>
      <c r="H577" s="659"/>
      <c r="O577" s="5"/>
    </row>
    <row r="578" spans="7:15" x14ac:dyDescent="0.2">
      <c r="G578" s="659"/>
      <c r="H578" s="659"/>
      <c r="O578" s="5"/>
    </row>
    <row r="579" spans="7:15" x14ac:dyDescent="0.2">
      <c r="G579" s="659"/>
      <c r="H579" s="659"/>
      <c r="O579" s="5"/>
    </row>
    <row r="580" spans="7:15" x14ac:dyDescent="0.2">
      <c r="G580" s="659"/>
      <c r="H580" s="659"/>
      <c r="O580" s="5"/>
    </row>
    <row r="581" spans="7:15" x14ac:dyDescent="0.2">
      <c r="G581" s="659"/>
      <c r="H581" s="659"/>
      <c r="O581" s="5"/>
    </row>
    <row r="582" spans="7:15" x14ac:dyDescent="0.2">
      <c r="G582" s="659"/>
      <c r="H582" s="659"/>
      <c r="O582" s="5"/>
    </row>
    <row r="583" spans="7:15" x14ac:dyDescent="0.2">
      <c r="G583" s="659"/>
      <c r="H583" s="659"/>
      <c r="O583" s="5"/>
    </row>
    <row r="584" spans="7:15" x14ac:dyDescent="0.2">
      <c r="G584" s="659"/>
      <c r="H584" s="659"/>
      <c r="O584" s="5"/>
    </row>
    <row r="585" spans="7:15" x14ac:dyDescent="0.2">
      <c r="G585" s="659"/>
      <c r="H585" s="659"/>
      <c r="O585" s="5"/>
    </row>
    <row r="586" spans="7:15" x14ac:dyDescent="0.2">
      <c r="G586" s="659"/>
      <c r="H586" s="659"/>
      <c r="O586" s="5"/>
    </row>
    <row r="587" spans="7:15" x14ac:dyDescent="0.2">
      <c r="G587" s="659"/>
      <c r="H587" s="659"/>
      <c r="O587" s="5"/>
    </row>
    <row r="588" spans="7:15" x14ac:dyDescent="0.2">
      <c r="G588" s="659"/>
      <c r="H588" s="659"/>
      <c r="O588" s="5"/>
    </row>
    <row r="589" spans="7:15" x14ac:dyDescent="0.2">
      <c r="G589" s="659"/>
      <c r="H589" s="659"/>
      <c r="O589" s="5"/>
    </row>
    <row r="590" spans="7:15" x14ac:dyDescent="0.2">
      <c r="G590" s="659"/>
      <c r="H590" s="659"/>
      <c r="O590" s="5"/>
    </row>
    <row r="591" spans="7:15" x14ac:dyDescent="0.2">
      <c r="G591" s="659"/>
      <c r="H591" s="659"/>
      <c r="O591" s="5"/>
    </row>
    <row r="592" spans="7:15" x14ac:dyDescent="0.2">
      <c r="G592" s="659"/>
      <c r="H592" s="659"/>
      <c r="O592" s="5"/>
    </row>
    <row r="593" spans="7:15" x14ac:dyDescent="0.2">
      <c r="G593" s="659"/>
      <c r="H593" s="659"/>
      <c r="O593" s="5"/>
    </row>
    <row r="594" spans="7:15" x14ac:dyDescent="0.2">
      <c r="G594" s="659"/>
      <c r="H594" s="659"/>
      <c r="O594" s="5"/>
    </row>
    <row r="595" spans="7:15" x14ac:dyDescent="0.2">
      <c r="G595" s="659"/>
      <c r="H595" s="659"/>
      <c r="O595" s="5"/>
    </row>
    <row r="596" spans="7:15" x14ac:dyDescent="0.2">
      <c r="G596" s="659"/>
      <c r="H596" s="659"/>
      <c r="O596" s="5"/>
    </row>
    <row r="597" spans="7:15" x14ac:dyDescent="0.2">
      <c r="G597" s="659"/>
      <c r="H597" s="659"/>
      <c r="O597" s="5"/>
    </row>
    <row r="598" spans="7:15" x14ac:dyDescent="0.2">
      <c r="G598" s="659"/>
      <c r="H598" s="659"/>
      <c r="O598" s="5"/>
    </row>
    <row r="599" spans="7:15" x14ac:dyDescent="0.2">
      <c r="G599" s="659"/>
      <c r="H599" s="659"/>
      <c r="O599" s="5"/>
    </row>
    <row r="600" spans="7:15" x14ac:dyDescent="0.2">
      <c r="G600" s="659"/>
      <c r="H600" s="659"/>
      <c r="O600" s="5"/>
    </row>
    <row r="601" spans="7:15" x14ac:dyDescent="0.2">
      <c r="G601" s="659"/>
      <c r="H601" s="659"/>
      <c r="O601" s="5"/>
    </row>
    <row r="602" spans="7:15" x14ac:dyDescent="0.2">
      <c r="G602" s="659"/>
      <c r="H602" s="659"/>
      <c r="O602" s="5"/>
    </row>
    <row r="603" spans="7:15" x14ac:dyDescent="0.2">
      <c r="G603" s="659"/>
      <c r="H603" s="659"/>
      <c r="O603" s="5"/>
    </row>
    <row r="604" spans="7:15" x14ac:dyDescent="0.2">
      <c r="G604" s="659"/>
      <c r="H604" s="659"/>
      <c r="O604" s="5"/>
    </row>
    <row r="605" spans="7:15" x14ac:dyDescent="0.2">
      <c r="G605" s="659"/>
      <c r="H605" s="659"/>
      <c r="O605" s="5"/>
    </row>
    <row r="606" spans="7:15" x14ac:dyDescent="0.2">
      <c r="G606" s="659"/>
      <c r="H606" s="659"/>
      <c r="O606" s="5"/>
    </row>
    <row r="607" spans="7:15" x14ac:dyDescent="0.2">
      <c r="G607" s="659"/>
      <c r="H607" s="659"/>
      <c r="O607" s="5"/>
    </row>
    <row r="608" spans="7:15" x14ac:dyDescent="0.2">
      <c r="G608" s="659"/>
      <c r="H608" s="659"/>
      <c r="O608" s="5"/>
    </row>
    <row r="609" spans="7:15" x14ac:dyDescent="0.2">
      <c r="G609" s="659"/>
      <c r="H609" s="659"/>
      <c r="O609" s="5"/>
    </row>
    <row r="610" spans="7:15" x14ac:dyDescent="0.2">
      <c r="G610" s="659"/>
      <c r="H610" s="659"/>
      <c r="O610" s="5"/>
    </row>
    <row r="611" spans="7:15" x14ac:dyDescent="0.2">
      <c r="G611" s="659"/>
      <c r="H611" s="659"/>
      <c r="O611" s="5"/>
    </row>
    <row r="612" spans="7:15" x14ac:dyDescent="0.2">
      <c r="G612" s="659"/>
      <c r="H612" s="659"/>
      <c r="O612" s="5"/>
    </row>
    <row r="613" spans="7:15" x14ac:dyDescent="0.2">
      <c r="G613" s="659"/>
      <c r="H613" s="659"/>
      <c r="O613" s="5"/>
    </row>
    <row r="614" spans="7:15" x14ac:dyDescent="0.2">
      <c r="G614" s="659"/>
      <c r="H614" s="659"/>
      <c r="O614" s="5"/>
    </row>
    <row r="615" spans="7:15" x14ac:dyDescent="0.2">
      <c r="G615" s="659"/>
      <c r="H615" s="659"/>
      <c r="O615" s="5"/>
    </row>
    <row r="616" spans="7:15" x14ac:dyDescent="0.2">
      <c r="G616" s="659"/>
      <c r="H616" s="659"/>
      <c r="O616" s="5"/>
    </row>
    <row r="617" spans="7:15" x14ac:dyDescent="0.2">
      <c r="G617" s="659"/>
      <c r="H617" s="659"/>
      <c r="O617" s="5"/>
    </row>
    <row r="618" spans="7:15" x14ac:dyDescent="0.2">
      <c r="G618" s="659"/>
      <c r="H618" s="659"/>
      <c r="O618" s="5"/>
    </row>
    <row r="619" spans="7:15" x14ac:dyDescent="0.2">
      <c r="G619" s="659"/>
      <c r="H619" s="659"/>
      <c r="O619" s="5"/>
    </row>
    <row r="620" spans="7:15" x14ac:dyDescent="0.2">
      <c r="G620" s="659"/>
      <c r="H620" s="659"/>
      <c r="O620" s="5"/>
    </row>
    <row r="621" spans="7:15" x14ac:dyDescent="0.2">
      <c r="G621" s="659"/>
      <c r="H621" s="659"/>
      <c r="O621" s="5"/>
    </row>
    <row r="622" spans="7:15" x14ac:dyDescent="0.2">
      <c r="G622" s="659"/>
      <c r="H622" s="659"/>
      <c r="O622" s="5"/>
    </row>
    <row r="623" spans="7:15" x14ac:dyDescent="0.2">
      <c r="G623" s="659"/>
      <c r="H623" s="659"/>
      <c r="O623" s="5"/>
    </row>
    <row r="624" spans="7:15" x14ac:dyDescent="0.2">
      <c r="G624" s="659"/>
      <c r="H624" s="659"/>
      <c r="O624" s="5"/>
    </row>
    <row r="625" spans="7:15" x14ac:dyDescent="0.2">
      <c r="G625" s="659"/>
      <c r="H625" s="659"/>
      <c r="O625" s="5"/>
    </row>
    <row r="626" spans="7:15" x14ac:dyDescent="0.2">
      <c r="G626" s="659"/>
      <c r="H626" s="659"/>
      <c r="O626" s="5"/>
    </row>
    <row r="627" spans="7:15" x14ac:dyDescent="0.2">
      <c r="G627" s="659"/>
      <c r="H627" s="659"/>
      <c r="O627" s="5"/>
    </row>
    <row r="628" spans="7:15" x14ac:dyDescent="0.2">
      <c r="G628" s="659"/>
      <c r="H628" s="659"/>
      <c r="O628" s="5"/>
    </row>
    <row r="629" spans="7:15" x14ac:dyDescent="0.2">
      <c r="G629" s="659"/>
      <c r="H629" s="659"/>
      <c r="O629" s="5"/>
    </row>
    <row r="630" spans="7:15" x14ac:dyDescent="0.2">
      <c r="G630" s="659"/>
      <c r="H630" s="659"/>
      <c r="O630" s="5"/>
    </row>
    <row r="631" spans="7:15" x14ac:dyDescent="0.2">
      <c r="G631" s="659"/>
      <c r="H631" s="659"/>
      <c r="O631" s="5"/>
    </row>
    <row r="632" spans="7:15" x14ac:dyDescent="0.2">
      <c r="G632" s="659"/>
      <c r="H632" s="659"/>
      <c r="O632" s="5"/>
    </row>
    <row r="633" spans="7:15" x14ac:dyDescent="0.2">
      <c r="G633" s="659"/>
      <c r="H633" s="659"/>
      <c r="O633" s="5"/>
    </row>
    <row r="634" spans="7:15" x14ac:dyDescent="0.2">
      <c r="G634" s="659"/>
      <c r="H634" s="659"/>
      <c r="O634" s="5"/>
    </row>
    <row r="635" spans="7:15" x14ac:dyDescent="0.2">
      <c r="G635" s="659"/>
      <c r="H635" s="659"/>
      <c r="O635" s="5"/>
    </row>
    <row r="636" spans="7:15" x14ac:dyDescent="0.2">
      <c r="G636" s="659"/>
      <c r="H636" s="659"/>
      <c r="O636" s="5"/>
    </row>
    <row r="637" spans="7:15" x14ac:dyDescent="0.2">
      <c r="G637" s="659"/>
      <c r="H637" s="659"/>
      <c r="O637" s="5"/>
    </row>
    <row r="638" spans="7:15" x14ac:dyDescent="0.2">
      <c r="G638" s="659"/>
      <c r="H638" s="659"/>
      <c r="O638" s="5"/>
    </row>
    <row r="639" spans="7:15" x14ac:dyDescent="0.2">
      <c r="G639" s="659"/>
      <c r="H639" s="659"/>
      <c r="O639" s="5"/>
    </row>
    <row r="640" spans="7:15" x14ac:dyDescent="0.2">
      <c r="G640" s="659"/>
      <c r="H640" s="659"/>
      <c r="O640" s="5"/>
    </row>
    <row r="641" spans="7:15" x14ac:dyDescent="0.2">
      <c r="G641" s="659"/>
      <c r="H641" s="659"/>
      <c r="O641" s="5"/>
    </row>
    <row r="642" spans="7:15" x14ac:dyDescent="0.2">
      <c r="G642" s="659"/>
      <c r="H642" s="659"/>
      <c r="O642" s="5"/>
    </row>
    <row r="643" spans="7:15" x14ac:dyDescent="0.2">
      <c r="G643" s="659"/>
      <c r="H643" s="659"/>
      <c r="O643" s="5"/>
    </row>
    <row r="644" spans="7:15" x14ac:dyDescent="0.2">
      <c r="G644" s="659"/>
      <c r="H644" s="659"/>
      <c r="O644" s="5"/>
    </row>
    <row r="645" spans="7:15" x14ac:dyDescent="0.2">
      <c r="G645" s="659"/>
      <c r="H645" s="659"/>
      <c r="O645" s="5"/>
    </row>
    <row r="646" spans="7:15" x14ac:dyDescent="0.2">
      <c r="G646" s="659"/>
      <c r="H646" s="659"/>
      <c r="O646" s="5"/>
    </row>
    <row r="647" spans="7:15" x14ac:dyDescent="0.2">
      <c r="G647" s="659"/>
      <c r="H647" s="659"/>
      <c r="O647" s="5"/>
    </row>
    <row r="648" spans="7:15" x14ac:dyDescent="0.2">
      <c r="G648" s="659"/>
      <c r="H648" s="659"/>
      <c r="O648" s="5"/>
    </row>
    <row r="649" spans="7:15" x14ac:dyDescent="0.2">
      <c r="G649" s="659"/>
      <c r="H649" s="659"/>
      <c r="O649" s="5"/>
    </row>
    <row r="650" spans="7:15" x14ac:dyDescent="0.2">
      <c r="G650" s="659"/>
      <c r="H650" s="659"/>
      <c r="O650" s="5"/>
    </row>
    <row r="651" spans="7:15" x14ac:dyDescent="0.2">
      <c r="G651" s="659"/>
      <c r="H651" s="659"/>
      <c r="O651" s="5"/>
    </row>
    <row r="652" spans="7:15" x14ac:dyDescent="0.2">
      <c r="G652" s="659"/>
      <c r="H652" s="659"/>
      <c r="O652" s="5"/>
    </row>
    <row r="653" spans="7:15" x14ac:dyDescent="0.2">
      <c r="G653" s="659"/>
      <c r="H653" s="659"/>
      <c r="O653" s="5"/>
    </row>
    <row r="654" spans="7:15" x14ac:dyDescent="0.2">
      <c r="G654" s="659"/>
      <c r="H654" s="659"/>
      <c r="O654" s="5"/>
    </row>
    <row r="655" spans="7:15" x14ac:dyDescent="0.2">
      <c r="G655" s="659"/>
      <c r="H655" s="659"/>
      <c r="O655" s="5"/>
    </row>
    <row r="656" spans="7:15" x14ac:dyDescent="0.2">
      <c r="G656" s="659"/>
      <c r="H656" s="659"/>
      <c r="O656" s="5"/>
    </row>
    <row r="657" spans="7:15" x14ac:dyDescent="0.2">
      <c r="G657" s="659"/>
      <c r="H657" s="659"/>
      <c r="O657" s="5"/>
    </row>
    <row r="658" spans="7:15" x14ac:dyDescent="0.2">
      <c r="G658" s="659"/>
      <c r="H658" s="659"/>
      <c r="O658" s="5"/>
    </row>
    <row r="659" spans="7:15" x14ac:dyDescent="0.2">
      <c r="G659" s="659"/>
      <c r="H659" s="659"/>
      <c r="O659" s="5"/>
    </row>
    <row r="660" spans="7:15" x14ac:dyDescent="0.2">
      <c r="G660" s="659"/>
      <c r="H660" s="659"/>
      <c r="O660" s="5"/>
    </row>
    <row r="661" spans="7:15" x14ac:dyDescent="0.2">
      <c r="G661" s="659"/>
      <c r="H661" s="659"/>
      <c r="O661" s="5"/>
    </row>
    <row r="662" spans="7:15" x14ac:dyDescent="0.2">
      <c r="G662" s="659"/>
      <c r="H662" s="659"/>
      <c r="O662" s="5"/>
    </row>
    <row r="663" spans="7:15" x14ac:dyDescent="0.2">
      <c r="G663" s="659"/>
      <c r="H663" s="659"/>
      <c r="O663" s="5"/>
    </row>
    <row r="664" spans="7:15" x14ac:dyDescent="0.2">
      <c r="G664" s="659"/>
      <c r="H664" s="659"/>
      <c r="O664" s="5"/>
    </row>
    <row r="665" spans="7:15" x14ac:dyDescent="0.2">
      <c r="G665" s="659"/>
      <c r="H665" s="659"/>
      <c r="O665" s="5"/>
    </row>
    <row r="666" spans="7:15" x14ac:dyDescent="0.2">
      <c r="G666" s="659"/>
      <c r="H666" s="659"/>
      <c r="O666" s="5"/>
    </row>
    <row r="667" spans="7:15" x14ac:dyDescent="0.2">
      <c r="G667" s="659"/>
      <c r="H667" s="659"/>
      <c r="O667" s="5"/>
    </row>
    <row r="668" spans="7:15" x14ac:dyDescent="0.2">
      <c r="G668" s="659"/>
      <c r="H668" s="659"/>
      <c r="O668" s="5"/>
    </row>
    <row r="669" spans="7:15" x14ac:dyDescent="0.2">
      <c r="G669" s="659"/>
      <c r="H669" s="659"/>
      <c r="O669" s="5"/>
    </row>
    <row r="670" spans="7:15" x14ac:dyDescent="0.2">
      <c r="G670" s="659"/>
      <c r="H670" s="659"/>
      <c r="O670" s="5"/>
    </row>
    <row r="671" spans="7:15" x14ac:dyDescent="0.2">
      <c r="G671" s="659"/>
      <c r="H671" s="659"/>
      <c r="O671" s="5"/>
    </row>
    <row r="672" spans="7:15" x14ac:dyDescent="0.2">
      <c r="G672" s="659"/>
      <c r="H672" s="659"/>
      <c r="O672" s="5"/>
    </row>
    <row r="673" spans="7:15" x14ac:dyDescent="0.2">
      <c r="G673" s="659"/>
      <c r="H673" s="659"/>
      <c r="O673" s="5"/>
    </row>
    <row r="674" spans="7:15" x14ac:dyDescent="0.2">
      <c r="G674" s="659"/>
      <c r="H674" s="659"/>
      <c r="O674" s="5"/>
    </row>
    <row r="675" spans="7:15" x14ac:dyDescent="0.2">
      <c r="G675" s="659"/>
      <c r="H675" s="659"/>
      <c r="O675" s="5"/>
    </row>
    <row r="676" spans="7:15" x14ac:dyDescent="0.2">
      <c r="G676" s="659"/>
      <c r="H676" s="659"/>
      <c r="O676" s="5"/>
    </row>
    <row r="677" spans="7:15" x14ac:dyDescent="0.2">
      <c r="G677" s="659"/>
      <c r="H677" s="659"/>
      <c r="O677" s="5"/>
    </row>
    <row r="678" spans="7:15" x14ac:dyDescent="0.2">
      <c r="G678" s="659"/>
      <c r="H678" s="659"/>
      <c r="O678" s="5"/>
    </row>
    <row r="679" spans="7:15" x14ac:dyDescent="0.2">
      <c r="G679" s="659"/>
      <c r="H679" s="659"/>
      <c r="O679" s="5"/>
    </row>
    <row r="680" spans="7:15" x14ac:dyDescent="0.2">
      <c r="G680" s="659"/>
      <c r="H680" s="659"/>
      <c r="O680" s="5"/>
    </row>
    <row r="681" spans="7:15" x14ac:dyDescent="0.2">
      <c r="G681" s="659"/>
      <c r="H681" s="659"/>
      <c r="O681" s="5"/>
    </row>
    <row r="682" spans="7:15" x14ac:dyDescent="0.2">
      <c r="G682" s="659"/>
      <c r="H682" s="659"/>
      <c r="O682" s="5"/>
    </row>
    <row r="683" spans="7:15" x14ac:dyDescent="0.2">
      <c r="G683" s="659"/>
      <c r="H683" s="659"/>
      <c r="O683" s="5"/>
    </row>
    <row r="684" spans="7:15" x14ac:dyDescent="0.2">
      <c r="G684" s="659"/>
      <c r="H684" s="659"/>
      <c r="O684" s="5"/>
    </row>
    <row r="685" spans="7:15" x14ac:dyDescent="0.2">
      <c r="G685" s="659"/>
      <c r="H685" s="659"/>
      <c r="O685" s="5"/>
    </row>
    <row r="686" spans="7:15" x14ac:dyDescent="0.2">
      <c r="G686" s="659"/>
      <c r="H686" s="659"/>
      <c r="O686" s="5"/>
    </row>
    <row r="687" spans="7:15" x14ac:dyDescent="0.2">
      <c r="G687" s="659"/>
      <c r="H687" s="659"/>
      <c r="O687" s="5"/>
    </row>
    <row r="688" spans="7:15" x14ac:dyDescent="0.2">
      <c r="G688" s="659"/>
      <c r="H688" s="659"/>
      <c r="O688" s="5"/>
    </row>
    <row r="689" spans="7:15" x14ac:dyDescent="0.2">
      <c r="G689" s="659"/>
      <c r="H689" s="659"/>
      <c r="O689" s="5"/>
    </row>
    <row r="690" spans="7:15" x14ac:dyDescent="0.2">
      <c r="G690" s="659"/>
      <c r="H690" s="659"/>
      <c r="O690" s="5"/>
    </row>
    <row r="691" spans="7:15" x14ac:dyDescent="0.2">
      <c r="G691" s="659"/>
      <c r="H691" s="659"/>
      <c r="O691" s="5"/>
    </row>
    <row r="692" spans="7:15" x14ac:dyDescent="0.2">
      <c r="G692" s="659"/>
      <c r="H692" s="659"/>
      <c r="O692" s="5"/>
    </row>
    <row r="693" spans="7:15" x14ac:dyDescent="0.2">
      <c r="G693" s="659"/>
      <c r="H693" s="659"/>
      <c r="O693" s="5"/>
    </row>
    <row r="694" spans="7:15" x14ac:dyDescent="0.2">
      <c r="G694" s="659"/>
      <c r="H694" s="659"/>
      <c r="O694" s="5"/>
    </row>
    <row r="695" spans="7:15" x14ac:dyDescent="0.2">
      <c r="G695" s="659"/>
      <c r="H695" s="659"/>
      <c r="O695" s="5"/>
    </row>
    <row r="696" spans="7:15" x14ac:dyDescent="0.2">
      <c r="G696" s="659"/>
      <c r="H696" s="659"/>
      <c r="O696" s="5"/>
    </row>
    <row r="697" spans="7:15" x14ac:dyDescent="0.2">
      <c r="G697" s="659"/>
      <c r="H697" s="659"/>
      <c r="O697" s="5"/>
    </row>
    <row r="698" spans="7:15" x14ac:dyDescent="0.2">
      <c r="G698" s="659"/>
      <c r="H698" s="659"/>
      <c r="O698" s="5"/>
    </row>
    <row r="699" spans="7:15" x14ac:dyDescent="0.2">
      <c r="G699" s="659"/>
      <c r="H699" s="659"/>
      <c r="O699" s="5"/>
    </row>
    <row r="700" spans="7:15" x14ac:dyDescent="0.2">
      <c r="G700" s="659"/>
      <c r="H700" s="659"/>
      <c r="O700" s="5"/>
    </row>
    <row r="701" spans="7:15" x14ac:dyDescent="0.2">
      <c r="G701" s="659"/>
      <c r="H701" s="659"/>
      <c r="O701" s="5"/>
    </row>
    <row r="702" spans="7:15" x14ac:dyDescent="0.2">
      <c r="G702" s="659"/>
      <c r="H702" s="659"/>
      <c r="O702" s="5"/>
    </row>
    <row r="703" spans="7:15" x14ac:dyDescent="0.2">
      <c r="G703" s="659"/>
      <c r="H703" s="659"/>
      <c r="O703" s="5"/>
    </row>
    <row r="704" spans="7:15" x14ac:dyDescent="0.2">
      <c r="G704" s="659"/>
      <c r="H704" s="659"/>
      <c r="O704" s="5"/>
    </row>
    <row r="705" spans="7:15" x14ac:dyDescent="0.2">
      <c r="G705" s="659"/>
      <c r="H705" s="659"/>
      <c r="O705" s="5"/>
    </row>
    <row r="706" spans="7:15" x14ac:dyDescent="0.2">
      <c r="G706" s="659"/>
      <c r="H706" s="659"/>
      <c r="O706" s="5"/>
    </row>
    <row r="707" spans="7:15" x14ac:dyDescent="0.2">
      <c r="G707" s="659"/>
      <c r="H707" s="659"/>
      <c r="O707" s="5"/>
    </row>
    <row r="708" spans="7:15" x14ac:dyDescent="0.2">
      <c r="G708" s="659"/>
      <c r="H708" s="659"/>
      <c r="O708" s="5"/>
    </row>
    <row r="709" spans="7:15" x14ac:dyDescent="0.2">
      <c r="G709" s="659"/>
      <c r="H709" s="659"/>
      <c r="O709" s="5"/>
    </row>
    <row r="710" spans="7:15" x14ac:dyDescent="0.2">
      <c r="G710" s="659"/>
      <c r="H710" s="659"/>
      <c r="O710" s="5"/>
    </row>
    <row r="711" spans="7:15" x14ac:dyDescent="0.2">
      <c r="G711" s="659"/>
      <c r="H711" s="659"/>
      <c r="O711" s="5"/>
    </row>
    <row r="712" spans="7:15" x14ac:dyDescent="0.2">
      <c r="G712" s="659"/>
      <c r="H712" s="659"/>
      <c r="O712" s="5"/>
    </row>
    <row r="713" spans="7:15" x14ac:dyDescent="0.2">
      <c r="G713" s="659"/>
      <c r="H713" s="659"/>
      <c r="O713" s="5"/>
    </row>
    <row r="714" spans="7:15" x14ac:dyDescent="0.2">
      <c r="G714" s="659"/>
      <c r="H714" s="659"/>
      <c r="O714" s="5"/>
    </row>
    <row r="715" spans="7:15" x14ac:dyDescent="0.2">
      <c r="G715" s="659"/>
      <c r="H715" s="659"/>
      <c r="O715" s="5"/>
    </row>
    <row r="716" spans="7:15" x14ac:dyDescent="0.2">
      <c r="G716" s="659"/>
      <c r="H716" s="659"/>
      <c r="O716" s="5"/>
    </row>
    <row r="717" spans="7:15" x14ac:dyDescent="0.2">
      <c r="G717" s="659"/>
      <c r="H717" s="659"/>
      <c r="O717" s="5"/>
    </row>
    <row r="718" spans="7:15" x14ac:dyDescent="0.2">
      <c r="G718" s="659"/>
      <c r="H718" s="659"/>
      <c r="O718" s="5"/>
    </row>
    <row r="719" spans="7:15" x14ac:dyDescent="0.2">
      <c r="G719" s="659"/>
      <c r="H719" s="659"/>
      <c r="O719" s="5"/>
    </row>
    <row r="720" spans="7:15" x14ac:dyDescent="0.2">
      <c r="G720" s="659"/>
      <c r="H720" s="659"/>
      <c r="O720" s="5"/>
    </row>
    <row r="721" spans="7:15" x14ac:dyDescent="0.2">
      <c r="G721" s="659"/>
      <c r="H721" s="659"/>
      <c r="O721" s="5"/>
    </row>
    <row r="722" spans="7:15" x14ac:dyDescent="0.2">
      <c r="G722" s="659"/>
      <c r="H722" s="659"/>
      <c r="O722" s="5"/>
    </row>
    <row r="723" spans="7:15" x14ac:dyDescent="0.2">
      <c r="G723" s="659"/>
      <c r="H723" s="659"/>
      <c r="O723" s="5"/>
    </row>
    <row r="724" spans="7:15" x14ac:dyDescent="0.2">
      <c r="G724" s="659"/>
      <c r="H724" s="659"/>
      <c r="O724" s="5"/>
    </row>
    <row r="725" spans="7:15" x14ac:dyDescent="0.2">
      <c r="G725" s="659"/>
      <c r="H725" s="659"/>
      <c r="O725" s="5"/>
    </row>
    <row r="726" spans="7:15" x14ac:dyDescent="0.2">
      <c r="G726" s="659"/>
      <c r="H726" s="659"/>
      <c r="O726" s="5"/>
    </row>
    <row r="727" spans="7:15" x14ac:dyDescent="0.2">
      <c r="G727" s="659"/>
      <c r="H727" s="659"/>
      <c r="O727" s="5"/>
    </row>
    <row r="728" spans="7:15" x14ac:dyDescent="0.2">
      <c r="G728" s="659"/>
      <c r="H728" s="659"/>
      <c r="O728" s="5"/>
    </row>
    <row r="729" spans="7:15" x14ac:dyDescent="0.2">
      <c r="G729" s="659"/>
      <c r="H729" s="659"/>
      <c r="O729" s="5"/>
    </row>
    <row r="730" spans="7:15" x14ac:dyDescent="0.2">
      <c r="G730" s="659"/>
      <c r="H730" s="659"/>
      <c r="O730" s="5"/>
    </row>
    <row r="731" spans="7:15" x14ac:dyDescent="0.2">
      <c r="G731" s="659"/>
      <c r="H731" s="659"/>
      <c r="O731" s="5"/>
    </row>
    <row r="732" spans="7:15" x14ac:dyDescent="0.2">
      <c r="G732" s="659"/>
      <c r="H732" s="659"/>
      <c r="O732" s="5"/>
    </row>
    <row r="733" spans="7:15" x14ac:dyDescent="0.2">
      <c r="G733" s="659"/>
      <c r="H733" s="659"/>
      <c r="O733" s="5"/>
    </row>
    <row r="734" spans="7:15" x14ac:dyDescent="0.2">
      <c r="G734" s="659"/>
      <c r="H734" s="659"/>
      <c r="O734" s="5"/>
    </row>
    <row r="735" spans="7:15" x14ac:dyDescent="0.2">
      <c r="G735" s="659"/>
      <c r="H735" s="659"/>
      <c r="O735" s="5"/>
    </row>
    <row r="736" spans="7:15" x14ac:dyDescent="0.2">
      <c r="G736" s="659"/>
      <c r="H736" s="659"/>
      <c r="O736" s="5"/>
    </row>
    <row r="737" spans="7:15" x14ac:dyDescent="0.2">
      <c r="G737" s="659"/>
      <c r="H737" s="659"/>
      <c r="O737" s="5"/>
    </row>
    <row r="738" spans="7:15" x14ac:dyDescent="0.2">
      <c r="G738" s="659"/>
      <c r="H738" s="659"/>
      <c r="O738" s="5"/>
    </row>
    <row r="739" spans="7:15" x14ac:dyDescent="0.2">
      <c r="G739" s="659"/>
      <c r="H739" s="659"/>
      <c r="O739" s="5"/>
    </row>
    <row r="740" spans="7:15" x14ac:dyDescent="0.2">
      <c r="G740" s="659"/>
      <c r="H740" s="659"/>
      <c r="O740" s="5"/>
    </row>
    <row r="741" spans="7:15" x14ac:dyDescent="0.2">
      <c r="G741" s="659"/>
      <c r="H741" s="659"/>
      <c r="O741" s="5"/>
    </row>
    <row r="742" spans="7:15" x14ac:dyDescent="0.2">
      <c r="G742" s="659"/>
      <c r="H742" s="659"/>
      <c r="O742" s="5"/>
    </row>
    <row r="743" spans="7:15" x14ac:dyDescent="0.2">
      <c r="G743" s="659"/>
      <c r="H743" s="659"/>
      <c r="O743" s="5"/>
    </row>
    <row r="744" spans="7:15" x14ac:dyDescent="0.2">
      <c r="G744" s="659"/>
      <c r="H744" s="659"/>
      <c r="O744" s="5"/>
    </row>
    <row r="745" spans="7:15" x14ac:dyDescent="0.2">
      <c r="G745" s="659"/>
      <c r="H745" s="659"/>
      <c r="O745" s="5"/>
    </row>
    <row r="746" spans="7:15" x14ac:dyDescent="0.2">
      <c r="G746" s="659"/>
      <c r="H746" s="659"/>
      <c r="O746" s="5"/>
    </row>
    <row r="747" spans="7:15" x14ac:dyDescent="0.2">
      <c r="G747" s="659"/>
      <c r="H747" s="659"/>
      <c r="O747" s="5"/>
    </row>
    <row r="748" spans="7:15" x14ac:dyDescent="0.2">
      <c r="G748" s="659"/>
      <c r="H748" s="659"/>
      <c r="O748" s="5"/>
    </row>
    <row r="749" spans="7:15" x14ac:dyDescent="0.2">
      <c r="G749" s="659"/>
      <c r="H749" s="659"/>
      <c r="O749" s="5"/>
    </row>
    <row r="750" spans="7:15" x14ac:dyDescent="0.2">
      <c r="G750" s="659"/>
      <c r="H750" s="659"/>
      <c r="O750" s="5"/>
    </row>
    <row r="751" spans="7:15" x14ac:dyDescent="0.2">
      <c r="G751" s="659"/>
      <c r="H751" s="659"/>
      <c r="O751" s="5"/>
    </row>
    <row r="752" spans="7:15" x14ac:dyDescent="0.2">
      <c r="G752" s="659"/>
      <c r="H752" s="659"/>
      <c r="O752" s="5"/>
    </row>
    <row r="753" spans="7:15" x14ac:dyDescent="0.2">
      <c r="G753" s="659"/>
      <c r="H753" s="659"/>
      <c r="O753" s="5"/>
    </row>
    <row r="754" spans="7:15" x14ac:dyDescent="0.2">
      <c r="G754" s="659"/>
      <c r="H754" s="659"/>
      <c r="O754" s="5"/>
    </row>
    <row r="755" spans="7:15" x14ac:dyDescent="0.2">
      <c r="G755" s="659"/>
      <c r="H755" s="659"/>
      <c r="O755" s="5"/>
    </row>
    <row r="756" spans="7:15" x14ac:dyDescent="0.2">
      <c r="G756" s="659"/>
      <c r="H756" s="659"/>
      <c r="O756" s="5"/>
    </row>
    <row r="757" spans="7:15" x14ac:dyDescent="0.2">
      <c r="G757" s="659"/>
      <c r="H757" s="659"/>
      <c r="O757" s="5"/>
    </row>
    <row r="758" spans="7:15" x14ac:dyDescent="0.2">
      <c r="G758" s="659"/>
      <c r="H758" s="659"/>
      <c r="O758" s="5"/>
    </row>
    <row r="759" spans="7:15" x14ac:dyDescent="0.2">
      <c r="G759" s="659"/>
      <c r="H759" s="659"/>
      <c r="O759" s="5"/>
    </row>
    <row r="760" spans="7:15" x14ac:dyDescent="0.2">
      <c r="G760" s="659"/>
      <c r="H760" s="659"/>
      <c r="O760" s="5"/>
    </row>
    <row r="761" spans="7:15" x14ac:dyDescent="0.2">
      <c r="G761" s="659"/>
      <c r="H761" s="659"/>
      <c r="O761" s="5"/>
    </row>
    <row r="762" spans="7:15" x14ac:dyDescent="0.2">
      <c r="G762" s="659"/>
      <c r="H762" s="659"/>
      <c r="O762" s="5"/>
    </row>
    <row r="763" spans="7:15" x14ac:dyDescent="0.2">
      <c r="G763" s="659"/>
      <c r="H763" s="659"/>
      <c r="O763" s="5"/>
    </row>
    <row r="764" spans="7:15" x14ac:dyDescent="0.2">
      <c r="G764" s="659"/>
      <c r="H764" s="659"/>
      <c r="O764" s="5"/>
    </row>
    <row r="765" spans="7:15" x14ac:dyDescent="0.2">
      <c r="G765" s="659"/>
      <c r="H765" s="659"/>
      <c r="O765" s="5"/>
    </row>
    <row r="766" spans="7:15" x14ac:dyDescent="0.2">
      <c r="G766" s="659"/>
      <c r="H766" s="659"/>
      <c r="O766" s="5"/>
    </row>
    <row r="767" spans="7:15" x14ac:dyDescent="0.2">
      <c r="G767" s="659"/>
      <c r="H767" s="659"/>
      <c r="O767" s="5"/>
    </row>
    <row r="768" spans="7:15" x14ac:dyDescent="0.2">
      <c r="G768" s="659"/>
      <c r="H768" s="659"/>
      <c r="O768" s="5"/>
    </row>
    <row r="769" spans="7:15" x14ac:dyDescent="0.2">
      <c r="G769" s="659"/>
      <c r="H769" s="659"/>
      <c r="O769" s="5"/>
    </row>
    <row r="770" spans="7:15" x14ac:dyDescent="0.2">
      <c r="G770" s="659"/>
      <c r="H770" s="659"/>
      <c r="O770" s="5"/>
    </row>
    <row r="771" spans="7:15" x14ac:dyDescent="0.2">
      <c r="G771" s="659"/>
      <c r="H771" s="659"/>
      <c r="O771" s="5"/>
    </row>
    <row r="772" spans="7:15" x14ac:dyDescent="0.2">
      <c r="G772" s="659"/>
      <c r="H772" s="659"/>
      <c r="O772" s="5"/>
    </row>
    <row r="773" spans="7:15" x14ac:dyDescent="0.2">
      <c r="G773" s="659"/>
      <c r="H773" s="659"/>
      <c r="O773" s="5"/>
    </row>
    <row r="774" spans="7:15" x14ac:dyDescent="0.2">
      <c r="G774" s="659"/>
      <c r="H774" s="659"/>
      <c r="O774" s="5"/>
    </row>
    <row r="775" spans="7:15" x14ac:dyDescent="0.2">
      <c r="G775" s="659"/>
      <c r="H775" s="659"/>
      <c r="O775" s="5"/>
    </row>
    <row r="776" spans="7:15" x14ac:dyDescent="0.2">
      <c r="G776" s="659"/>
      <c r="H776" s="659"/>
      <c r="O776" s="5"/>
    </row>
    <row r="777" spans="7:15" x14ac:dyDescent="0.2">
      <c r="G777" s="659"/>
      <c r="H777" s="659"/>
      <c r="O777" s="5"/>
    </row>
    <row r="778" spans="7:15" x14ac:dyDescent="0.2">
      <c r="G778" s="659"/>
      <c r="H778" s="659"/>
      <c r="O778" s="5"/>
    </row>
    <row r="779" spans="7:15" x14ac:dyDescent="0.2">
      <c r="G779" s="659"/>
      <c r="H779" s="659"/>
      <c r="O779" s="5"/>
    </row>
    <row r="780" spans="7:15" x14ac:dyDescent="0.2">
      <c r="G780" s="659"/>
      <c r="H780" s="659"/>
      <c r="O780" s="5"/>
    </row>
    <row r="781" spans="7:15" x14ac:dyDescent="0.2">
      <c r="G781" s="659"/>
      <c r="H781" s="659"/>
      <c r="O781" s="5"/>
    </row>
    <row r="782" spans="7:15" x14ac:dyDescent="0.2">
      <c r="G782" s="659"/>
      <c r="H782" s="659"/>
      <c r="O782" s="5"/>
    </row>
    <row r="783" spans="7:15" x14ac:dyDescent="0.2">
      <c r="G783" s="659"/>
      <c r="H783" s="659"/>
      <c r="O783" s="5"/>
    </row>
    <row r="784" spans="7:15" x14ac:dyDescent="0.2">
      <c r="G784" s="659"/>
      <c r="H784" s="659"/>
      <c r="O784" s="5"/>
    </row>
    <row r="785" spans="7:15" x14ac:dyDescent="0.2">
      <c r="G785" s="659"/>
      <c r="H785" s="659"/>
      <c r="O785" s="5"/>
    </row>
    <row r="786" spans="7:15" x14ac:dyDescent="0.2">
      <c r="G786" s="659"/>
      <c r="H786" s="659"/>
      <c r="O786" s="5"/>
    </row>
    <row r="787" spans="7:15" x14ac:dyDescent="0.2">
      <c r="G787" s="659"/>
      <c r="H787" s="659"/>
      <c r="O787" s="5"/>
    </row>
    <row r="788" spans="7:15" x14ac:dyDescent="0.2">
      <c r="G788" s="659"/>
      <c r="H788" s="659"/>
      <c r="O788" s="5"/>
    </row>
    <row r="789" spans="7:15" x14ac:dyDescent="0.2">
      <c r="G789" s="659"/>
      <c r="H789" s="659"/>
      <c r="O789" s="5"/>
    </row>
    <row r="790" spans="7:15" x14ac:dyDescent="0.2">
      <c r="G790" s="659"/>
      <c r="H790" s="659"/>
      <c r="O790" s="5"/>
    </row>
    <row r="791" spans="7:15" x14ac:dyDescent="0.2">
      <c r="G791" s="659"/>
      <c r="H791" s="659"/>
      <c r="O791" s="5"/>
    </row>
    <row r="792" spans="7:15" x14ac:dyDescent="0.2">
      <c r="G792" s="659"/>
      <c r="H792" s="659"/>
      <c r="O792" s="5"/>
    </row>
    <row r="793" spans="7:15" x14ac:dyDescent="0.2">
      <c r="G793" s="659"/>
      <c r="H793" s="659"/>
      <c r="O793" s="5"/>
    </row>
    <row r="794" spans="7:15" x14ac:dyDescent="0.2">
      <c r="G794" s="659"/>
      <c r="H794" s="659"/>
      <c r="O794" s="5"/>
    </row>
    <row r="795" spans="7:15" x14ac:dyDescent="0.2">
      <c r="G795" s="659"/>
      <c r="H795" s="659"/>
      <c r="O795" s="5"/>
    </row>
    <row r="796" spans="7:15" x14ac:dyDescent="0.2">
      <c r="G796" s="659"/>
      <c r="H796" s="659"/>
      <c r="O796" s="5"/>
    </row>
    <row r="797" spans="7:15" x14ac:dyDescent="0.2">
      <c r="G797" s="659"/>
      <c r="H797" s="659"/>
      <c r="O797" s="5"/>
    </row>
    <row r="798" spans="7:15" x14ac:dyDescent="0.2">
      <c r="G798" s="659"/>
      <c r="H798" s="659"/>
      <c r="O798" s="5"/>
    </row>
    <row r="799" spans="7:15" x14ac:dyDescent="0.2">
      <c r="G799" s="659"/>
      <c r="H799" s="659"/>
      <c r="O799" s="5"/>
    </row>
    <row r="800" spans="7:15" x14ac:dyDescent="0.2">
      <c r="G800" s="659"/>
      <c r="H800" s="659"/>
      <c r="O800" s="5"/>
    </row>
    <row r="801" spans="7:15" x14ac:dyDescent="0.2">
      <c r="G801" s="659"/>
      <c r="H801" s="659"/>
      <c r="O801" s="5"/>
    </row>
    <row r="802" spans="7:15" x14ac:dyDescent="0.2">
      <c r="G802" s="659"/>
      <c r="H802" s="659"/>
      <c r="O802" s="5"/>
    </row>
    <row r="803" spans="7:15" x14ac:dyDescent="0.2">
      <c r="G803" s="659"/>
      <c r="H803" s="659"/>
      <c r="O803" s="5"/>
    </row>
    <row r="804" spans="7:15" x14ac:dyDescent="0.2">
      <c r="G804" s="659"/>
      <c r="H804" s="659"/>
      <c r="O804" s="5"/>
    </row>
    <row r="805" spans="7:15" x14ac:dyDescent="0.2">
      <c r="G805" s="659"/>
      <c r="H805" s="659"/>
      <c r="O805" s="5"/>
    </row>
    <row r="806" spans="7:15" x14ac:dyDescent="0.2">
      <c r="G806" s="659"/>
      <c r="H806" s="659"/>
      <c r="O806" s="5"/>
    </row>
    <row r="807" spans="7:15" x14ac:dyDescent="0.2">
      <c r="G807" s="659"/>
      <c r="H807" s="659"/>
      <c r="O807" s="5"/>
    </row>
    <row r="808" spans="7:15" x14ac:dyDescent="0.2">
      <c r="G808" s="659"/>
      <c r="H808" s="659"/>
      <c r="O808" s="5"/>
    </row>
    <row r="809" spans="7:15" x14ac:dyDescent="0.2">
      <c r="G809" s="659"/>
      <c r="H809" s="659"/>
      <c r="O809" s="5"/>
    </row>
    <row r="810" spans="7:15" x14ac:dyDescent="0.2">
      <c r="G810" s="659"/>
      <c r="H810" s="659"/>
      <c r="O810" s="5"/>
    </row>
    <row r="811" spans="7:15" x14ac:dyDescent="0.2">
      <c r="G811" s="659"/>
      <c r="H811" s="659"/>
      <c r="O811" s="5"/>
    </row>
    <row r="812" spans="7:15" x14ac:dyDescent="0.2">
      <c r="G812" s="659"/>
      <c r="H812" s="659"/>
      <c r="O812" s="5"/>
    </row>
    <row r="813" spans="7:15" x14ac:dyDescent="0.2">
      <c r="G813" s="659"/>
      <c r="H813" s="659"/>
      <c r="O813" s="5"/>
    </row>
    <row r="814" spans="7:15" x14ac:dyDescent="0.2">
      <c r="G814" s="659"/>
      <c r="H814" s="659"/>
      <c r="O814" s="5"/>
    </row>
    <row r="815" spans="7:15" x14ac:dyDescent="0.2">
      <c r="G815" s="659"/>
      <c r="H815" s="659"/>
      <c r="O815" s="5"/>
    </row>
    <row r="816" spans="7:15" x14ac:dyDescent="0.2">
      <c r="G816" s="659"/>
      <c r="H816" s="659"/>
      <c r="O816" s="5"/>
    </row>
    <row r="817" spans="7:15" x14ac:dyDescent="0.2">
      <c r="G817" s="659"/>
      <c r="H817" s="659"/>
      <c r="O817" s="5"/>
    </row>
    <row r="818" spans="7:15" x14ac:dyDescent="0.2">
      <c r="G818" s="659"/>
      <c r="H818" s="659"/>
      <c r="O818" s="5"/>
    </row>
    <row r="819" spans="7:15" x14ac:dyDescent="0.2">
      <c r="G819" s="659"/>
      <c r="H819" s="659"/>
      <c r="O819" s="5"/>
    </row>
    <row r="820" spans="7:15" x14ac:dyDescent="0.2">
      <c r="G820" s="659"/>
      <c r="H820" s="659"/>
      <c r="O820" s="5"/>
    </row>
    <row r="821" spans="7:15" x14ac:dyDescent="0.2">
      <c r="G821" s="659"/>
      <c r="H821" s="659"/>
      <c r="O821" s="5"/>
    </row>
    <row r="822" spans="7:15" x14ac:dyDescent="0.2">
      <c r="G822" s="659"/>
      <c r="H822" s="659"/>
      <c r="O822" s="5"/>
    </row>
    <row r="823" spans="7:15" x14ac:dyDescent="0.2">
      <c r="G823" s="659"/>
      <c r="H823" s="659"/>
      <c r="O823" s="5"/>
    </row>
    <row r="824" spans="7:15" x14ac:dyDescent="0.2">
      <c r="G824" s="659"/>
      <c r="H824" s="659"/>
      <c r="O824" s="5"/>
    </row>
    <row r="825" spans="7:15" x14ac:dyDescent="0.2">
      <c r="G825" s="659"/>
      <c r="H825" s="659"/>
      <c r="O825" s="5"/>
    </row>
    <row r="826" spans="7:15" x14ac:dyDescent="0.2">
      <c r="G826" s="659"/>
      <c r="H826" s="659"/>
      <c r="O826" s="5"/>
    </row>
    <row r="827" spans="7:15" x14ac:dyDescent="0.2">
      <c r="G827" s="659"/>
      <c r="H827" s="659"/>
      <c r="O827" s="5"/>
    </row>
    <row r="828" spans="7:15" x14ac:dyDescent="0.2">
      <c r="G828" s="659"/>
      <c r="H828" s="659"/>
      <c r="O828" s="5"/>
    </row>
    <row r="829" spans="7:15" x14ac:dyDescent="0.2">
      <c r="G829" s="659"/>
      <c r="H829" s="659"/>
      <c r="O829" s="5"/>
    </row>
    <row r="830" spans="7:15" x14ac:dyDescent="0.2">
      <c r="G830" s="659"/>
      <c r="H830" s="659"/>
      <c r="O830" s="5"/>
    </row>
    <row r="831" spans="7:15" x14ac:dyDescent="0.2">
      <c r="G831" s="659"/>
      <c r="H831" s="659"/>
      <c r="O831" s="5"/>
    </row>
    <row r="832" spans="7:15" x14ac:dyDescent="0.2">
      <c r="G832" s="659"/>
      <c r="H832" s="659"/>
      <c r="O832" s="5"/>
    </row>
    <row r="833" spans="7:15" x14ac:dyDescent="0.2">
      <c r="G833" s="659"/>
      <c r="H833" s="659"/>
      <c r="O833" s="5"/>
    </row>
    <row r="834" spans="7:15" x14ac:dyDescent="0.2">
      <c r="G834" s="659"/>
      <c r="H834" s="659"/>
      <c r="O834" s="5"/>
    </row>
    <row r="835" spans="7:15" x14ac:dyDescent="0.2">
      <c r="G835" s="659"/>
      <c r="H835" s="659"/>
      <c r="O835" s="5"/>
    </row>
    <row r="836" spans="7:15" x14ac:dyDescent="0.2">
      <c r="G836" s="659"/>
      <c r="H836" s="659"/>
      <c r="O836" s="5"/>
    </row>
    <row r="837" spans="7:15" x14ac:dyDescent="0.2">
      <c r="G837" s="659"/>
      <c r="H837" s="659"/>
      <c r="O837" s="5"/>
    </row>
    <row r="838" spans="7:15" x14ac:dyDescent="0.2">
      <c r="G838" s="659"/>
      <c r="H838" s="659"/>
      <c r="O838" s="5"/>
    </row>
    <row r="839" spans="7:15" x14ac:dyDescent="0.2">
      <c r="G839" s="659"/>
      <c r="H839" s="659"/>
      <c r="O839" s="5"/>
    </row>
    <row r="840" spans="7:15" x14ac:dyDescent="0.2">
      <c r="G840" s="659"/>
      <c r="H840" s="659"/>
      <c r="O840" s="5"/>
    </row>
    <row r="841" spans="7:15" x14ac:dyDescent="0.2">
      <c r="G841" s="659"/>
      <c r="H841" s="659"/>
      <c r="O841" s="5"/>
    </row>
    <row r="842" spans="7:15" x14ac:dyDescent="0.2">
      <c r="G842" s="659"/>
      <c r="H842" s="659"/>
      <c r="O842" s="5"/>
    </row>
    <row r="843" spans="7:15" x14ac:dyDescent="0.2">
      <c r="G843" s="659"/>
      <c r="H843" s="659"/>
      <c r="O843" s="5"/>
    </row>
    <row r="844" spans="7:15" x14ac:dyDescent="0.2">
      <c r="G844" s="659"/>
      <c r="H844" s="659"/>
      <c r="O844" s="5"/>
    </row>
    <row r="845" spans="7:15" x14ac:dyDescent="0.2">
      <c r="G845" s="659"/>
      <c r="H845" s="659"/>
      <c r="O845" s="5"/>
    </row>
    <row r="846" spans="7:15" x14ac:dyDescent="0.2">
      <c r="G846" s="659"/>
      <c r="H846" s="659"/>
      <c r="O846" s="5"/>
    </row>
    <row r="847" spans="7:15" x14ac:dyDescent="0.2">
      <c r="G847" s="659"/>
      <c r="H847" s="659"/>
      <c r="O847" s="5"/>
    </row>
    <row r="848" spans="7:15" x14ac:dyDescent="0.2">
      <c r="G848" s="659"/>
      <c r="H848" s="659"/>
      <c r="O848" s="5"/>
    </row>
    <row r="849" spans="7:15" x14ac:dyDescent="0.2">
      <c r="G849" s="659"/>
      <c r="H849" s="659"/>
      <c r="O849" s="5"/>
    </row>
    <row r="850" spans="7:15" x14ac:dyDescent="0.2">
      <c r="G850" s="659"/>
      <c r="H850" s="659"/>
      <c r="O850" s="5"/>
    </row>
    <row r="851" spans="7:15" x14ac:dyDescent="0.2">
      <c r="G851" s="659"/>
      <c r="H851" s="659"/>
      <c r="O851" s="5"/>
    </row>
    <row r="852" spans="7:15" x14ac:dyDescent="0.2">
      <c r="G852" s="659"/>
      <c r="H852" s="659"/>
      <c r="O852" s="5"/>
    </row>
    <row r="853" spans="7:15" x14ac:dyDescent="0.2">
      <c r="G853" s="659"/>
      <c r="H853" s="659"/>
      <c r="O853" s="5"/>
    </row>
    <row r="854" spans="7:15" x14ac:dyDescent="0.2">
      <c r="G854" s="659"/>
      <c r="H854" s="659"/>
      <c r="O854" s="5"/>
    </row>
    <row r="855" spans="7:15" x14ac:dyDescent="0.2">
      <c r="G855" s="659"/>
      <c r="H855" s="659"/>
      <c r="O855" s="5"/>
    </row>
    <row r="856" spans="7:15" x14ac:dyDescent="0.2">
      <c r="G856" s="659"/>
      <c r="H856" s="659"/>
      <c r="O856" s="5"/>
    </row>
    <row r="857" spans="7:15" x14ac:dyDescent="0.2">
      <c r="G857" s="659"/>
      <c r="H857" s="659"/>
      <c r="O857" s="5"/>
    </row>
    <row r="858" spans="7:15" x14ac:dyDescent="0.2">
      <c r="G858" s="659"/>
      <c r="H858" s="659"/>
      <c r="O858" s="5"/>
    </row>
    <row r="859" spans="7:15" x14ac:dyDescent="0.2">
      <c r="G859" s="659"/>
      <c r="H859" s="659"/>
      <c r="O859" s="5"/>
    </row>
    <row r="860" spans="7:15" x14ac:dyDescent="0.2">
      <c r="G860" s="659"/>
      <c r="H860" s="659"/>
      <c r="O860" s="5"/>
    </row>
    <row r="861" spans="7:15" x14ac:dyDescent="0.2">
      <c r="G861" s="659"/>
      <c r="H861" s="659"/>
      <c r="O861" s="5"/>
    </row>
    <row r="862" spans="7:15" x14ac:dyDescent="0.2">
      <c r="G862" s="659"/>
      <c r="H862" s="659"/>
      <c r="O862" s="5"/>
    </row>
    <row r="863" spans="7:15" x14ac:dyDescent="0.2">
      <c r="G863" s="659"/>
      <c r="H863" s="659"/>
      <c r="O863" s="5"/>
    </row>
    <row r="864" spans="7:15" x14ac:dyDescent="0.2">
      <c r="G864" s="659"/>
      <c r="H864" s="659"/>
      <c r="O864" s="5"/>
    </row>
    <row r="865" spans="7:15" x14ac:dyDescent="0.2">
      <c r="G865" s="659"/>
      <c r="H865" s="659"/>
      <c r="O865" s="5"/>
    </row>
    <row r="866" spans="7:15" x14ac:dyDescent="0.2">
      <c r="G866" s="659"/>
      <c r="H866" s="659"/>
      <c r="O866" s="5"/>
    </row>
    <row r="867" spans="7:15" x14ac:dyDescent="0.2">
      <c r="G867" s="659"/>
      <c r="H867" s="659"/>
      <c r="O867" s="5"/>
    </row>
    <row r="868" spans="7:15" x14ac:dyDescent="0.2">
      <c r="G868" s="659"/>
      <c r="H868" s="659"/>
      <c r="O868" s="5"/>
    </row>
    <row r="869" spans="7:15" x14ac:dyDescent="0.2">
      <c r="G869" s="659"/>
      <c r="H869" s="659"/>
      <c r="O869" s="5"/>
    </row>
    <row r="870" spans="7:15" x14ac:dyDescent="0.2">
      <c r="G870" s="659"/>
      <c r="H870" s="659"/>
      <c r="O870" s="5"/>
    </row>
    <row r="871" spans="7:15" x14ac:dyDescent="0.2">
      <c r="G871" s="659"/>
      <c r="H871" s="659"/>
      <c r="O871" s="5"/>
    </row>
    <row r="872" spans="7:15" x14ac:dyDescent="0.2">
      <c r="G872" s="659"/>
      <c r="H872" s="659"/>
      <c r="O872" s="5"/>
    </row>
    <row r="873" spans="7:15" x14ac:dyDescent="0.2">
      <c r="G873" s="659"/>
      <c r="H873" s="659"/>
      <c r="O873" s="5"/>
    </row>
    <row r="874" spans="7:15" x14ac:dyDescent="0.2">
      <c r="G874" s="659"/>
      <c r="H874" s="659"/>
      <c r="O874" s="5"/>
    </row>
    <row r="875" spans="7:15" x14ac:dyDescent="0.2">
      <c r="G875" s="659"/>
      <c r="H875" s="659"/>
      <c r="O875" s="5"/>
    </row>
    <row r="876" spans="7:15" x14ac:dyDescent="0.2">
      <c r="G876" s="659"/>
      <c r="H876" s="659"/>
      <c r="O876" s="5"/>
    </row>
    <row r="877" spans="7:15" x14ac:dyDescent="0.2">
      <c r="G877" s="659"/>
      <c r="H877" s="659"/>
      <c r="O877" s="5"/>
    </row>
    <row r="878" spans="7:15" x14ac:dyDescent="0.2">
      <c r="G878" s="659"/>
      <c r="H878" s="659"/>
      <c r="O878" s="5"/>
    </row>
    <row r="879" spans="7:15" x14ac:dyDescent="0.2">
      <c r="G879" s="659"/>
      <c r="H879" s="659"/>
      <c r="O879" s="5"/>
    </row>
    <row r="880" spans="7:15" x14ac:dyDescent="0.2">
      <c r="G880" s="659"/>
      <c r="H880" s="659"/>
      <c r="O880" s="5"/>
    </row>
    <row r="881" spans="7:15" x14ac:dyDescent="0.2">
      <c r="G881" s="659"/>
      <c r="H881" s="659"/>
      <c r="O881" s="5"/>
    </row>
    <row r="882" spans="7:15" x14ac:dyDescent="0.2">
      <c r="G882" s="659"/>
      <c r="H882" s="659"/>
      <c r="O882" s="5"/>
    </row>
    <row r="883" spans="7:15" x14ac:dyDescent="0.2">
      <c r="G883" s="659"/>
      <c r="H883" s="659"/>
      <c r="O883" s="5"/>
    </row>
    <row r="884" spans="7:15" x14ac:dyDescent="0.2">
      <c r="G884" s="659"/>
      <c r="H884" s="659"/>
      <c r="O884" s="5"/>
    </row>
    <row r="885" spans="7:15" x14ac:dyDescent="0.2">
      <c r="G885" s="659"/>
      <c r="H885" s="659"/>
      <c r="O885" s="5"/>
    </row>
    <row r="886" spans="7:15" x14ac:dyDescent="0.2">
      <c r="G886" s="659"/>
      <c r="H886" s="659"/>
      <c r="O886" s="5"/>
    </row>
    <row r="887" spans="7:15" x14ac:dyDescent="0.2">
      <c r="G887" s="659"/>
      <c r="H887" s="659"/>
      <c r="O887" s="5"/>
    </row>
    <row r="888" spans="7:15" x14ac:dyDescent="0.2">
      <c r="G888" s="659"/>
      <c r="H888" s="659"/>
      <c r="O888" s="5"/>
    </row>
    <row r="889" spans="7:15" x14ac:dyDescent="0.2">
      <c r="G889" s="659"/>
      <c r="H889" s="659"/>
      <c r="O889" s="5"/>
    </row>
    <row r="890" spans="7:15" x14ac:dyDescent="0.2">
      <c r="G890" s="659"/>
      <c r="H890" s="659"/>
      <c r="O890" s="5"/>
    </row>
    <row r="891" spans="7:15" x14ac:dyDescent="0.2">
      <c r="G891" s="659"/>
      <c r="H891" s="659"/>
      <c r="O891" s="5"/>
    </row>
    <row r="892" spans="7:15" x14ac:dyDescent="0.2">
      <c r="G892" s="659"/>
      <c r="H892" s="659"/>
      <c r="O892" s="5"/>
    </row>
    <row r="893" spans="7:15" x14ac:dyDescent="0.2">
      <c r="G893" s="659"/>
      <c r="H893" s="659"/>
      <c r="O893" s="5"/>
    </row>
    <row r="894" spans="7:15" x14ac:dyDescent="0.2">
      <c r="G894" s="659"/>
      <c r="H894" s="659"/>
      <c r="O894" s="5"/>
    </row>
    <row r="895" spans="7:15" x14ac:dyDescent="0.2">
      <c r="G895" s="659"/>
      <c r="H895" s="659"/>
      <c r="O895" s="5"/>
    </row>
    <row r="896" spans="7:15" x14ac:dyDescent="0.2">
      <c r="G896" s="659"/>
      <c r="H896" s="659"/>
      <c r="O896" s="5"/>
    </row>
    <row r="897" spans="7:15" x14ac:dyDescent="0.2">
      <c r="G897" s="659"/>
      <c r="H897" s="659"/>
      <c r="O897" s="5"/>
    </row>
    <row r="898" spans="7:15" x14ac:dyDescent="0.2">
      <c r="G898" s="659"/>
      <c r="H898" s="659"/>
      <c r="O898" s="5"/>
    </row>
    <row r="899" spans="7:15" x14ac:dyDescent="0.2">
      <c r="G899" s="659"/>
      <c r="H899" s="659"/>
      <c r="O899" s="5"/>
    </row>
    <row r="900" spans="7:15" x14ac:dyDescent="0.2">
      <c r="G900" s="659"/>
      <c r="H900" s="659"/>
      <c r="O900" s="5"/>
    </row>
    <row r="901" spans="7:15" x14ac:dyDescent="0.2">
      <c r="G901" s="659"/>
      <c r="H901" s="659"/>
      <c r="O901" s="5"/>
    </row>
    <row r="902" spans="7:15" x14ac:dyDescent="0.2">
      <c r="G902" s="659"/>
      <c r="H902" s="659"/>
      <c r="O902" s="5"/>
    </row>
    <row r="903" spans="7:15" x14ac:dyDescent="0.2">
      <c r="G903" s="659"/>
      <c r="H903" s="659"/>
      <c r="O903" s="5"/>
    </row>
    <row r="904" spans="7:15" x14ac:dyDescent="0.2">
      <c r="G904" s="659"/>
      <c r="H904" s="659"/>
      <c r="O904" s="5"/>
    </row>
    <row r="905" spans="7:15" x14ac:dyDescent="0.2">
      <c r="G905" s="659"/>
      <c r="H905" s="659"/>
      <c r="O905" s="5"/>
    </row>
    <row r="906" spans="7:15" x14ac:dyDescent="0.2">
      <c r="G906" s="659"/>
      <c r="H906" s="659"/>
      <c r="O906" s="5"/>
    </row>
    <row r="907" spans="7:15" x14ac:dyDescent="0.2">
      <c r="G907" s="659"/>
      <c r="H907" s="659"/>
      <c r="O907" s="5"/>
    </row>
    <row r="908" spans="7:15" x14ac:dyDescent="0.2">
      <c r="G908" s="659"/>
      <c r="H908" s="659"/>
      <c r="O908" s="5"/>
    </row>
    <row r="909" spans="7:15" x14ac:dyDescent="0.2">
      <c r="G909" s="659"/>
      <c r="H909" s="659"/>
      <c r="O909" s="5"/>
    </row>
    <row r="910" spans="7:15" x14ac:dyDescent="0.2">
      <c r="G910" s="659"/>
      <c r="H910" s="659"/>
      <c r="O910" s="5"/>
    </row>
    <row r="911" spans="7:15" x14ac:dyDescent="0.2">
      <c r="G911" s="659"/>
      <c r="H911" s="659"/>
      <c r="O911" s="5"/>
    </row>
    <row r="912" spans="7:15" x14ac:dyDescent="0.2">
      <c r="G912" s="659"/>
      <c r="H912" s="659"/>
      <c r="O912" s="5"/>
    </row>
    <row r="913" spans="7:15" x14ac:dyDescent="0.2">
      <c r="G913" s="659"/>
      <c r="H913" s="659"/>
      <c r="O913" s="5"/>
    </row>
    <row r="914" spans="7:15" x14ac:dyDescent="0.2">
      <c r="G914" s="659"/>
      <c r="H914" s="659"/>
      <c r="O914" s="5"/>
    </row>
    <row r="915" spans="7:15" x14ac:dyDescent="0.2">
      <c r="G915" s="659"/>
      <c r="H915" s="659"/>
      <c r="O915" s="5"/>
    </row>
    <row r="916" spans="7:15" x14ac:dyDescent="0.2">
      <c r="G916" s="659"/>
      <c r="H916" s="659"/>
      <c r="O916" s="5"/>
    </row>
    <row r="917" spans="7:15" x14ac:dyDescent="0.2">
      <c r="G917" s="659"/>
      <c r="H917" s="659"/>
      <c r="O917" s="5"/>
    </row>
    <row r="918" spans="7:15" x14ac:dyDescent="0.2">
      <c r="G918" s="659"/>
      <c r="H918" s="659"/>
      <c r="O918" s="5"/>
    </row>
    <row r="919" spans="7:15" x14ac:dyDescent="0.2">
      <c r="G919" s="659"/>
      <c r="H919" s="659"/>
      <c r="O919" s="5"/>
    </row>
    <row r="920" spans="7:15" x14ac:dyDescent="0.2">
      <c r="G920" s="659"/>
      <c r="H920" s="659"/>
      <c r="O920" s="5"/>
    </row>
    <row r="921" spans="7:15" x14ac:dyDescent="0.2">
      <c r="G921" s="659"/>
      <c r="H921" s="659"/>
      <c r="O921" s="5"/>
    </row>
    <row r="922" spans="7:15" x14ac:dyDescent="0.2">
      <c r="G922" s="659"/>
      <c r="H922" s="659"/>
      <c r="O922" s="5"/>
    </row>
    <row r="923" spans="7:15" x14ac:dyDescent="0.2">
      <c r="G923" s="659"/>
      <c r="H923" s="659"/>
      <c r="O923" s="5"/>
    </row>
    <row r="924" spans="7:15" x14ac:dyDescent="0.2">
      <c r="G924" s="659"/>
      <c r="H924" s="659"/>
      <c r="O924" s="5"/>
    </row>
    <row r="925" spans="7:15" x14ac:dyDescent="0.2">
      <c r="G925" s="659"/>
      <c r="H925" s="659"/>
      <c r="O925" s="5"/>
    </row>
    <row r="926" spans="7:15" x14ac:dyDescent="0.2">
      <c r="G926" s="659"/>
      <c r="H926" s="659"/>
      <c r="O926" s="5"/>
    </row>
    <row r="927" spans="7:15" x14ac:dyDescent="0.2">
      <c r="G927" s="659"/>
      <c r="H927" s="659"/>
      <c r="O927" s="5"/>
    </row>
    <row r="928" spans="7:15" x14ac:dyDescent="0.2">
      <c r="G928" s="659"/>
      <c r="H928" s="659"/>
      <c r="O928" s="5"/>
    </row>
    <row r="929" spans="7:15" x14ac:dyDescent="0.2">
      <c r="G929" s="659"/>
      <c r="H929" s="659"/>
      <c r="O929" s="5"/>
    </row>
    <row r="930" spans="7:15" x14ac:dyDescent="0.2">
      <c r="G930" s="659"/>
      <c r="H930" s="659"/>
      <c r="O930" s="5"/>
    </row>
    <row r="931" spans="7:15" x14ac:dyDescent="0.2">
      <c r="G931" s="659"/>
      <c r="H931" s="659"/>
      <c r="O931" s="5"/>
    </row>
    <row r="932" spans="7:15" x14ac:dyDescent="0.2">
      <c r="G932" s="659"/>
      <c r="H932" s="659"/>
      <c r="O932" s="5"/>
    </row>
    <row r="933" spans="7:15" x14ac:dyDescent="0.2">
      <c r="G933" s="659"/>
      <c r="H933" s="659"/>
      <c r="O933" s="5"/>
    </row>
    <row r="934" spans="7:15" x14ac:dyDescent="0.2">
      <c r="G934" s="659"/>
      <c r="H934" s="659"/>
      <c r="O934" s="5"/>
    </row>
    <row r="935" spans="7:15" x14ac:dyDescent="0.2">
      <c r="G935" s="659"/>
      <c r="H935" s="659"/>
      <c r="O935" s="5"/>
    </row>
    <row r="936" spans="7:15" x14ac:dyDescent="0.2">
      <c r="G936" s="659"/>
      <c r="H936" s="659"/>
      <c r="O936" s="5"/>
    </row>
    <row r="937" spans="7:15" x14ac:dyDescent="0.2">
      <c r="G937" s="659"/>
      <c r="H937" s="659"/>
      <c r="O937" s="5"/>
    </row>
    <row r="938" spans="7:15" x14ac:dyDescent="0.2">
      <c r="G938" s="659"/>
      <c r="H938" s="659"/>
      <c r="O938" s="5"/>
    </row>
    <row r="939" spans="7:15" x14ac:dyDescent="0.2">
      <c r="G939" s="659"/>
      <c r="H939" s="659"/>
      <c r="O939" s="5"/>
    </row>
    <row r="940" spans="7:15" x14ac:dyDescent="0.2">
      <c r="G940" s="659"/>
      <c r="H940" s="659"/>
      <c r="O940" s="5"/>
    </row>
    <row r="941" spans="7:15" x14ac:dyDescent="0.2">
      <c r="G941" s="659"/>
      <c r="H941" s="659"/>
      <c r="O941" s="5"/>
    </row>
    <row r="942" spans="7:15" x14ac:dyDescent="0.2">
      <c r="G942" s="659"/>
      <c r="H942" s="659"/>
      <c r="O942" s="5"/>
    </row>
    <row r="943" spans="7:15" x14ac:dyDescent="0.2">
      <c r="G943" s="659"/>
      <c r="H943" s="659"/>
      <c r="O943" s="5"/>
    </row>
    <row r="944" spans="7:15" x14ac:dyDescent="0.2">
      <c r="G944" s="659"/>
      <c r="H944" s="659"/>
      <c r="O944" s="5"/>
    </row>
    <row r="945" spans="7:15" x14ac:dyDescent="0.2">
      <c r="G945" s="659"/>
      <c r="H945" s="659"/>
      <c r="O945" s="5"/>
    </row>
    <row r="946" spans="7:15" x14ac:dyDescent="0.2">
      <c r="G946" s="659"/>
      <c r="H946" s="659"/>
      <c r="O946" s="5"/>
    </row>
    <row r="947" spans="7:15" x14ac:dyDescent="0.2">
      <c r="G947" s="659"/>
      <c r="H947" s="659"/>
      <c r="O947" s="5"/>
    </row>
    <row r="948" spans="7:15" x14ac:dyDescent="0.2">
      <c r="G948" s="659"/>
      <c r="H948" s="659"/>
      <c r="O948" s="5"/>
    </row>
    <row r="949" spans="7:15" x14ac:dyDescent="0.2">
      <c r="G949" s="659"/>
      <c r="H949" s="659"/>
      <c r="O949" s="5"/>
    </row>
    <row r="950" spans="7:15" x14ac:dyDescent="0.2">
      <c r="G950" s="659"/>
      <c r="H950" s="659"/>
      <c r="O950" s="5"/>
    </row>
    <row r="951" spans="7:15" x14ac:dyDescent="0.2">
      <c r="G951" s="659"/>
      <c r="H951" s="659"/>
      <c r="O951" s="5"/>
    </row>
    <row r="952" spans="7:15" x14ac:dyDescent="0.2">
      <c r="G952" s="659"/>
      <c r="H952" s="659"/>
      <c r="O952" s="5"/>
    </row>
    <row r="953" spans="7:15" x14ac:dyDescent="0.2">
      <c r="G953" s="659"/>
      <c r="H953" s="659"/>
      <c r="O953" s="5"/>
    </row>
    <row r="954" spans="7:15" x14ac:dyDescent="0.2">
      <c r="G954" s="659"/>
      <c r="H954" s="659"/>
      <c r="O954" s="5"/>
    </row>
    <row r="955" spans="7:15" x14ac:dyDescent="0.2">
      <c r="G955" s="659"/>
      <c r="H955" s="659"/>
      <c r="O955" s="5"/>
    </row>
  </sheetData>
  <customSheetViews>
    <customSheetView guid="{9BEC6399-AE85-4D88-8FBA-3674E2F30307}">
      <selection activeCell="E13" sqref="E13"/>
      <pageMargins left="0.7" right="0.7" top="0.75" bottom="0.75" header="0.3" footer="0.3"/>
      <pageSetup orientation="portrait" r:id="rId1"/>
    </customSheetView>
    <customSheetView guid="{0347A67A-6027-4907-965C-6EA2A8295536}">
      <selection activeCell="H35" sqref="H30:Q35"/>
      <pageMargins left="0.7" right="0.7" top="0.75" bottom="0.75" header="0.3" footer="0.3"/>
      <pageSetup orientation="portrait" r:id="rId2"/>
    </customSheetView>
    <customSheetView guid="{15CC7F3D-99AB-49C1-AC00-E04D3FE3FBC1}" topLeftCell="F52">
      <selection activeCell="N49" sqref="N49"/>
      <pageMargins left="0.7" right="0.7" top="0.75" bottom="0.75" header="0.3" footer="0.3"/>
      <pageSetup orientation="portrait" r:id="rId3"/>
    </customSheetView>
  </customSheetViews>
  <mergeCells count="4">
    <mergeCell ref="B1:E1"/>
    <mergeCell ref="F1:I1"/>
    <mergeCell ref="J1:M1"/>
    <mergeCell ref="N1:Q1"/>
  </mergeCells>
  <phoneticPr fontId="30" type="noConversion"/>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381</vt:i4>
      </vt:variant>
    </vt:vector>
  </HeadingPairs>
  <TitlesOfParts>
    <vt:vector size="412" baseType="lpstr">
      <vt:lpstr>03-08_ReportTbl</vt:lpstr>
      <vt:lpstr>03-08_SectorTbl</vt:lpstr>
      <vt:lpstr>10_Trk_FW</vt:lpstr>
      <vt:lpstr>frontmatter</vt:lpstr>
      <vt:lpstr>revs</vt:lpstr>
      <vt:lpstr>USGPC_Scope</vt:lpstr>
      <vt:lpstr>Summary_RptTbls</vt:lpstr>
      <vt:lpstr>QC Tracker</vt:lpstr>
      <vt:lpstr>Electricity</vt:lpstr>
      <vt:lpstr>Res-Heat &amp; Hot Water</vt:lpstr>
      <vt:lpstr>Commercial- Heat &amp; Hot Water</vt:lpstr>
      <vt:lpstr>Commercial- Equip</vt:lpstr>
      <vt:lpstr>Res- Garden &amp; Rec</vt:lpstr>
      <vt:lpstr>Ind- Operations</vt:lpstr>
      <vt:lpstr>Ind- Process</vt:lpstr>
      <vt:lpstr>Ind- Small Equip</vt:lpstr>
      <vt:lpstr>Ind- Fug. Gases</vt:lpstr>
      <vt:lpstr>Trans- Road</vt:lpstr>
      <vt:lpstr>Trans- Marine</vt:lpstr>
      <vt:lpstr>Trans-Rail</vt:lpstr>
      <vt:lpstr>Trans- Air</vt:lpstr>
      <vt:lpstr>Waste- Management</vt:lpstr>
      <vt:lpstr>Waste- Landfills</vt:lpstr>
      <vt:lpstr>Water-Potable</vt:lpstr>
      <vt:lpstr>Water-Waste</vt:lpstr>
      <vt:lpstr>Agr</vt:lpstr>
      <vt:lpstr>Land_Use</vt:lpstr>
      <vt:lpstr>Emission Factors</vt:lpstr>
      <vt:lpstr>Emission Factors-mobile</vt:lpstr>
      <vt:lpstr>ref</vt:lpstr>
      <vt:lpstr>units</vt:lpstr>
      <vt:lpstr>___pop05</vt:lpstr>
      <vt:lpstr>__pop08</vt:lpstr>
      <vt:lpstr>_2009</vt:lpstr>
      <vt:lpstr>_pop90</vt:lpstr>
      <vt:lpstr>acreftTOgal</vt:lpstr>
      <vt:lpstr>acreftTOm3</vt:lpstr>
      <vt:lpstr>acreinTOgal</vt:lpstr>
      <vt:lpstr>acreTOft2</vt:lpstr>
      <vt:lpstr>acreTOha</vt:lpstr>
      <vt:lpstr>acreTOkm2</vt:lpstr>
      <vt:lpstr>acreTOm2</vt:lpstr>
      <vt:lpstr>acreTOmi2</vt:lpstr>
      <vt:lpstr>airArfraction</vt:lpstr>
      <vt:lpstr>airCO2fraction</vt:lpstr>
      <vt:lpstr>airN2fraction</vt:lpstr>
      <vt:lpstr>airO2fraction</vt:lpstr>
      <vt:lpstr>airotherfraction</vt:lpstr>
      <vt:lpstr>atmTObar</vt:lpstr>
      <vt:lpstr>atmTOpsi</vt:lpstr>
      <vt:lpstr>barTOPa</vt:lpstr>
      <vt:lpstr>barTOpsi</vt:lpstr>
      <vt:lpstr>bblTOgal</vt:lpstr>
      <vt:lpstr>bblTOL</vt:lpstr>
      <vt:lpstr>Btu.ft3TOMJ.m3</vt:lpstr>
      <vt:lpstr>Btu.hphTOmmBtu.MWh</vt:lpstr>
      <vt:lpstr>Btu.lbTOMJ.kg</vt:lpstr>
      <vt:lpstr>Btu.lbTOmmBtu.ton</vt:lpstr>
      <vt:lpstr>BtuTOcal</vt:lpstr>
      <vt:lpstr>BtuTOJ</vt:lpstr>
      <vt:lpstr>BtuTOkJ</vt:lpstr>
      <vt:lpstr>BtuTOkWh</vt:lpstr>
      <vt:lpstr>BtuTOMJ</vt:lpstr>
      <vt:lpstr>BtuTOWh</vt:lpstr>
      <vt:lpstr>calTOBtu</vt:lpstr>
      <vt:lpstr>calTOJ</vt:lpstr>
      <vt:lpstr>CH4.C</vt:lpstr>
      <vt:lpstr>cmpIndKC14</vt:lpstr>
      <vt:lpstr>cmpIndKC15</vt:lpstr>
      <vt:lpstr>cmTOin</vt:lpstr>
      <vt:lpstr>CO2.C</vt:lpstr>
      <vt:lpstr>CO2perCH4</vt:lpstr>
      <vt:lpstr>cruisecalls05</vt:lpstr>
      <vt:lpstr>cruisecalls08</vt:lpstr>
      <vt:lpstr>dayTOmin</vt:lpstr>
      <vt:lpstr>dayTOyr</vt:lpstr>
      <vt:lpstr>densityC3H8</vt:lpstr>
      <vt:lpstr>densityC3H8at60degF</vt:lpstr>
      <vt:lpstr>densityCH4</vt:lpstr>
      <vt:lpstr>densityCH4at60degF</vt:lpstr>
      <vt:lpstr>densityCO</vt:lpstr>
      <vt:lpstr>densityCO2</vt:lpstr>
      <vt:lpstr>densityCO2at60degF</vt:lpstr>
      <vt:lpstr>densityCOat60degF</vt:lpstr>
      <vt:lpstr>densityN2O</vt:lpstr>
      <vt:lpstr>densityN2Oat60degF</vt:lpstr>
      <vt:lpstr>densityNO2</vt:lpstr>
      <vt:lpstr>densityNO2at60degF</vt:lpstr>
      <vt:lpstr>densitySO2</vt:lpstr>
      <vt:lpstr>densitySO2at60degF</vt:lpstr>
      <vt:lpstr>efavgas</vt:lpstr>
      <vt:lpstr>efCNGmobile</vt:lpstr>
      <vt:lpstr>efcoal</vt:lpstr>
      <vt:lpstr>efdistillate</vt:lpstr>
      <vt:lpstr>effgasoline90</vt:lpstr>
      <vt:lpstr>efgas.res.ch4</vt:lpstr>
      <vt:lpstr>efgas.res.n2o</vt:lpstr>
      <vt:lpstr>efgasoline00</vt:lpstr>
      <vt:lpstr>efgasoline01</vt:lpstr>
      <vt:lpstr>efgasoline02</vt:lpstr>
      <vt:lpstr>efgasoline03</vt:lpstr>
      <vt:lpstr>efgasoline04</vt:lpstr>
      <vt:lpstr>efgasoline05</vt:lpstr>
      <vt:lpstr>efgasoline06</vt:lpstr>
      <vt:lpstr>efgasoline07</vt:lpstr>
      <vt:lpstr>efgasoline08</vt:lpstr>
      <vt:lpstr>efgasoline09</vt:lpstr>
      <vt:lpstr>efgasoline10</vt:lpstr>
      <vt:lpstr>efgasoline11</vt:lpstr>
      <vt:lpstr>efgasoline12</vt:lpstr>
      <vt:lpstr>efgasoline13</vt:lpstr>
      <vt:lpstr>efgasoline14</vt:lpstr>
      <vt:lpstr>efgasoline15</vt:lpstr>
      <vt:lpstr>efgasoline90</vt:lpstr>
      <vt:lpstr>efgavgas</vt:lpstr>
      <vt:lpstr>efgdistillate</vt:lpstr>
      <vt:lpstr>efgdistillate.com.ch4</vt:lpstr>
      <vt:lpstr>efgdistillate.com.n2o</vt:lpstr>
      <vt:lpstr>efgdistillate.ind.ch4</vt:lpstr>
      <vt:lpstr>efgdistillate.ind.n2o</vt:lpstr>
      <vt:lpstr>efgdistillate.res.ch4</vt:lpstr>
      <vt:lpstr>efgdistillate.res.n2o</vt:lpstr>
      <vt:lpstr>efggasoline0</vt:lpstr>
      <vt:lpstr>efggasoline1</vt:lpstr>
      <vt:lpstr>efggasoline10</vt:lpstr>
      <vt:lpstr>efggasoline11</vt:lpstr>
      <vt:lpstr>efggasoline12</vt:lpstr>
      <vt:lpstr>efggasoline13</vt:lpstr>
      <vt:lpstr>efggasoline14</vt:lpstr>
      <vt:lpstr>efggasoline15</vt:lpstr>
      <vt:lpstr>efggasoline2</vt:lpstr>
      <vt:lpstr>efggasoline3</vt:lpstr>
      <vt:lpstr>efggasoline4</vt:lpstr>
      <vt:lpstr>efggasoline5</vt:lpstr>
      <vt:lpstr>efggasoline6</vt:lpstr>
      <vt:lpstr>efggasoline7</vt:lpstr>
      <vt:lpstr>efggasoline8</vt:lpstr>
      <vt:lpstr>efggasoline9</vt:lpstr>
      <vt:lpstr>efggasoline95</vt:lpstr>
      <vt:lpstr>efgjetfuel</vt:lpstr>
      <vt:lpstr>efgLPG</vt:lpstr>
      <vt:lpstr>efgresidual</vt:lpstr>
      <vt:lpstr>efgresidual.com.ch4</vt:lpstr>
      <vt:lpstr>efgresidual.com.n2o</vt:lpstr>
      <vt:lpstr>efgresidual.ind.ch4</vt:lpstr>
      <vt:lpstr>efgresidual.ind.n2o</vt:lpstr>
      <vt:lpstr>efgresidual.res.ch4</vt:lpstr>
      <vt:lpstr>efgresidual.res.n2o</vt:lpstr>
      <vt:lpstr>efjetfuel</vt:lpstr>
      <vt:lpstr>efLPG</vt:lpstr>
      <vt:lpstr>efresidual</vt:lpstr>
      <vt:lpstr>efTDF</vt:lpstr>
      <vt:lpstr>efTDF_previous</vt:lpstr>
      <vt:lpstr>EJTOTWh</vt:lpstr>
      <vt:lpstr>empCom04</vt:lpstr>
      <vt:lpstr>empCom08</vt:lpstr>
      <vt:lpstr>empComKC03</vt:lpstr>
      <vt:lpstr>empComKC08</vt:lpstr>
      <vt:lpstr>empComKC10</vt:lpstr>
      <vt:lpstr>empComKC14</vt:lpstr>
      <vt:lpstr>empComKC15</vt:lpstr>
      <vt:lpstr>empComWA03</vt:lpstr>
      <vt:lpstr>empComWA08</vt:lpstr>
      <vt:lpstr>empComWA10</vt:lpstr>
      <vt:lpstr>empComWA14</vt:lpstr>
      <vt:lpstr>empComWA15</vt:lpstr>
      <vt:lpstr>empInd04</vt:lpstr>
      <vt:lpstr>empInd08</vt:lpstr>
      <vt:lpstr>empIndKC03</vt:lpstr>
      <vt:lpstr>empIndKC08</vt:lpstr>
      <vt:lpstr>empIndKC10</vt:lpstr>
      <vt:lpstr>empIndWA03</vt:lpstr>
      <vt:lpstr>empIndWA08</vt:lpstr>
      <vt:lpstr>empIndWA10</vt:lpstr>
      <vt:lpstr>empIndWA14</vt:lpstr>
      <vt:lpstr>empIndWA15</vt:lpstr>
      <vt:lpstr>F.C</vt:lpstr>
      <vt:lpstr>freezeC</vt:lpstr>
      <vt:lpstr>freezeF</vt:lpstr>
      <vt:lpstr>ft2TOm2</vt:lpstr>
      <vt:lpstr>ft2TOyd2</vt:lpstr>
      <vt:lpstr>ft3TOgal</vt:lpstr>
      <vt:lpstr>ft3TOL</vt:lpstr>
      <vt:lpstr>ft3TOm3</vt:lpstr>
      <vt:lpstr>ftTOm</vt:lpstr>
      <vt:lpstr>g.hphTOlb.MWh</vt:lpstr>
      <vt:lpstr>g.kWhTOlb.MWh</vt:lpstr>
      <vt:lpstr>galTOacreft</vt:lpstr>
      <vt:lpstr>galTOacrein</vt:lpstr>
      <vt:lpstr>galTObbl</vt:lpstr>
      <vt:lpstr>galTOL</vt:lpstr>
      <vt:lpstr>galTOliter</vt:lpstr>
      <vt:lpstr>galTOm3</vt:lpstr>
      <vt:lpstr>gasconstant</vt:lpstr>
      <vt:lpstr>ggeTOMJ</vt:lpstr>
      <vt:lpstr>GJ.hrTOMW</vt:lpstr>
      <vt:lpstr>GJTOmmBtu</vt:lpstr>
      <vt:lpstr>GJTOMWh</vt:lpstr>
      <vt:lpstr>GJTOtherm</vt:lpstr>
      <vt:lpstr>gpmTOliter.s</vt:lpstr>
      <vt:lpstr>gTOlb</vt:lpstr>
      <vt:lpstr>GWPCH4</vt:lpstr>
      <vt:lpstr>GWPHFC125</vt:lpstr>
      <vt:lpstr>GWPHFC134a</vt:lpstr>
      <vt:lpstr>GWPHFC143a</vt:lpstr>
      <vt:lpstr>GWPHFC152a</vt:lpstr>
      <vt:lpstr>GWPHFC227ea</vt:lpstr>
      <vt:lpstr>GWPHFC23</vt:lpstr>
      <vt:lpstr>GWPHFC236fa</vt:lpstr>
      <vt:lpstr>GWPHFC245ca</vt:lpstr>
      <vt:lpstr>GWPHFC32</vt:lpstr>
      <vt:lpstr>GWPN2O</vt:lpstr>
      <vt:lpstr>GWPPFC116</vt:lpstr>
      <vt:lpstr>GWPPFC218</vt:lpstr>
      <vt:lpstr>GWPPFC410</vt:lpstr>
      <vt:lpstr>GWPSF6</vt:lpstr>
      <vt:lpstr>GWTOkW</vt:lpstr>
      <vt:lpstr>GWTOquad.yr</vt:lpstr>
      <vt:lpstr>GWTOTWh.yr</vt:lpstr>
      <vt:lpstr>H2.H2O</vt:lpstr>
      <vt:lpstr>haTOacre</vt:lpstr>
      <vt:lpstr>haTOkm2</vt:lpstr>
      <vt:lpstr>HHVavgas</vt:lpstr>
      <vt:lpstr>HHVcoal</vt:lpstr>
      <vt:lpstr>HHVdistillate</vt:lpstr>
      <vt:lpstr>HHVgas</vt:lpstr>
      <vt:lpstr>HHVgasoline</vt:lpstr>
      <vt:lpstr>HHVjetfuel</vt:lpstr>
      <vt:lpstr>HHVLPG</vt:lpstr>
      <vt:lpstr>HHVresidual</vt:lpstr>
      <vt:lpstr>hpTOkW</vt:lpstr>
      <vt:lpstr>hrTOday</vt:lpstr>
      <vt:lpstr>hrTOs</vt:lpstr>
      <vt:lpstr>hrTOyr</vt:lpstr>
      <vt:lpstr>inTOcm</vt:lpstr>
      <vt:lpstr>inTOmm</vt:lpstr>
      <vt:lpstr>ISO5024volume</vt:lpstr>
      <vt:lpstr>JTOBtu</vt:lpstr>
      <vt:lpstr>JTOcal</vt:lpstr>
      <vt:lpstr>JTOWh</vt:lpstr>
      <vt:lpstr>K0degC</vt:lpstr>
      <vt:lpstr>K15degC</vt:lpstr>
      <vt:lpstr>K60degF</vt:lpstr>
      <vt:lpstr>kcalTOMJ</vt:lpstr>
      <vt:lpstr>kg.GJTOlb.MWh</vt:lpstr>
      <vt:lpstr>kgTOg</vt:lpstr>
      <vt:lpstr>kgTOlb</vt:lpstr>
      <vt:lpstr>kJ.kWhTOmmBtu.MWh</vt:lpstr>
      <vt:lpstr>kJTOBtu</vt:lpstr>
      <vt:lpstr>km.lTOmi.gal</vt:lpstr>
      <vt:lpstr>km2TOacre</vt:lpstr>
      <vt:lpstr>km2TOm2</vt:lpstr>
      <vt:lpstr>km2TOmi2</vt:lpstr>
      <vt:lpstr>kmTOmi</vt:lpstr>
      <vt:lpstr>kWh.tonTOMJ.kg</vt:lpstr>
      <vt:lpstr>kWhTOBtu</vt:lpstr>
      <vt:lpstr>kWhTOMJ</vt:lpstr>
      <vt:lpstr>kWTOhp</vt:lpstr>
      <vt:lpstr>L.sTOgpm</vt:lpstr>
      <vt:lpstr>lb.mmBtuTOMg.mmBtu</vt:lpstr>
      <vt:lpstr>lb.mmBtuTOng.J</vt:lpstr>
      <vt:lpstr>lb.mmBtuTOTg.quad</vt:lpstr>
      <vt:lpstr>lb.MWhTOg.hph</vt:lpstr>
      <vt:lpstr>lb.MWhTOg.kWh</vt:lpstr>
      <vt:lpstr>lb.MWhTOkg.GJ</vt:lpstr>
      <vt:lpstr>lb.MWhTOton.GWh</vt:lpstr>
      <vt:lpstr>lbTOg</vt:lpstr>
      <vt:lpstr>lbTOkg</vt:lpstr>
      <vt:lpstr>lbTOMg</vt:lpstr>
      <vt:lpstr>lbTON</vt:lpstr>
      <vt:lpstr>lbTOoz</vt:lpstr>
      <vt:lpstr>lbTOton</vt:lpstr>
      <vt:lpstr>LTOft3</vt:lpstr>
      <vt:lpstr>LTOgal</vt:lpstr>
      <vt:lpstr>LTOm3</vt:lpstr>
      <vt:lpstr>m2TOacre</vt:lpstr>
      <vt:lpstr>m2TOft2</vt:lpstr>
      <vt:lpstr>m2TOkm2</vt:lpstr>
      <vt:lpstr>m3.dayTOgpm</vt:lpstr>
      <vt:lpstr>m3TOacreft</vt:lpstr>
      <vt:lpstr>m3TOft3</vt:lpstr>
      <vt:lpstr>m3TOgal</vt:lpstr>
      <vt:lpstr>m3TOliter</vt:lpstr>
      <vt:lpstr>massC</vt:lpstr>
      <vt:lpstr>massC3H8</vt:lpstr>
      <vt:lpstr>massCH4</vt:lpstr>
      <vt:lpstr>massCO</vt:lpstr>
      <vt:lpstr>massCO2</vt:lpstr>
      <vt:lpstr>massH</vt:lpstr>
      <vt:lpstr>massN</vt:lpstr>
      <vt:lpstr>massN2O</vt:lpstr>
      <vt:lpstr>massNO2</vt:lpstr>
      <vt:lpstr>massO</vt:lpstr>
      <vt:lpstr>massS</vt:lpstr>
      <vt:lpstr>massSO2</vt:lpstr>
      <vt:lpstr>Mg.hayrTOton.acreyr</vt:lpstr>
      <vt:lpstr>MgTOton</vt:lpstr>
      <vt:lpstr>mi2TOacre</vt:lpstr>
      <vt:lpstr>mi2TOkm2</vt:lpstr>
      <vt:lpstr>minTOday</vt:lpstr>
      <vt:lpstr>miTOkm</vt:lpstr>
      <vt:lpstr>MJ.hrTOkW</vt:lpstr>
      <vt:lpstr>MJ.kgTOBtu.lb</vt:lpstr>
      <vt:lpstr>MJ.kgTOkWh.ton</vt:lpstr>
      <vt:lpstr>MJ.kgTOmmBtu.ton</vt:lpstr>
      <vt:lpstr>MJ.kWhTOmmBtu.MWh</vt:lpstr>
      <vt:lpstr>MJ.m3TOBtu.ft3</vt:lpstr>
      <vt:lpstr>MJTOBtu</vt:lpstr>
      <vt:lpstr>MJTOkcal</vt:lpstr>
      <vt:lpstr>MJTOkWh</vt:lpstr>
      <vt:lpstr>MJTOMWh</vt:lpstr>
      <vt:lpstr>MJTOtherm</vt:lpstr>
      <vt:lpstr>mmBtu.MWhTOBtu.hph</vt:lpstr>
      <vt:lpstr>mmBtu.MWhTOkJ.kWh</vt:lpstr>
      <vt:lpstr>mmBtu.MWhTOMJ.kWh</vt:lpstr>
      <vt:lpstr>mmBtu.tonTOBtu.lb</vt:lpstr>
      <vt:lpstr>mmBtuTOMJ</vt:lpstr>
      <vt:lpstr>mmBtuTOMWh</vt:lpstr>
      <vt:lpstr>mmBtuTOtherm</vt:lpstr>
      <vt:lpstr>mmBtuTOTJ</vt:lpstr>
      <vt:lpstr>mmTOin</vt:lpstr>
      <vt:lpstr>molVol0degC</vt:lpstr>
      <vt:lpstr>molVol15degC</vt:lpstr>
      <vt:lpstr>molVol60degF</vt:lpstr>
      <vt:lpstr>moTOday</vt:lpstr>
      <vt:lpstr>moTOyr</vt:lpstr>
      <vt:lpstr>MtoeTOGWh</vt:lpstr>
      <vt:lpstr>MtoeTOmmBtu</vt:lpstr>
      <vt:lpstr>MtoeTOTJ</vt:lpstr>
      <vt:lpstr>MWhTOGJ</vt:lpstr>
      <vt:lpstr>MWhTOmmBtu</vt:lpstr>
      <vt:lpstr>MWhTOTJ</vt:lpstr>
      <vt:lpstr>MWTOGJ.hr</vt:lpstr>
      <vt:lpstr>MWTOkW</vt:lpstr>
      <vt:lpstr>ng.JTOlb.mmBtu</vt:lpstr>
      <vt:lpstr>ozTOkg</vt:lpstr>
      <vt:lpstr>pop00</vt:lpstr>
      <vt:lpstr>popKC00</vt:lpstr>
      <vt:lpstr>popKC01</vt:lpstr>
      <vt:lpstr>popKC02</vt:lpstr>
      <vt:lpstr>popKC03</vt:lpstr>
      <vt:lpstr>popKC04</vt:lpstr>
      <vt:lpstr>popKC05</vt:lpstr>
      <vt:lpstr>popKC06</vt:lpstr>
      <vt:lpstr>popKC07</vt:lpstr>
      <vt:lpstr>popKC08</vt:lpstr>
      <vt:lpstr>popKC09</vt:lpstr>
      <vt:lpstr>popKC10</vt:lpstr>
      <vt:lpstr>popKC11</vt:lpstr>
      <vt:lpstr>popKC12</vt:lpstr>
      <vt:lpstr>popKC13</vt:lpstr>
      <vt:lpstr>popKC14</vt:lpstr>
      <vt:lpstr>popKC15</vt:lpstr>
      <vt:lpstr>popSea00</vt:lpstr>
      <vt:lpstr>popSea03</vt:lpstr>
      <vt:lpstr>popSea05</vt:lpstr>
      <vt:lpstr>popSea08</vt:lpstr>
      <vt:lpstr>popSea15</vt:lpstr>
      <vt:lpstr>popSea2005</vt:lpstr>
      <vt:lpstr>popSea2008</vt:lpstr>
      <vt:lpstr>popSea90</vt:lpstr>
      <vt:lpstr>popUS03</vt:lpstr>
      <vt:lpstr>popUS04</vt:lpstr>
      <vt:lpstr>popUS05</vt:lpstr>
      <vt:lpstr>popUS06</vt:lpstr>
      <vt:lpstr>popUS07</vt:lpstr>
      <vt:lpstr>popUS08</vt:lpstr>
      <vt:lpstr>popUS09</vt:lpstr>
      <vt:lpstr>popUS15</vt:lpstr>
      <vt:lpstr>popWA03</vt:lpstr>
      <vt:lpstr>popWA07</vt:lpstr>
      <vt:lpstr>popWA08</vt:lpstr>
      <vt:lpstr>popWA10</vt:lpstr>
      <vt:lpstr>popWA11</vt:lpstr>
      <vt:lpstr>popWA12</vt:lpstr>
      <vt:lpstr>popWA13</vt:lpstr>
      <vt:lpstr>popWA14</vt:lpstr>
      <vt:lpstr>popWA15</vt:lpstr>
      <vt:lpstr>portcalls05</vt:lpstr>
      <vt:lpstr>portcalls08</vt:lpstr>
      <vt:lpstr>portton05</vt:lpstr>
      <vt:lpstr>portton08</vt:lpstr>
      <vt:lpstr>psiTOPa</vt:lpstr>
      <vt:lpstr>quad.yrTOGW</vt:lpstr>
      <vt:lpstr>quadTOEJ</vt:lpstr>
      <vt:lpstr>quadTOTWh</vt:lpstr>
      <vt:lpstr>shorepow05</vt:lpstr>
      <vt:lpstr>shorepow08</vt:lpstr>
      <vt:lpstr>SO2.S</vt:lpstr>
      <vt:lpstr>sTOday</vt:lpstr>
      <vt:lpstr>sTOhr</vt:lpstr>
      <vt:lpstr>STPvolume</vt:lpstr>
      <vt:lpstr>Tg.quadTOlb.mmBtu</vt:lpstr>
      <vt:lpstr>thermTOBtu</vt:lpstr>
      <vt:lpstr>thermTOGJ</vt:lpstr>
      <vt:lpstr>thermTOkWh</vt:lpstr>
      <vt:lpstr>thermTOMJ</vt:lpstr>
      <vt:lpstr>thermTOTJ</vt:lpstr>
      <vt:lpstr>ton.GWhTOlb.MWh</vt:lpstr>
      <vt:lpstr>tonTOkg</vt:lpstr>
      <vt:lpstr>tonTOlb</vt:lpstr>
      <vt:lpstr>tonTOMg</vt:lpstr>
      <vt:lpstr>TWh.yrTOGW</vt:lpstr>
      <vt:lpstr>TWhTOEJ</vt:lpstr>
      <vt:lpstr>TWhTOquad</vt:lpstr>
      <vt:lpstr>WhTOBtu</vt:lpstr>
      <vt:lpstr>WhTOJ</vt:lpstr>
      <vt:lpstr>yd2TOft2</vt:lpstr>
      <vt:lpstr>yd3TOm3</vt:lpstr>
      <vt:lpstr>yrTOday</vt:lpstr>
      <vt:lpstr>yrTOhr</vt:lpstr>
      <vt:lpstr>yrTOmo</vt:lpstr>
    </vt:vector>
  </TitlesOfParts>
  <Company>Stockholm Environment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Roel Hammerschlag</dc:creator>
  <cp:lastModifiedBy>Brian Harmon</cp:lastModifiedBy>
  <cp:lastPrinted>2009-12-04T17:25:03Z</cp:lastPrinted>
  <dcterms:created xsi:type="dcterms:W3CDTF">2003-01-23T18:00:18Z</dcterms:created>
  <dcterms:modified xsi:type="dcterms:W3CDTF">2017-05-26T00:18:07Z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f93b6fd1-e213-4c1f-9c81-0309a4389d76</vt:lpwstr>
  </property>
</Properties>
</file>