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andream\Dropbox (Cascadia)\KC 2015 GHG Inventory\King County 2015 GHG report\King County Inventory\"/>
    </mc:Choice>
  </mc:AlternateContent>
  <bookViews>
    <workbookView xWindow="0" yWindow="0" windowWidth="15930" windowHeight="5085"/>
  </bookViews>
  <sheets>
    <sheet name="Summary_RptTbls" sheetId="1" r:id="rId1"/>
    <sheet name="Electricity" sheetId="2" r:id="rId2"/>
  </sheets>
  <externalReferences>
    <externalReference r:id="rId3"/>
  </externalReferences>
  <definedNames>
    <definedName name="_xlnm._FilterDatabase" localSheetId="0" hidden="1">Summary_RptTbls!$A$5:$A$43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mpIndKC14">[1]ref!$C$138</definedName>
    <definedName name="CO2.C">[1]ref!$C$4</definedName>
    <definedName name="cruisecalls05">[1]ref!$C$94</definedName>
    <definedName name="cruisecalls08">[1]ref!$C$95</definedName>
    <definedName name="dayTOmin">[1]units!$D$30</definedName>
    <definedName name="dayTOyr">[1]units!$D$31</definedName>
    <definedName name="densityCH4">[1]ref!$C$42</definedName>
    <definedName name="efavgas">'[1]Emission Factors'!$C$143</definedName>
    <definedName name="efCNG">#REF!</definedName>
    <definedName name="efCNGmobile">'[1]Emission Factors'!$C$113</definedName>
    <definedName name="efcoal">'[1]Emission Factors'!$C$149</definedName>
    <definedName name="efdistillate">'[1]Emission Factors'!$C$87</definedName>
    <definedName name="efdistillate.res.ch4">#REF!</definedName>
    <definedName name="efgas">'[1]Emission Factors'!#REF!</definedName>
    <definedName name="efgas.com.ch4">'[1]Emission Factors'!#REF!</definedName>
    <definedName name="efgas.com.n2o">'[1]Emission Factors'!#REF!</definedName>
    <definedName name="efgas.res.ch4">'[1]Emission Factors'!$E$114</definedName>
    <definedName name="efgas.res.n2o">'[1]Emission Factors'!$E$115</definedName>
    <definedName name="efgas2">'[1]Emission Factors'!#REF!</definedName>
    <definedName name="efgasoline00">'[1]Emission Factors'!$C$60</definedName>
    <definedName name="efgasoline01">'[1]Emission Factors'!$C$59</definedName>
    <definedName name="efgasoline02">'[1]Emission Factors'!$C$58</definedName>
    <definedName name="efgasoline03">'[1]Emission Factors'!$C$57</definedName>
    <definedName name="efgasoline04">'[1]Emission Factors'!$C$56</definedName>
    <definedName name="efgasoline05">'[1]Emission Factors'!$C$55</definedName>
    <definedName name="efgasoline06">'[1]Emission Factors'!$C$54</definedName>
    <definedName name="efgasoline07">'[1]Emission Factors'!$C$53</definedName>
    <definedName name="efgasoline08">'[1]Emission Factors'!$C$52</definedName>
    <definedName name="efgdistillate">'[1]Emission Factors'!$C$88</definedName>
    <definedName name="efgdistillate.com.ch4">'[1]Emission Factors'!$E$91</definedName>
    <definedName name="efgdistillate.com.n2o">'[1]Emission Factors'!$E$92</definedName>
    <definedName name="efgdistillate.ind.ch4">'[1]Emission Factors'!$E$93</definedName>
    <definedName name="efgdistillate.ind.n2o">'[1]Emission Factors'!$E$94</definedName>
    <definedName name="efgdistillate.res.ch4">'[1]Emission Factors'!$E$89</definedName>
    <definedName name="efgdistillate.res.n2o">'[1]Emission Factors'!$E$90</definedName>
    <definedName name="efggas">#REF!</definedName>
    <definedName name="efggasoline10">'[1]Emission Factors'!$C$68</definedName>
    <definedName name="efggasoline15">'[1]Emission Factors'!$C$63</definedName>
    <definedName name="efgjetfuel">'[1]Emission Factors'!$C$137</definedName>
    <definedName name="efgLPG">'[1]Emission Factors'!$C$123</definedName>
    <definedName name="efgresidual">'[1]Emission Factors'!$C$102</definedName>
    <definedName name="efgresidual.ind.ch4">'[1]Emission Factors'!$E$107</definedName>
    <definedName name="efgresidual.ind.n2o">'[1]Emission Factors'!$E$108</definedName>
    <definedName name="efjetfuel">'[1]Emission Factors'!$C$136</definedName>
    <definedName name="efLPG">'[1]Emission Factors'!$C$122</definedName>
    <definedName name="efresidual">'[1]Emission Factors'!$C$101</definedName>
    <definedName name="efTDF">'[1]Emission Factors'!$C$152</definedName>
    <definedName name="empComKC03">[1]ref!$C$132</definedName>
    <definedName name="empComKC08">[1]ref!$C$134</definedName>
    <definedName name="empComKC10">[1]ref!$C$136</definedName>
    <definedName name="empComUS08">[1]ref!#REF!</definedName>
    <definedName name="empComWA03">[1]ref!$C$141</definedName>
    <definedName name="empComWA08">[1]ref!$C$143</definedName>
    <definedName name="empComWA10">[1]ref!$C$145</definedName>
    <definedName name="empIndKC03">[1]ref!$C$133</definedName>
    <definedName name="empIndKC08">[1]ref!$C$135</definedName>
    <definedName name="empIndWA03">[1]ref!$C$142</definedName>
    <definedName name="empIndWA08">[1]ref!$C$144</definedName>
    <definedName name="empIndWA14">[1]ref!$C$148</definedName>
    <definedName name="F.C">[1]ref!$C$11</definedName>
    <definedName name="freezeF">[1]ref!$C$12</definedName>
    <definedName name="ft3TOL">[1]units!$D$71</definedName>
    <definedName name="ft3TOm3">[1]units!$D$72</definedName>
    <definedName name="galTOL">[1]units!$D$76</definedName>
    <definedName name="galTOliter">[1]units!$D$76</definedName>
    <definedName name="gasconstant">[1]ref!$C$32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N2O">[1]ref!$C$67</definedName>
    <definedName name="GWPSF6">[1]ref!$C$80</definedName>
    <definedName name="haTOacre">[1]units!$D$52</definedName>
    <definedName name="HHVavgas">'[1]Emission Factors'!$C$140</definedName>
    <definedName name="HHVcoal">'[1]Emission Factors'!$C$146</definedName>
    <definedName name="HHVdistillate">'[1]Emission Factors'!$C$84</definedName>
    <definedName name="HHVgas">'[1]Emission Factors'!$C$111</definedName>
    <definedName name="HHVgasoline">'[1]Emission Factors'!$C$6</definedName>
    <definedName name="HHVjetfuel">'[1]Emission Factors'!$C$133</definedName>
    <definedName name="HHVLPG">'[1]Emission Factors'!$C$119</definedName>
    <definedName name="HHVresidual">'[1]Emission Factors'!$C$98</definedName>
    <definedName name="hrTOyr">[1]units!$D$34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L.sTOgpm">[1]units!$D$160</definedName>
    <definedName name="lbTOg">[1]units!$D$18</definedName>
    <definedName name="lbTOkg">[1]units!$D$19</definedName>
    <definedName name="lbTOMg">[1]units!$D$20</definedName>
    <definedName name="lbTOoz">[1]units!$D$23</definedName>
    <definedName name="LTOgal">[1]units!$D$79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nTOday">[1]units!$D$35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Vol15degC">[1]ref!$C$37</definedName>
    <definedName name="molVol60degF">[1]ref!$C$38</definedName>
    <definedName name="MWhTOGJ">[1]units!$D$130</definedName>
    <definedName name="popKC03">[1]ref!$C$118</definedName>
    <definedName name="popKC05">[1]ref!$C$120</definedName>
    <definedName name="popKC08">[1]ref!$C$123</definedName>
    <definedName name="popKC09">[1]ref!$C$124</definedName>
    <definedName name="popKC10">[1]ref!$C$125</definedName>
    <definedName name="popKC14">[1]ref!$C$129</definedName>
    <definedName name="popKC15">[1]ref!$C$130</definedName>
    <definedName name="popKC90">[1]ref!#REF!</definedName>
    <definedName name="popSea03">[1]ref!$C$105</definedName>
    <definedName name="popSea08">[1]ref!$C$107</definedName>
    <definedName name="popSea15">[1]ref!$C$108</definedName>
    <definedName name="popUS05">[1]ref!$C$162</definedName>
    <definedName name="popUS09">[1]ref!$C$166</definedName>
    <definedName name="popUS15">[1]ref!$C$167</definedName>
    <definedName name="popUS90">[1]ref!#REF!</definedName>
    <definedName name="popWA03">[1]ref!$C$149</definedName>
    <definedName name="popWA08">[1]ref!$C$151</definedName>
    <definedName name="quadTOEJ">[1]units!$D$133</definedName>
    <definedName name="quadTOTWh">[1]units!$D$134</definedName>
    <definedName name="shorepow05">[1]ref!$C$98</definedName>
    <definedName name="shorepow08">[1]ref!$C$99</definedName>
    <definedName name="thermTOBtu">[1]units!$D$135</definedName>
    <definedName name="thermTOMJ">[1]units!$D$138</definedName>
    <definedName name="thermTOTJ">[1]units!$D$139</definedName>
    <definedName name="tonTOkg">[1]units!$D$26</definedName>
    <definedName name="tonTOMg">[1]units!$D$27</definedName>
    <definedName name="TWhTOEJ">[1]units!$D$140</definedName>
    <definedName name="WhTOJ">[1]units!$D$143</definedName>
    <definedName name="yrTOday">[1]units!$D$40</definedName>
    <definedName name="yrTOmo">[1]units!$D$42</definedName>
    <definedName name="Z_0347A67A_6027_4907_965C_6EA2A8295536_.wvu.FilterData" localSheetId="0" hidden="1">Summary_RptTbls!$A$5:$A$43</definedName>
    <definedName name="Z_148807DA_DC7F_48F6_900B_8E648294F675_.wvu.FilterData" localSheetId="0" hidden="1">Summary_RptTbls!$A$5:$A$43</definedName>
    <definedName name="Z_15CC7F3D_99AB_49C1_AC00_E04D3FE3FBC1_.wvu.FilterData" localSheetId="0" hidden="1">Summary_RptTbls!$A$5:$A$43</definedName>
    <definedName name="Z_2244A6F8_9CF7_4B23_AC4D_0BBEEBDA03F7_.wvu.FilterData" localSheetId="0" hidden="1">Summary_RptTbls!$A$5:$A$43</definedName>
    <definedName name="Z_4237B1B3_F4A7_4B81_B1DB_AE68C49ABC17_.wvu.FilterData" localSheetId="0" hidden="1">Summary_RptTbls!$A$5:$A$43</definedName>
    <definedName name="Z_96446923_140B_4689_9AD5_1EF43A68CD7A_.wvu.FilterData" localSheetId="0" hidden="1">Summary_RptTbls!$A$5:$A$43</definedName>
    <definedName name="Z_9BEC6399_AE85_4D88_8FBA_3674E2F30307_.wvu.FilterData" localSheetId="0" hidden="1">Summary_RptTbls!$A$5:$A$43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X45" i="1"/>
  <c r="T31" i="1"/>
  <c r="S31" i="1"/>
  <c r="R31" i="1"/>
  <c r="P31" i="1"/>
  <c r="C9" i="1" l="1"/>
  <c r="D10" i="2"/>
  <c r="H9" i="2"/>
  <c r="D9" i="2" s="1"/>
  <c r="H11" i="2"/>
  <c r="D11" i="2" s="1"/>
  <c r="H10" i="2"/>
  <c r="E11" i="2" l="1"/>
  <c r="F11" i="2"/>
  <c r="F27" i="2" s="1"/>
  <c r="E9" i="2"/>
  <c r="F9" i="2"/>
  <c r="F25" i="2" s="1"/>
  <c r="E10" i="2"/>
  <c r="F10" i="2" s="1"/>
  <c r="F26" i="2" s="1"/>
  <c r="R45" i="1"/>
  <c r="Q45" i="1"/>
  <c r="P45" i="1"/>
  <c r="C30" i="1" l="1"/>
  <c r="C29" i="1"/>
  <c r="C17" i="1"/>
  <c r="C15" i="1"/>
  <c r="C11" i="1"/>
  <c r="C25" i="1"/>
  <c r="D23" i="2"/>
  <c r="D6" i="2"/>
  <c r="D7" i="2"/>
  <c r="D5" i="2"/>
  <c r="D27" i="2"/>
  <c r="D26" i="2"/>
  <c r="D25" i="2"/>
  <c r="E7" i="2" l="1"/>
  <c r="F7" i="2" s="1"/>
  <c r="F23" i="2" s="1"/>
  <c r="C20" i="1" s="1"/>
  <c r="Q20" i="1" s="1"/>
  <c r="E5" i="2"/>
  <c r="F5" i="2" s="1"/>
  <c r="F21" i="2" s="1"/>
  <c r="C8" i="1" s="1"/>
  <c r="Q8" i="1" s="1"/>
  <c r="AA8" i="1" s="1"/>
  <c r="D21" i="2"/>
  <c r="D22" i="2"/>
  <c r="E6" i="2"/>
  <c r="F6" i="2" s="1"/>
  <c r="F22" i="2" s="1"/>
  <c r="C13" i="1" s="1"/>
  <c r="Q13" i="1" s="1"/>
  <c r="AA13" i="1" s="1"/>
  <c r="Q29" i="1"/>
  <c r="Q30" i="1"/>
  <c r="Q25" i="1"/>
  <c r="Q15" i="1"/>
  <c r="Q17" i="1"/>
  <c r="Q11" i="1"/>
  <c r="P13" i="1"/>
  <c r="C44" i="1"/>
  <c r="Q44" i="1" s="1"/>
  <c r="C43" i="1"/>
  <c r="Q43" i="1" s="1"/>
  <c r="C42" i="1"/>
  <c r="Q42" i="1" s="1"/>
  <c r="C41" i="1"/>
  <c r="Q41" i="1" s="1"/>
  <c r="C39" i="1"/>
  <c r="Q39" i="1" s="1"/>
  <c r="C38" i="1"/>
  <c r="Q38" i="1" s="1"/>
  <c r="C36" i="1"/>
  <c r="Q36" i="1" s="1"/>
  <c r="C35" i="1"/>
  <c r="Q35" i="1" s="1"/>
  <c r="C33" i="1"/>
  <c r="Q33" i="1" s="1"/>
  <c r="C31" i="1"/>
  <c r="C28" i="1"/>
  <c r="Q28" i="1" s="1"/>
  <c r="C27" i="1"/>
  <c r="Q27" i="1" s="1"/>
  <c r="C26" i="1"/>
  <c r="Q26" i="1" s="1"/>
  <c r="C22" i="1"/>
  <c r="Q22" i="1" s="1"/>
  <c r="C21" i="1"/>
  <c r="Q21" i="1" s="1"/>
  <c r="C16" i="1"/>
  <c r="Q16" i="1" s="1"/>
  <c r="C18" i="1"/>
  <c r="Q18" i="1" s="1"/>
  <c r="C14" i="1"/>
  <c r="Q14" i="1" s="1"/>
  <c r="C10" i="1"/>
  <c r="Q10" i="1" s="1"/>
  <c r="Q9" i="1"/>
  <c r="S2" i="1"/>
  <c r="S44" i="1"/>
  <c r="R44" i="1"/>
  <c r="T44" i="1"/>
  <c r="P44" i="1"/>
  <c r="S43" i="1"/>
  <c r="P43" i="1"/>
  <c r="T43" i="1"/>
  <c r="R43" i="1"/>
  <c r="S42" i="1"/>
  <c r="R42" i="1"/>
  <c r="P42" i="1"/>
  <c r="T42" i="1"/>
  <c r="T41" i="1"/>
  <c r="T40" i="1" s="1"/>
  <c r="S41" i="1"/>
  <c r="P41" i="1"/>
  <c r="R41" i="1"/>
  <c r="R40" i="1" s="1"/>
  <c r="S39" i="1"/>
  <c r="R39" i="1"/>
  <c r="T39" i="1"/>
  <c r="P39" i="1"/>
  <c r="S38" i="1"/>
  <c r="S37" i="1" s="1"/>
  <c r="R38" i="1"/>
  <c r="T38" i="1"/>
  <c r="P38" i="1"/>
  <c r="S36" i="1"/>
  <c r="R36" i="1"/>
  <c r="T36" i="1"/>
  <c r="P36" i="1"/>
  <c r="S35" i="1"/>
  <c r="P35" i="1"/>
  <c r="T35" i="1"/>
  <c r="R35" i="1"/>
  <c r="T33" i="1"/>
  <c r="S33" i="1"/>
  <c r="R33" i="1"/>
  <c r="P33" i="1"/>
  <c r="T30" i="1"/>
  <c r="S30" i="1"/>
  <c r="AC30" i="1" s="1"/>
  <c r="R30" i="1"/>
  <c r="P30" i="1"/>
  <c r="S29" i="1"/>
  <c r="P29" i="1"/>
  <c r="T29" i="1"/>
  <c r="R29" i="1"/>
  <c r="T28" i="1"/>
  <c r="S28" i="1"/>
  <c r="R28" i="1"/>
  <c r="P28" i="1"/>
  <c r="T27" i="1"/>
  <c r="S27" i="1"/>
  <c r="R27" i="1"/>
  <c r="P27" i="1"/>
  <c r="P26" i="1"/>
  <c r="T26" i="1"/>
  <c r="S26" i="1"/>
  <c r="R26" i="1"/>
  <c r="R25" i="1"/>
  <c r="J25" i="1"/>
  <c r="T25" i="1"/>
  <c r="S25" i="1"/>
  <c r="P25" i="1"/>
  <c r="S22" i="1"/>
  <c r="T22" i="1"/>
  <c r="R22" i="1"/>
  <c r="P22" i="1"/>
  <c r="S21" i="1"/>
  <c r="T21" i="1"/>
  <c r="R21" i="1"/>
  <c r="P21" i="1"/>
  <c r="T20" i="1"/>
  <c r="S20" i="1"/>
  <c r="J20" i="1"/>
  <c r="R20" i="1"/>
  <c r="P20" i="1"/>
  <c r="S19" i="1"/>
  <c r="P18" i="1"/>
  <c r="T18" i="1"/>
  <c r="S18" i="1"/>
  <c r="R18" i="1"/>
  <c r="R17" i="1"/>
  <c r="T17" i="1"/>
  <c r="S17" i="1"/>
  <c r="P17" i="1"/>
  <c r="T16" i="1"/>
  <c r="S16" i="1"/>
  <c r="R16" i="1"/>
  <c r="P16" i="1"/>
  <c r="T15" i="1"/>
  <c r="R15" i="1"/>
  <c r="S15" i="1"/>
  <c r="P15" i="1"/>
  <c r="P14" i="1"/>
  <c r="T14" i="1"/>
  <c r="S14" i="1"/>
  <c r="AC14" i="1" s="1"/>
  <c r="R14" i="1"/>
  <c r="R13" i="1"/>
  <c r="J13" i="1"/>
  <c r="T13" i="1"/>
  <c r="S13" i="1"/>
  <c r="T11" i="1"/>
  <c r="P11" i="1"/>
  <c r="S11" i="1"/>
  <c r="R11" i="1"/>
  <c r="P10" i="1"/>
  <c r="T10" i="1"/>
  <c r="S10" i="1"/>
  <c r="R10" i="1"/>
  <c r="T9" i="1"/>
  <c r="R9" i="1"/>
  <c r="S9" i="1"/>
  <c r="P9" i="1"/>
  <c r="R8" i="1"/>
  <c r="J8" i="1"/>
  <c r="J9" i="1" s="1"/>
  <c r="J10" i="1" s="1"/>
  <c r="J11" i="1" s="1"/>
  <c r="T8" i="1"/>
  <c r="S8" i="1"/>
  <c r="P8" i="1"/>
  <c r="B3" i="1"/>
  <c r="AD45" i="1" l="1"/>
  <c r="AB45" i="1"/>
  <c r="AA45" i="1"/>
  <c r="Z45" i="1"/>
  <c r="AA46" i="1"/>
  <c r="AB9" i="1"/>
  <c r="Z11" i="1"/>
  <c r="Z16" i="1"/>
  <c r="AB18" i="1"/>
  <c r="AD22" i="1"/>
  <c r="AC26" i="1"/>
  <c r="AB28" i="1"/>
  <c r="AD29" i="1"/>
  <c r="AA14" i="1"/>
  <c r="Q31" i="1"/>
  <c r="AA31" i="1" s="1"/>
  <c r="AD11" i="1"/>
  <c r="AC18" i="1"/>
  <c r="AD20" i="1"/>
  <c r="Z33" i="1"/>
  <c r="AA18" i="1"/>
  <c r="AA44" i="1"/>
  <c r="AA25" i="1"/>
  <c r="AB10" i="1"/>
  <c r="AB11" i="1"/>
  <c r="Z13" i="1"/>
  <c r="AB13" i="1"/>
  <c r="Z14" i="1"/>
  <c r="AB15" i="1"/>
  <c r="AC16" i="1"/>
  <c r="Z21" i="1"/>
  <c r="Z22" i="1"/>
  <c r="Z25" i="1"/>
  <c r="AB25" i="1"/>
  <c r="Z26" i="1"/>
  <c r="AD27" i="1"/>
  <c r="AD28" i="1"/>
  <c r="P40" i="1"/>
  <c r="Z42" i="1"/>
  <c r="AA9" i="1"/>
  <c r="AA16" i="1"/>
  <c r="AA27" i="1"/>
  <c r="Q40" i="1"/>
  <c r="Q50" i="1" s="1"/>
  <c r="AA50" i="1" s="1"/>
  <c r="AA15" i="1"/>
  <c r="AA30" i="1"/>
  <c r="AD13" i="1"/>
  <c r="Z15" i="1"/>
  <c r="Z17" i="1"/>
  <c r="AD21" i="1"/>
  <c r="AD25" i="1"/>
  <c r="AB27" i="1"/>
  <c r="AB30" i="1"/>
  <c r="AB31" i="1"/>
  <c r="AA22" i="1"/>
  <c r="AA43" i="1"/>
  <c r="AD9" i="1"/>
  <c r="AC17" i="1"/>
  <c r="AC21" i="1"/>
  <c r="Z29" i="1"/>
  <c r="AD42" i="1"/>
  <c r="AA39" i="1"/>
  <c r="AA17" i="1"/>
  <c r="AC9" i="1"/>
  <c r="AC10" i="1"/>
  <c r="AB14" i="1"/>
  <c r="AD15" i="1"/>
  <c r="AD16" i="1"/>
  <c r="AB17" i="1"/>
  <c r="Z18" i="1"/>
  <c r="AB21" i="1"/>
  <c r="AC25" i="1"/>
  <c r="AB26" i="1"/>
  <c r="Z27" i="1"/>
  <c r="Z28" i="1"/>
  <c r="AB29" i="1"/>
  <c r="Z30" i="1"/>
  <c r="Z35" i="1"/>
  <c r="AB36" i="1"/>
  <c r="S40" i="1"/>
  <c r="AC40" i="1" s="1"/>
  <c r="AA10" i="1"/>
  <c r="AA21" i="1"/>
  <c r="AA28" i="1"/>
  <c r="AA36" i="1"/>
  <c r="AA42" i="1"/>
  <c r="AA29" i="1"/>
  <c r="AD41" i="1"/>
  <c r="T37" i="1"/>
  <c r="AD37" i="1" s="1"/>
  <c r="Q34" i="1"/>
  <c r="AA34" i="1" s="1"/>
  <c r="AA35" i="1"/>
  <c r="AA41" i="1"/>
  <c r="Q37" i="1"/>
  <c r="AA37" i="1" s="1"/>
  <c r="AA38" i="1"/>
  <c r="AA26" i="1"/>
  <c r="Q32" i="1"/>
  <c r="AA32" i="1" s="1"/>
  <c r="AA33" i="1"/>
  <c r="P32" i="1"/>
  <c r="Z32" i="1" s="1"/>
  <c r="AA11" i="1"/>
  <c r="AA20" i="1"/>
  <c r="P34" i="1"/>
  <c r="Z34" i="1" s="1"/>
  <c r="AB40" i="1"/>
  <c r="Z20" i="1"/>
  <c r="AC8" i="1"/>
  <c r="AC33" i="1"/>
  <c r="S32" i="1"/>
  <c r="AC32" i="1" s="1"/>
  <c r="AD10" i="1"/>
  <c r="J15" i="1"/>
  <c r="J14" i="1" s="1"/>
  <c r="AB20" i="1"/>
  <c r="V36" i="1"/>
  <c r="AB38" i="1"/>
  <c r="R37" i="1"/>
  <c r="AB37" i="1" s="1"/>
  <c r="AC39" i="1"/>
  <c r="AC43" i="1"/>
  <c r="AB44" i="1"/>
  <c r="AB8" i="1"/>
  <c r="R34" i="1"/>
  <c r="AB34" i="1" s="1"/>
  <c r="AB35" i="1"/>
  <c r="Z38" i="1"/>
  <c r="P37" i="1"/>
  <c r="Z37" i="1" s="1"/>
  <c r="AD39" i="1"/>
  <c r="AB42" i="1"/>
  <c r="AB43" i="1"/>
  <c r="Z44" i="1"/>
  <c r="R50" i="1"/>
  <c r="AB50" i="1" s="1"/>
  <c r="Z8" i="1"/>
  <c r="AD8" i="1"/>
  <c r="J27" i="1"/>
  <c r="J26" i="1" s="1"/>
  <c r="T24" i="1" s="1"/>
  <c r="T48" i="1" s="1"/>
  <c r="AD48" i="1" s="1"/>
  <c r="P24" i="1"/>
  <c r="AD33" i="1"/>
  <c r="T32" i="1"/>
  <c r="AD32" i="1" s="1"/>
  <c r="V35" i="1"/>
  <c r="AD46" i="1"/>
  <c r="AC47" i="1"/>
  <c r="AC49" i="1"/>
  <c r="AC46" i="1"/>
  <c r="Z46" i="1"/>
  <c r="AD36" i="1"/>
  <c r="AB46" i="1"/>
  <c r="Z41" i="1"/>
  <c r="AC22" i="1"/>
  <c r="AC20" i="1"/>
  <c r="Z43" i="1"/>
  <c r="Z10" i="1"/>
  <c r="AC11" i="1"/>
  <c r="AC13" i="1"/>
  <c r="AC15" i="1"/>
  <c r="AD17" i="1"/>
  <c r="V20" i="1"/>
  <c r="AC29" i="1"/>
  <c r="Z31" i="1"/>
  <c r="AD31" i="1"/>
  <c r="R32" i="1"/>
  <c r="AB32" i="1" s="1"/>
  <c r="AB33" i="1"/>
  <c r="AD35" i="1"/>
  <c r="T34" i="1"/>
  <c r="AD34" i="1" s="1"/>
  <c r="Z36" i="1"/>
  <c r="AC38" i="1"/>
  <c r="AB39" i="1"/>
  <c r="AC41" i="1"/>
  <c r="AC44" i="1"/>
  <c r="AC36" i="1"/>
  <c r="Z39" i="1"/>
  <c r="Z9" i="1"/>
  <c r="AB16" i="1"/>
  <c r="AD18" i="1"/>
  <c r="AD26" i="1"/>
  <c r="AC28" i="1"/>
  <c r="AD30" i="1"/>
  <c r="AD38" i="1"/>
  <c r="AC42" i="1"/>
  <c r="AD44" i="1"/>
  <c r="AC37" i="1"/>
  <c r="AB41" i="1"/>
  <c r="AD43" i="1"/>
  <c r="AD14" i="1"/>
  <c r="AC19" i="1"/>
  <c r="J21" i="1"/>
  <c r="J22" i="1" s="1"/>
  <c r="J44" i="1" s="1"/>
  <c r="AB22" i="1"/>
  <c r="AC27" i="1"/>
  <c r="AC35" i="1"/>
  <c r="S34" i="1"/>
  <c r="AC34" i="1" s="1"/>
  <c r="AA40" i="1" l="1"/>
  <c r="T19" i="1"/>
  <c r="T47" i="1" s="1"/>
  <c r="Q24" i="1"/>
  <c r="Q19" i="1"/>
  <c r="AA19" i="1" s="1"/>
  <c r="AA24" i="1"/>
  <c r="Q48" i="1"/>
  <c r="AA48" i="1" s="1"/>
  <c r="Q49" i="1"/>
  <c r="AA49" i="1" s="1"/>
  <c r="Q47" i="1"/>
  <c r="AA47" i="1" s="1"/>
  <c r="Q23" i="1"/>
  <c r="AA23" i="1" s="1"/>
  <c r="P50" i="1"/>
  <c r="Z50" i="1" s="1"/>
  <c r="Z40" i="1"/>
  <c r="S24" i="1"/>
  <c r="Z24" i="1"/>
  <c r="P23" i="1"/>
  <c r="Z23" i="1" s="1"/>
  <c r="AD24" i="1"/>
  <c r="T23" i="1"/>
  <c r="AD23" i="1" s="1"/>
  <c r="P48" i="1"/>
  <c r="Z48" i="1" s="1"/>
  <c r="T50" i="1"/>
  <c r="AD50" i="1" s="1"/>
  <c r="AD40" i="1"/>
  <c r="R19" i="1"/>
  <c r="R24" i="1"/>
  <c r="P19" i="1"/>
  <c r="J17" i="1"/>
  <c r="J16" i="1" s="1"/>
  <c r="AD19" i="1" l="1"/>
  <c r="T49" i="1"/>
  <c r="AD49" i="1" s="1"/>
  <c r="AB24" i="1"/>
  <c r="R23" i="1"/>
  <c r="AB23" i="1" s="1"/>
  <c r="R48" i="1"/>
  <c r="AB48" i="1" s="1"/>
  <c r="S23" i="1"/>
  <c r="AC23" i="1" s="1"/>
  <c r="AC24" i="1"/>
  <c r="S48" i="1"/>
  <c r="J18" i="1"/>
  <c r="P7" i="1" s="1"/>
  <c r="P12" i="1"/>
  <c r="Z12" i="1" s="1"/>
  <c r="AB19" i="1"/>
  <c r="R47" i="1"/>
  <c r="AB47" i="1" s="1"/>
  <c r="R49" i="1"/>
  <c r="AB49" i="1" s="1"/>
  <c r="Z19" i="1"/>
  <c r="P49" i="1"/>
  <c r="Z49" i="1" s="1"/>
  <c r="P47" i="1"/>
  <c r="V19" i="1"/>
  <c r="AD47" i="1"/>
  <c r="T7" i="1"/>
  <c r="Q7" i="1" l="1"/>
  <c r="R12" i="1"/>
  <c r="AB12" i="1" s="1"/>
  <c r="S7" i="1"/>
  <c r="Q12" i="1"/>
  <c r="AA12" i="1" s="1"/>
  <c r="P6" i="1"/>
  <c r="Z6" i="1" s="1"/>
  <c r="P56" i="1"/>
  <c r="Z47" i="1"/>
  <c r="AC7" i="1"/>
  <c r="V47" i="1"/>
  <c r="AC48" i="1"/>
  <c r="S50" i="1"/>
  <c r="AC50" i="1" s="1"/>
  <c r="AD7" i="1"/>
  <c r="Z7" i="1"/>
  <c r="S12" i="1"/>
  <c r="AC12" i="1" s="1"/>
  <c r="T12" i="1"/>
  <c r="R7" i="1"/>
  <c r="V7" i="1" s="1"/>
  <c r="AA7" i="1" l="1"/>
  <c r="Q6" i="1"/>
  <c r="AA6" i="1" s="1"/>
  <c r="S6" i="1"/>
  <c r="AC6" i="1" s="1"/>
  <c r="V12" i="1"/>
  <c r="AD12" i="1"/>
  <c r="AB7" i="1"/>
  <c r="R6" i="1"/>
  <c r="AB6" i="1" s="1"/>
  <c r="T6" i="1"/>
  <c r="AD6" i="1" s="1"/>
</calcChain>
</file>

<file path=xl/sharedStrings.xml><?xml version="1.0" encoding="utf-8"?>
<sst xmlns="http://schemas.openxmlformats.org/spreadsheetml/2006/main" count="144" uniqueCount="81">
  <si>
    <t>Rounding Factor ---&gt;</t>
  </si>
  <si>
    <t>Scaling Factor (Million MTCO2e)---&gt;&gt;</t>
  </si>
  <si>
    <t>Raw Emissison Estimates</t>
  </si>
  <si>
    <t>Levels for Totals</t>
  </si>
  <si>
    <t>RHts</t>
  </si>
  <si>
    <t>C/E</t>
  </si>
  <si>
    <t>A</t>
  </si>
  <si>
    <t>S-A</t>
  </si>
  <si>
    <r>
      <t>GHG Emissions by Sector (MTCO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e)</t>
    </r>
  </si>
  <si>
    <r>
      <t>GHG Emissions by Sector (Million MTCO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e)</t>
    </r>
  </si>
  <si>
    <t>Built Environment</t>
  </si>
  <si>
    <t/>
  </si>
  <si>
    <t>Residential</t>
  </si>
  <si>
    <t>Electricity</t>
  </si>
  <si>
    <t xml:space="preserve">Natural Gas </t>
  </si>
  <si>
    <t xml:space="preserve">Natural gas </t>
  </si>
  <si>
    <t>Petroleum (Heating)</t>
  </si>
  <si>
    <t>Petroleum (heating)</t>
  </si>
  <si>
    <t>Petroleum (Non-road equipment)</t>
  </si>
  <si>
    <t>Petroleum (non-road equipment)</t>
  </si>
  <si>
    <t>Commercial</t>
  </si>
  <si>
    <t>Natural Gas (Heat and Other)</t>
  </si>
  <si>
    <t>Natural gas (heat and other)</t>
  </si>
  <si>
    <t>Natural Gas (Equipment)</t>
  </si>
  <si>
    <t>Natural gas (equipment)</t>
  </si>
  <si>
    <t>Petroleum (Heat and Other)</t>
  </si>
  <si>
    <t>Petroleum (heat and other)</t>
  </si>
  <si>
    <t>Petroleum (Equipment)</t>
  </si>
  <si>
    <t>Petroleum (equipment)</t>
  </si>
  <si>
    <t>Steam</t>
  </si>
  <si>
    <t>Industrial</t>
  </si>
  <si>
    <t>Process emissions</t>
  </si>
  <si>
    <t>Stationary combustion</t>
  </si>
  <si>
    <t>Transportation and Other Mobile Sources</t>
  </si>
  <si>
    <t>On-road vehicles</t>
  </si>
  <si>
    <t xml:space="preserve"> </t>
  </si>
  <si>
    <t>Passenger vehicles</t>
  </si>
  <si>
    <t>Freight and service vehicles</t>
  </si>
  <si>
    <t>Transit vehicles</t>
  </si>
  <si>
    <t>Freight and passenger rail</t>
  </si>
  <si>
    <t>Freight and Passenger rail</t>
  </si>
  <si>
    <t>Marine vessels</t>
  </si>
  <si>
    <t>Off-road vehicles and other mobile equipment</t>
  </si>
  <si>
    <t>Commercial airport</t>
  </si>
  <si>
    <t xml:space="preserve">Solid Waste </t>
  </si>
  <si>
    <t>Generation and disposal of solid waste</t>
  </si>
  <si>
    <t xml:space="preserve">Water and Wastewater </t>
  </si>
  <si>
    <t>Potable water process emissions</t>
  </si>
  <si>
    <t>Wastewater process emissions</t>
  </si>
  <si>
    <t xml:space="preserve">Agriculture </t>
  </si>
  <si>
    <t>Domesticated animal production</t>
  </si>
  <si>
    <t>Manure decomposition and treatment</t>
  </si>
  <si>
    <t>Supplementary Emission Sectors</t>
  </si>
  <si>
    <t>Operation of solid waste disposal facilities</t>
  </si>
  <si>
    <t>Soil management</t>
  </si>
  <si>
    <t>Residential development</t>
  </si>
  <si>
    <t xml:space="preserve">Fugitive gas </t>
  </si>
  <si>
    <t>Total Emissions</t>
  </si>
  <si>
    <t>Core &amp; Expanded Production</t>
  </si>
  <si>
    <t>Core &amp; Expanded: Production</t>
  </si>
  <si>
    <t>Core</t>
  </si>
  <si>
    <t>Expanded: Production</t>
  </si>
  <si>
    <t xml:space="preserve">Expanded: Supplementary </t>
  </si>
  <si>
    <t>Sequestration</t>
  </si>
  <si>
    <t>Solid waste disposal</t>
  </si>
  <si>
    <t>Notes for 2007</t>
  </si>
  <si>
    <t>Electricity (MWh) --2003 and 2008 from King County workbook</t>
  </si>
  <si>
    <t>2007 emissions factor</t>
  </si>
  <si>
    <t>KC15-65-02</t>
  </si>
  <si>
    <t>Emissions (MgCO2e)</t>
  </si>
  <si>
    <t>PSE</t>
  </si>
  <si>
    <t>SCL</t>
  </si>
  <si>
    <t>2007 emission factors applied to interpolated activity data</t>
  </si>
  <si>
    <t>Residential and business air travel</t>
  </si>
  <si>
    <t>SCL (from SCL - KC15_65_04SCL2015Electricity)</t>
  </si>
  <si>
    <t>% Residential</t>
  </si>
  <si>
    <t>% Commercial</t>
  </si>
  <si>
    <t>% Industrial</t>
  </si>
  <si>
    <t>energy loss</t>
  </si>
  <si>
    <t>2007 + energy loss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</si>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</sst>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17" x14ac:knownFonts="1"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vertAlign val="sub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87">
    <xf numFmtId="0" fontId="0" fillId="0" borderId="0" xfId="0">
      <alignment vertical="top"/>
    </xf>
    <xf numFmtId="0" fontId="1" fillId="2" borderId="0" xfId="0" applyFont="1" applyFill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164" fontId="1" fillId="0" borderId="0" xfId="1" applyNumberFormat="1" applyFont="1" applyAlignment="1">
      <alignment vertical="top"/>
    </xf>
    <xf numFmtId="165" fontId="1" fillId="2" borderId="0" xfId="1" applyNumberFormat="1" applyFont="1" applyFill="1" applyAlignment="1">
      <alignment horizontal="right" vertical="top"/>
    </xf>
    <xf numFmtId="0" fontId="1" fillId="3" borderId="0" xfId="0" applyFont="1" applyFill="1">
      <alignment vertical="top"/>
    </xf>
    <xf numFmtId="0" fontId="1" fillId="4" borderId="0" xfId="0" applyFont="1" applyFill="1">
      <alignment vertical="top"/>
    </xf>
    <xf numFmtId="0" fontId="2" fillId="4" borderId="0" xfId="0" applyFont="1" applyFill="1">
      <alignment vertical="top"/>
    </xf>
    <xf numFmtId="0" fontId="1" fillId="5" borderId="0" xfId="0" applyFont="1" applyFill="1">
      <alignment vertical="top"/>
    </xf>
    <xf numFmtId="0" fontId="2" fillId="6" borderId="1" xfId="0" applyFont="1" applyFill="1" applyBorder="1">
      <alignment vertical="top"/>
    </xf>
    <xf numFmtId="1" fontId="2" fillId="6" borderId="1" xfId="1" applyNumberFormat="1" applyFont="1" applyFill="1" applyBorder="1" applyAlignment="1">
      <alignment horizontal="center" vertical="top"/>
    </xf>
    <xf numFmtId="165" fontId="1" fillId="5" borderId="0" xfId="1" applyNumberFormat="1" applyFont="1" applyFill="1" applyAlignment="1">
      <alignment vertical="top"/>
    </xf>
    <xf numFmtId="0" fontId="5" fillId="7" borderId="2" xfId="0" applyFont="1" applyFill="1" applyBorder="1" applyAlignment="1">
      <alignment horizontal="left" indent="1"/>
    </xf>
    <xf numFmtId="0" fontId="1" fillId="7" borderId="2" xfId="0" applyNumberFormat="1" applyFont="1" applyFill="1" applyBorder="1" applyAlignment="1" applyProtection="1"/>
    <xf numFmtId="165" fontId="2" fillId="7" borderId="2" xfId="1" applyNumberFormat="1" applyFont="1" applyFill="1" applyBorder="1" applyAlignment="1" applyProtection="1"/>
    <xf numFmtId="164" fontId="2" fillId="7" borderId="2" xfId="1" applyNumberFormat="1" applyFont="1" applyFill="1" applyBorder="1" applyAlignment="1" applyProtection="1"/>
    <xf numFmtId="0" fontId="6" fillId="5" borderId="0" xfId="0" applyFont="1" applyFill="1">
      <alignment vertical="top"/>
    </xf>
    <xf numFmtId="0" fontId="7" fillId="0" borderId="3" xfId="0" applyFont="1" applyBorder="1" applyAlignment="1">
      <alignment horizontal="left" indent="1"/>
    </xf>
    <xf numFmtId="0" fontId="2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5" fontId="2" fillId="0" borderId="3" xfId="1" applyNumberFormat="1" applyFont="1" applyBorder="1" applyAlignment="1"/>
    <xf numFmtId="9" fontId="1" fillId="0" borderId="0" xfId="0" applyNumberFormat="1" applyFont="1">
      <alignment vertical="top"/>
    </xf>
    <xf numFmtId="164" fontId="2" fillId="0" borderId="3" xfId="1" applyNumberFormat="1" applyFont="1" applyBorder="1" applyAlignment="1"/>
    <xf numFmtId="165" fontId="1" fillId="0" borderId="0" xfId="1" applyNumberFormat="1" applyFont="1" applyAlignment="1">
      <alignment vertical="top"/>
    </xf>
    <xf numFmtId="0" fontId="7" fillId="0" borderId="4" xfId="0" applyFont="1" applyBorder="1" applyAlignment="1">
      <alignment horizontal="left" indent="1"/>
    </xf>
    <xf numFmtId="0" fontId="1" fillId="0" borderId="4" xfId="0" applyFont="1" applyFill="1" applyBorder="1" applyAlignment="1"/>
    <xf numFmtId="165" fontId="1" fillId="0" borderId="4" xfId="1" applyNumberFormat="1" applyFont="1" applyBorder="1" applyAlignment="1"/>
    <xf numFmtId="164" fontId="1" fillId="0" borderId="4" xfId="1" applyNumberFormat="1" applyFont="1" applyBorder="1" applyAlignment="1"/>
    <xf numFmtId="3" fontId="1" fillId="0" borderId="0" xfId="0" applyNumberFormat="1" applyFont="1">
      <alignment vertical="top"/>
    </xf>
    <xf numFmtId="0" fontId="7" fillId="0" borderId="4" xfId="0" applyFont="1" applyFill="1" applyBorder="1" applyAlignment="1">
      <alignment horizontal="left" indent="1"/>
    </xf>
    <xf numFmtId="165" fontId="1" fillId="0" borderId="0" xfId="0" applyNumberFormat="1" applyFont="1">
      <alignment vertical="top"/>
    </xf>
    <xf numFmtId="165" fontId="1" fillId="0" borderId="0" xfId="1" applyNumberFormat="1" applyFont="1" applyFill="1" applyAlignment="1">
      <alignment vertical="top"/>
    </xf>
    <xf numFmtId="0" fontId="2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165" fontId="2" fillId="0" borderId="4" xfId="1" applyNumberFormat="1" applyFont="1" applyBorder="1" applyAlignment="1"/>
    <xf numFmtId="164" fontId="2" fillId="0" borderId="4" xfId="1" applyNumberFormat="1" applyFont="1" applyBorder="1" applyAlignment="1"/>
    <xf numFmtId="165" fontId="8" fillId="8" borderId="5" xfId="1" applyNumberFormat="1" applyFont="1" applyFill="1" applyBorder="1" applyAlignment="1"/>
    <xf numFmtId="164" fontId="8" fillId="8" borderId="5" xfId="1" applyNumberFormat="1" applyFont="1" applyFill="1" applyBorder="1" applyAlignment="1"/>
    <xf numFmtId="0" fontId="9" fillId="9" borderId="6" xfId="0" applyNumberFormat="1" applyFont="1" applyFill="1" applyBorder="1" applyAlignment="1" applyProtection="1">
      <alignment horizontal="left" indent="1"/>
    </xf>
    <xf numFmtId="0" fontId="1" fillId="9" borderId="7" xfId="0" applyNumberFormat="1" applyFont="1" applyFill="1" applyBorder="1" applyAlignment="1" applyProtection="1"/>
    <xf numFmtId="165" fontId="9" fillId="9" borderId="7" xfId="1" applyNumberFormat="1" applyFont="1" applyFill="1" applyBorder="1" applyAlignment="1" applyProtection="1"/>
    <xf numFmtId="165" fontId="9" fillId="9" borderId="8" xfId="1" applyNumberFormat="1" applyFont="1" applyFill="1" applyBorder="1" applyAlignment="1" applyProtection="1"/>
    <xf numFmtId="164" fontId="9" fillId="9" borderId="7" xfId="1" applyNumberFormat="1" applyFont="1" applyFill="1" applyBorder="1" applyAlignment="1" applyProtection="1"/>
    <xf numFmtId="164" fontId="9" fillId="9" borderId="8" xfId="1" applyNumberFormat="1" applyFont="1" applyFill="1" applyBorder="1" applyAlignment="1" applyProtection="1"/>
    <xf numFmtId="0" fontId="1" fillId="0" borderId="3" xfId="0" applyFont="1" applyBorder="1" applyAlignment="1">
      <alignment horizontal="left" indent="1"/>
    </xf>
    <xf numFmtId="0" fontId="2" fillId="0" borderId="3" xfId="0" applyFont="1" applyBorder="1" applyAlignment="1"/>
    <xf numFmtId="0" fontId="1" fillId="0" borderId="3" xfId="0" applyFont="1" applyBorder="1" applyAlignment="1"/>
    <xf numFmtId="165" fontId="1" fillId="0" borderId="0" xfId="1" quotePrefix="1" applyNumberFormat="1" applyFont="1" applyFill="1" applyAlignment="1">
      <alignment vertical="top"/>
    </xf>
    <xf numFmtId="0" fontId="2" fillId="0" borderId="4" xfId="0" applyFont="1" applyBorder="1" applyAlignment="1"/>
    <xf numFmtId="0" fontId="1" fillId="0" borderId="4" xfId="0" applyFont="1" applyBorder="1" applyAlignment="1"/>
    <xf numFmtId="165" fontId="10" fillId="8" borderId="5" xfId="1" applyNumberFormat="1" applyFont="1" applyFill="1" applyBorder="1" applyAlignment="1"/>
    <xf numFmtId="164" fontId="10" fillId="8" borderId="5" xfId="1" applyNumberFormat="1" applyFont="1" applyFill="1" applyBorder="1" applyAlignment="1"/>
    <xf numFmtId="0" fontId="7" fillId="0" borderId="4" xfId="0" applyFont="1" applyFill="1" applyBorder="1" applyAlignment="1"/>
    <xf numFmtId="165" fontId="9" fillId="8" borderId="5" xfId="1" applyNumberFormat="1" applyFont="1" applyFill="1" applyBorder="1" applyAlignment="1"/>
    <xf numFmtId="0" fontId="5" fillId="0" borderId="4" xfId="0" applyFont="1" applyFill="1" applyBorder="1" applyAlignment="1"/>
    <xf numFmtId="165" fontId="11" fillId="8" borderId="5" xfId="1" applyNumberFormat="1" applyFont="1" applyFill="1" applyBorder="1" applyAlignment="1"/>
    <xf numFmtId="0" fontId="7" fillId="0" borderId="9" xfId="0" applyFont="1" applyFill="1" applyBorder="1" applyAlignment="1">
      <alignment horizontal="left" indent="1"/>
    </xf>
    <xf numFmtId="0" fontId="5" fillId="0" borderId="9" xfId="0" applyFont="1" applyFill="1" applyBorder="1" applyAlignment="1"/>
    <xf numFmtId="0" fontId="7" fillId="0" borderId="9" xfId="0" applyFont="1" applyFill="1" applyBorder="1" applyAlignment="1"/>
    <xf numFmtId="165" fontId="2" fillId="0" borderId="9" xfId="1" applyNumberFormat="1" applyFont="1" applyBorder="1" applyAlignment="1"/>
    <xf numFmtId="165" fontId="9" fillId="8" borderId="10" xfId="1" applyNumberFormat="1" applyFont="1" applyFill="1" applyBorder="1" applyAlignment="1"/>
    <xf numFmtId="164" fontId="1" fillId="0" borderId="9" xfId="1" applyNumberFormat="1" applyFont="1" applyBorder="1" applyAlignment="1"/>
    <xf numFmtId="164" fontId="10" fillId="8" borderId="10" xfId="1" applyNumberFormat="1" applyFont="1" applyFill="1" applyBorder="1" applyAlignment="1"/>
    <xf numFmtId="0" fontId="7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/>
    <xf numFmtId="0" fontId="7" fillId="0" borderId="12" xfId="0" applyFont="1" applyFill="1" applyBorder="1" applyAlignment="1"/>
    <xf numFmtId="165" fontId="2" fillId="0" borderId="12" xfId="1" applyNumberFormat="1" applyFont="1" applyBorder="1" applyAlignment="1"/>
    <xf numFmtId="165" fontId="9" fillId="8" borderId="12" xfId="1" applyNumberFormat="1" applyFont="1" applyFill="1" applyBorder="1" applyAlignment="1"/>
    <xf numFmtId="164" fontId="1" fillId="0" borderId="12" xfId="1" applyNumberFormat="1" applyFont="1" applyBorder="1" applyAlignment="1"/>
    <xf numFmtId="164" fontId="10" fillId="8" borderId="12" xfId="1" applyNumberFormat="1" applyFont="1" applyFill="1" applyBorder="1" applyAlignment="1"/>
    <xf numFmtId="0" fontId="9" fillId="10" borderId="6" xfId="0" applyFont="1" applyFill="1" applyBorder="1" applyAlignment="1">
      <alignment horizontal="left" indent="1"/>
    </xf>
    <xf numFmtId="0" fontId="7" fillId="10" borderId="7" xfId="0" applyFont="1" applyFill="1" applyBorder="1" applyAlignment="1"/>
    <xf numFmtId="165" fontId="9" fillId="10" borderId="7" xfId="1" applyNumberFormat="1" applyFont="1" applyFill="1" applyBorder="1" applyAlignment="1"/>
    <xf numFmtId="165" fontId="9" fillId="10" borderId="8" xfId="1" applyNumberFormat="1" applyFont="1" applyFill="1" applyBorder="1" applyAlignment="1"/>
    <xf numFmtId="164" fontId="9" fillId="10" borderId="7" xfId="1" applyNumberFormat="1" applyFont="1" applyFill="1" applyBorder="1" applyAlignment="1"/>
    <xf numFmtId="164" fontId="9" fillId="10" borderId="8" xfId="1" applyNumberFormat="1" applyFont="1" applyFill="1" applyBorder="1" applyAlignment="1"/>
    <xf numFmtId="0" fontId="7" fillId="0" borderId="13" xfId="0" applyFont="1" applyFill="1" applyBorder="1" applyAlignment="1">
      <alignment horizontal="left" indent="1"/>
    </xf>
    <xf numFmtId="0" fontId="7" fillId="0" borderId="13" xfId="0" applyFont="1" applyFill="1" applyBorder="1" applyAlignment="1"/>
    <xf numFmtId="165" fontId="1" fillId="0" borderId="13" xfId="1" applyNumberFormat="1" applyFont="1" applyBorder="1" applyAlignment="1"/>
    <xf numFmtId="164" fontId="1" fillId="0" borderId="13" xfId="1" applyNumberFormat="1" applyFont="1" applyBorder="1" applyAlignment="1"/>
    <xf numFmtId="0" fontId="9" fillId="11" borderId="6" xfId="0" applyFont="1" applyFill="1" applyBorder="1" applyAlignment="1">
      <alignment horizontal="left" indent="1"/>
    </xf>
    <xf numFmtId="0" fontId="7" fillId="11" borderId="7" xfId="0" applyFont="1" applyFill="1" applyBorder="1" applyAlignment="1"/>
    <xf numFmtId="165" fontId="9" fillId="11" borderId="7" xfId="1" applyNumberFormat="1" applyFont="1" applyFill="1" applyBorder="1" applyAlignment="1"/>
    <xf numFmtId="165" fontId="9" fillId="11" borderId="8" xfId="1" applyNumberFormat="1" applyFont="1" applyFill="1" applyBorder="1" applyAlignment="1"/>
    <xf numFmtId="164" fontId="9" fillId="11" borderId="7" xfId="1" applyNumberFormat="1" applyFont="1" applyFill="1" applyBorder="1" applyAlignment="1"/>
    <xf numFmtId="164" fontId="9" fillId="11" borderId="8" xfId="1" applyNumberFormat="1" applyFont="1" applyFill="1" applyBorder="1" applyAlignment="1"/>
    <xf numFmtId="1" fontId="1" fillId="0" borderId="0" xfId="0" applyNumberFormat="1" applyFont="1" applyFill="1">
      <alignment vertical="top"/>
    </xf>
    <xf numFmtId="0" fontId="1" fillId="0" borderId="0" xfId="0" applyFont="1" applyFill="1">
      <alignment vertical="top"/>
    </xf>
    <xf numFmtId="0" fontId="7" fillId="0" borderId="3" xfId="0" applyFont="1" applyFill="1" applyBorder="1" applyAlignment="1"/>
    <xf numFmtId="165" fontId="1" fillId="0" borderId="3" xfId="1" applyNumberFormat="1" applyFont="1" applyBorder="1" applyAlignment="1"/>
    <xf numFmtId="165" fontId="8" fillId="8" borderId="14" xfId="1" applyNumberFormat="1" applyFont="1" applyFill="1" applyBorder="1" applyAlignment="1"/>
    <xf numFmtId="164" fontId="1" fillId="0" borderId="3" xfId="1" applyNumberFormat="1" applyFont="1" applyBorder="1" applyAlignment="1"/>
    <xf numFmtId="164" fontId="8" fillId="8" borderId="14" xfId="1" applyNumberFormat="1" applyFont="1" applyFill="1" applyBorder="1" applyAlignment="1"/>
    <xf numFmtId="3" fontId="1" fillId="12" borderId="0" xfId="0" applyNumberFormat="1" applyFont="1" applyFill="1">
      <alignment vertical="top"/>
    </xf>
    <xf numFmtId="165" fontId="1" fillId="12" borderId="0" xfId="1" applyNumberFormat="1" applyFont="1" applyFill="1" applyAlignment="1">
      <alignment vertical="top"/>
    </xf>
    <xf numFmtId="0" fontId="1" fillId="0" borderId="9" xfId="0" applyFont="1" applyBorder="1" applyAlignment="1">
      <alignment horizontal="left" indent="1"/>
    </xf>
    <xf numFmtId="165" fontId="1" fillId="0" borderId="9" xfId="1" applyNumberFormat="1" applyFont="1" applyBorder="1" applyAlignment="1"/>
    <xf numFmtId="165" fontId="8" fillId="8" borderId="10" xfId="1" applyNumberFormat="1" applyFont="1" applyFill="1" applyBorder="1" applyAlignment="1"/>
    <xf numFmtId="164" fontId="8" fillId="8" borderId="10" xfId="1" applyNumberFormat="1" applyFont="1" applyFill="1" applyBorder="1" applyAlignment="1"/>
    <xf numFmtId="0" fontId="5" fillId="2" borderId="6" xfId="0" applyFont="1" applyFill="1" applyBorder="1" applyAlignment="1">
      <alignment horizontal="left" indent="1"/>
    </xf>
    <xf numFmtId="0" fontId="7" fillId="2" borderId="7" xfId="0" applyFont="1" applyFill="1" applyBorder="1" applyAlignment="1"/>
    <xf numFmtId="165" fontId="5" fillId="2" borderId="7" xfId="1" applyNumberFormat="1" applyFont="1" applyFill="1" applyBorder="1" applyAlignment="1"/>
    <xf numFmtId="165" fontId="5" fillId="2" borderId="8" xfId="1" applyNumberFormat="1" applyFont="1" applyFill="1" applyBorder="1" applyAlignment="1"/>
    <xf numFmtId="164" fontId="5" fillId="2" borderId="7" xfId="1" applyNumberFormat="1" applyFont="1" applyFill="1" applyBorder="1" applyAlignment="1"/>
    <xf numFmtId="164" fontId="5" fillId="2" borderId="8" xfId="1" applyNumberFormat="1" applyFont="1" applyFill="1" applyBorder="1" applyAlignment="1"/>
    <xf numFmtId="0" fontId="7" fillId="0" borderId="9" xfId="0" applyFont="1" applyBorder="1" applyAlignment="1">
      <alignment horizontal="left" indent="1"/>
    </xf>
    <xf numFmtId="0" fontId="9" fillId="13" borderId="6" xfId="0" applyFont="1" applyFill="1" applyBorder="1" applyAlignment="1">
      <alignment horizontal="left" indent="1"/>
    </xf>
    <xf numFmtId="0" fontId="7" fillId="13" borderId="7" xfId="0" applyFont="1" applyFill="1" applyBorder="1" applyAlignment="1"/>
    <xf numFmtId="165" fontId="9" fillId="13" borderId="8" xfId="1" applyNumberFormat="1" applyFont="1" applyFill="1" applyBorder="1" applyAlignment="1"/>
    <xf numFmtId="164" fontId="9" fillId="13" borderId="7" xfId="1" applyNumberFormat="1" applyFont="1" applyFill="1" applyBorder="1" applyAlignment="1"/>
    <xf numFmtId="164" fontId="9" fillId="13" borderId="8" xfId="1" applyNumberFormat="1" applyFont="1" applyFill="1" applyBorder="1" applyAlignment="1"/>
    <xf numFmtId="0" fontId="1" fillId="0" borderId="0" xfId="0" applyFont="1" applyAlignment="1">
      <alignment vertical="top"/>
    </xf>
    <xf numFmtId="0" fontId="1" fillId="0" borderId="9" xfId="0" applyFont="1" applyBorder="1" applyAlignment="1"/>
    <xf numFmtId="0" fontId="9" fillId="14" borderId="6" xfId="0" applyFont="1" applyFill="1" applyBorder="1" applyAlignment="1">
      <alignment horizontal="left" indent="1"/>
    </xf>
    <xf numFmtId="0" fontId="10" fillId="14" borderId="7" xfId="0" applyFont="1" applyFill="1" applyBorder="1" applyAlignment="1"/>
    <xf numFmtId="165" fontId="10" fillId="14" borderId="7" xfId="1" applyNumberFormat="1" applyFont="1" applyFill="1" applyBorder="1" applyAlignment="1"/>
    <xf numFmtId="165" fontId="10" fillId="14" borderId="8" xfId="1" applyNumberFormat="1" applyFont="1" applyFill="1" applyBorder="1" applyAlignment="1"/>
    <xf numFmtId="164" fontId="10" fillId="14" borderId="7" xfId="1" applyNumberFormat="1" applyFont="1" applyFill="1" applyBorder="1" applyAlignment="1"/>
    <xf numFmtId="164" fontId="10" fillId="14" borderId="8" xfId="1" applyNumberFormat="1" applyFont="1" applyFill="1" applyBorder="1" applyAlignment="1"/>
    <xf numFmtId="0" fontId="5" fillId="0" borderId="13" xfId="0" applyFont="1" applyFill="1" applyBorder="1" applyAlignment="1">
      <alignment horizontal="left" indent="1"/>
    </xf>
    <xf numFmtId="0" fontId="12" fillId="0" borderId="14" xfId="0" applyFont="1" applyFill="1" applyBorder="1" applyAlignment="1">
      <alignment vertical="center"/>
    </xf>
    <xf numFmtId="0" fontId="12" fillId="0" borderId="13" xfId="0" applyFont="1" applyFill="1" applyBorder="1" applyAlignment="1"/>
    <xf numFmtId="165" fontId="12" fillId="0" borderId="13" xfId="1" applyNumberFormat="1" applyFont="1" applyFill="1" applyBorder="1" applyAlignment="1"/>
    <xf numFmtId="165" fontId="13" fillId="8" borderId="14" xfId="1" applyNumberFormat="1" applyFont="1" applyFill="1" applyBorder="1" applyAlignment="1"/>
    <xf numFmtId="164" fontId="12" fillId="0" borderId="13" xfId="1" applyNumberFormat="1" applyFont="1" applyFill="1" applyBorder="1" applyAlignment="1"/>
    <xf numFmtId="164" fontId="13" fillId="8" borderId="14" xfId="1" applyNumberFormat="1" applyFont="1" applyFill="1" applyBorder="1" applyAlignment="1"/>
    <xf numFmtId="0" fontId="14" fillId="0" borderId="13" xfId="0" applyFont="1" applyFill="1" applyBorder="1" applyAlignment="1"/>
    <xf numFmtId="0" fontId="5" fillId="0" borderId="14" xfId="0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vertical="center"/>
    </xf>
    <xf numFmtId="165" fontId="12" fillId="0" borderId="14" xfId="1" applyNumberFormat="1" applyFont="1" applyFill="1" applyBorder="1" applyAlignment="1">
      <alignment vertical="center"/>
    </xf>
    <xf numFmtId="165" fontId="13" fillId="8" borderId="5" xfId="1" applyNumberFormat="1" applyFont="1" applyFill="1" applyBorder="1" applyAlignment="1">
      <alignment vertical="center"/>
    </xf>
    <xf numFmtId="164" fontId="12" fillId="0" borderId="14" xfId="1" applyNumberFormat="1" applyFont="1" applyFill="1" applyBorder="1" applyAlignment="1">
      <alignment vertical="center"/>
    </xf>
    <xf numFmtId="164" fontId="13" fillId="8" borderId="5" xfId="1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top" indent="1"/>
    </xf>
    <xf numFmtId="0" fontId="12" fillId="0" borderId="14" xfId="0" applyFont="1" applyFill="1" applyBorder="1" applyAlignment="1">
      <alignment vertical="top"/>
    </xf>
    <xf numFmtId="0" fontId="12" fillId="0" borderId="14" xfId="0" applyFont="1" applyBorder="1" applyAlignment="1">
      <alignment vertical="top"/>
    </xf>
    <xf numFmtId="165" fontId="12" fillId="0" borderId="14" xfId="1" applyNumberFormat="1" applyFont="1" applyFill="1" applyBorder="1" applyAlignment="1">
      <alignment vertical="top"/>
    </xf>
    <xf numFmtId="165" fontId="13" fillId="8" borderId="5" xfId="1" applyNumberFormat="1" applyFont="1" applyFill="1" applyBorder="1" applyAlignment="1">
      <alignment vertical="top"/>
    </xf>
    <xf numFmtId="164" fontId="12" fillId="0" borderId="14" xfId="1" applyNumberFormat="1" applyFont="1" applyFill="1" applyBorder="1" applyAlignment="1">
      <alignment vertical="top"/>
    </xf>
    <xf numFmtId="164" fontId="13" fillId="8" borderId="5" xfId="1" applyNumberFormat="1" applyFont="1" applyFill="1" applyBorder="1" applyAlignment="1">
      <alignment vertical="top"/>
    </xf>
    <xf numFmtId="166" fontId="1" fillId="0" borderId="0" xfId="1" applyNumberFormat="1" applyFont="1" applyAlignment="1">
      <alignment vertical="top"/>
    </xf>
    <xf numFmtId="1" fontId="2" fillId="6" borderId="0" xfId="1" applyNumberFormat="1" applyFont="1" applyFill="1" applyBorder="1" applyAlignment="1">
      <alignment horizontal="center" vertical="top"/>
    </xf>
    <xf numFmtId="165" fontId="2" fillId="7" borderId="0" xfId="1" applyNumberFormat="1" applyFont="1" applyFill="1" applyBorder="1" applyAlignment="1" applyProtection="1"/>
    <xf numFmtId="165" fontId="2" fillId="0" borderId="0" xfId="1" applyNumberFormat="1" applyFont="1" applyBorder="1" applyAlignment="1"/>
    <xf numFmtId="165" fontId="1" fillId="0" borderId="0" xfId="1" applyNumberFormat="1" applyFont="1" applyBorder="1" applyAlignment="1"/>
    <xf numFmtId="165" fontId="9" fillId="9" borderId="0" xfId="1" applyNumberFormat="1" applyFont="1" applyFill="1" applyBorder="1" applyAlignment="1" applyProtection="1"/>
    <xf numFmtId="165" fontId="9" fillId="10" borderId="0" xfId="1" applyNumberFormat="1" applyFont="1" applyFill="1" applyBorder="1" applyAlignment="1"/>
    <xf numFmtId="165" fontId="9" fillId="11" borderId="0" xfId="1" applyNumberFormat="1" applyFont="1" applyFill="1" applyBorder="1" applyAlignment="1"/>
    <xf numFmtId="165" fontId="5" fillId="2" borderId="0" xfId="1" applyNumberFormat="1" applyFont="1" applyFill="1" applyBorder="1" applyAlignment="1"/>
    <xf numFmtId="165" fontId="9" fillId="13" borderId="0" xfId="1" applyNumberFormat="1" applyFont="1" applyFill="1" applyBorder="1" applyAlignment="1"/>
    <xf numFmtId="165" fontId="10" fillId="14" borderId="0" xfId="1" applyNumberFormat="1" applyFont="1" applyFill="1" applyBorder="1" applyAlignment="1"/>
    <xf numFmtId="165" fontId="12" fillId="0" borderId="0" xfId="1" applyNumberFormat="1" applyFont="1" applyFill="1" applyBorder="1" applyAlignment="1"/>
    <xf numFmtId="165" fontId="12" fillId="0" borderId="0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vertical="top"/>
    </xf>
    <xf numFmtId="165" fontId="0" fillId="0" borderId="0" xfId="1" applyNumberFormat="1" applyFont="1" applyAlignment="1">
      <alignment vertical="top"/>
    </xf>
    <xf numFmtId="0" fontId="15" fillId="0" borderId="15" xfId="0" applyFont="1" applyBorder="1">
      <alignment vertical="top"/>
    </xf>
    <xf numFmtId="0" fontId="0" fillId="0" borderId="16" xfId="0" applyBorder="1">
      <alignment vertical="top"/>
    </xf>
    <xf numFmtId="0" fontId="0" fillId="0" borderId="17" xfId="0" applyBorder="1">
      <alignment vertical="top"/>
    </xf>
    <xf numFmtId="0" fontId="0" fillId="0" borderId="18" xfId="0" applyBorder="1">
      <alignment vertical="top"/>
    </xf>
    <xf numFmtId="165" fontId="0" fillId="0" borderId="0" xfId="1" applyNumberFormat="1" applyFont="1" applyBorder="1" applyAlignment="1">
      <alignment vertical="top"/>
    </xf>
    <xf numFmtId="165" fontId="0" fillId="0" borderId="19" xfId="1" applyNumberFormat="1" applyFont="1" applyBorder="1" applyAlignment="1">
      <alignment vertical="top"/>
    </xf>
    <xf numFmtId="0" fontId="15" fillId="0" borderId="18" xfId="0" applyFont="1" applyBorder="1">
      <alignment vertical="top"/>
    </xf>
    <xf numFmtId="0" fontId="0" fillId="0" borderId="20" xfId="0" applyBorder="1">
      <alignment vertical="top"/>
    </xf>
    <xf numFmtId="165" fontId="0" fillId="0" borderId="21" xfId="1" applyNumberFormat="1" applyFont="1" applyBorder="1" applyAlignment="1">
      <alignment vertical="top"/>
    </xf>
    <xf numFmtId="165" fontId="0" fillId="0" borderId="22" xfId="1" applyNumberFormat="1" applyFont="1" applyBorder="1" applyAlignment="1">
      <alignment vertical="top"/>
    </xf>
    <xf numFmtId="165" fontId="0" fillId="0" borderId="15" xfId="1" applyNumberFormat="1" applyFont="1" applyBorder="1" applyAlignment="1">
      <alignment vertical="top"/>
    </xf>
    <xf numFmtId="43" fontId="0" fillId="0" borderId="16" xfId="1" applyNumberFormat="1" applyFont="1" applyBorder="1" applyAlignment="1">
      <alignment vertical="top"/>
    </xf>
    <xf numFmtId="165" fontId="0" fillId="0" borderId="20" xfId="1" applyNumberFormat="1" applyFont="1" applyBorder="1" applyAlignment="1">
      <alignment vertical="top"/>
    </xf>
    <xf numFmtId="43" fontId="0" fillId="0" borderId="21" xfId="1" applyNumberFormat="1" applyFont="1" applyBorder="1" applyAlignment="1">
      <alignment vertical="top"/>
    </xf>
    <xf numFmtId="0" fontId="0" fillId="0" borderId="22" xfId="0" applyBorder="1">
      <alignment vertical="top"/>
    </xf>
    <xf numFmtId="43" fontId="0" fillId="0" borderId="0" xfId="1" applyNumberFormat="1" applyFont="1" applyBorder="1" applyAlignment="1">
      <alignment vertical="top"/>
    </xf>
    <xf numFmtId="0" fontId="0" fillId="0" borderId="0" xfId="0" applyBorder="1">
      <alignment vertical="top"/>
    </xf>
    <xf numFmtId="165" fontId="0" fillId="0" borderId="16" xfId="1" applyNumberFormat="1" applyFont="1" applyBorder="1" applyAlignment="1">
      <alignment vertical="top"/>
    </xf>
    <xf numFmtId="0" fontId="0" fillId="0" borderId="17" xfId="1" applyNumberFormat="1" applyFont="1" applyBorder="1" applyAlignment="1">
      <alignment vertical="top"/>
    </xf>
    <xf numFmtId="165" fontId="1" fillId="15" borderId="0" xfId="1" applyNumberFormat="1" applyFont="1" applyFill="1" applyAlignment="1">
      <alignment vertical="top"/>
    </xf>
    <xf numFmtId="165" fontId="0" fillId="0" borderId="0" xfId="0" applyNumberFormat="1">
      <alignment vertical="top"/>
    </xf>
    <xf numFmtId="165" fontId="0" fillId="12" borderId="19" xfId="1" applyNumberFormat="1" applyFont="1" applyFill="1" applyBorder="1" applyAlignment="1">
      <alignment vertical="top"/>
    </xf>
    <xf numFmtId="165" fontId="15" fillId="6" borderId="19" xfId="1" applyNumberFormat="1" applyFont="1" applyFill="1" applyBorder="1" applyAlignment="1">
      <alignment vertical="top"/>
    </xf>
    <xf numFmtId="9" fontId="0" fillId="0" borderId="0" xfId="0" applyNumberFormat="1">
      <alignment vertical="top"/>
    </xf>
    <xf numFmtId="165" fontId="0" fillId="12" borderId="22" xfId="1" applyNumberFormat="1" applyFont="1" applyFill="1" applyBorder="1" applyAlignment="1">
      <alignment vertical="top"/>
    </xf>
    <xf numFmtId="165" fontId="0" fillId="12" borderId="0" xfId="0" applyNumberFormat="1" applyFill="1">
      <alignment vertical="top"/>
    </xf>
    <xf numFmtId="0" fontId="0" fillId="12" borderId="0" xfId="0" applyFill="1">
      <alignment vertical="top"/>
    </xf>
    <xf numFmtId="165" fontId="0" fillId="12" borderId="0" xfId="1" applyNumberFormat="1" applyFont="1" applyFill="1" applyBorder="1" applyAlignment="1">
      <alignment vertical="top"/>
    </xf>
    <xf numFmtId="9" fontId="0" fillId="12" borderId="0" xfId="2" applyFont="1" applyFill="1" applyAlignment="1">
      <alignment vertical="top"/>
    </xf>
    <xf numFmtId="0" fontId="3" fillId="0" borderId="0" xfId="0" applyFo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theme="2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rmon/Dropbox%20(Cascadia)/KC%202015%20GHG%20Inventory/King%20County%202015%20GHG%20report/KC15-00-1_MasterSpreadsheet_201706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fd"/>
      <sheetName val="USGPC_Scope"/>
      <sheetName val="Summary_RptTbls"/>
      <sheetName val="QC Tracker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Trans-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ref"/>
      <sheetName val="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">
          <cell r="C6">
            <v>34.830611975333802</v>
          </cell>
        </row>
        <row r="52">
          <cell r="C52">
            <v>2355.8986594140329</v>
          </cell>
        </row>
        <row r="53">
          <cell r="C53">
            <v>2368.0050245703233</v>
          </cell>
        </row>
        <row r="54">
          <cell r="C54">
            <v>2354.6880228984041</v>
          </cell>
        </row>
        <row r="55">
          <cell r="C55">
            <v>2343.7922942577429</v>
          </cell>
        </row>
        <row r="56">
          <cell r="C56">
            <v>2346.2135672890008</v>
          </cell>
        </row>
        <row r="57">
          <cell r="C57">
            <v>2343.7922942577429</v>
          </cell>
        </row>
        <row r="58">
          <cell r="C58">
            <v>2346.2135672890008</v>
          </cell>
        </row>
        <row r="59">
          <cell r="C59">
            <v>2341.371021226485</v>
          </cell>
        </row>
        <row r="60">
          <cell r="C60">
            <v>2340.1603847108554</v>
          </cell>
        </row>
        <row r="63">
          <cell r="C63">
            <v>8918.018785345881</v>
          </cell>
        </row>
        <row r="68">
          <cell r="C68">
            <v>8918.018785345881</v>
          </cell>
        </row>
        <row r="84">
          <cell r="C84">
            <v>38.517233002991439</v>
          </cell>
        </row>
        <row r="87">
          <cell r="C87">
            <v>2700.310113536194</v>
          </cell>
        </row>
        <row r="88">
          <cell r="C88">
            <v>10221.753903779909</v>
          </cell>
        </row>
        <row r="89">
          <cell r="E89">
            <v>1.5</v>
          </cell>
        </row>
        <row r="90">
          <cell r="E90">
            <v>0.1</v>
          </cell>
        </row>
        <row r="91">
          <cell r="E91">
            <v>1.5</v>
          </cell>
        </row>
        <row r="92">
          <cell r="E92">
            <v>0.1</v>
          </cell>
        </row>
        <row r="93">
          <cell r="E93">
            <v>0.4</v>
          </cell>
        </row>
        <row r="94">
          <cell r="E94">
            <v>0.1</v>
          </cell>
        </row>
        <row r="98">
          <cell r="C98">
            <v>41.885584589412453</v>
          </cell>
        </row>
        <row r="101">
          <cell r="C101">
            <v>2981.5850181191208</v>
          </cell>
        </row>
        <row r="102">
          <cell r="C102">
            <v>11286.49192758812</v>
          </cell>
        </row>
        <row r="107">
          <cell r="E107">
            <v>0.5</v>
          </cell>
        </row>
        <row r="108">
          <cell r="E108">
            <v>0.1</v>
          </cell>
        </row>
        <row r="111">
          <cell r="C111">
            <v>3.8233140174037596E-2</v>
          </cell>
        </row>
        <row r="113">
          <cell r="C113">
            <v>407.68834000000004</v>
          </cell>
        </row>
        <row r="114">
          <cell r="E114">
            <v>0.1</v>
          </cell>
        </row>
        <row r="115">
          <cell r="E115">
            <v>1</v>
          </cell>
        </row>
        <row r="119">
          <cell r="C119">
            <v>25.435032845494089</v>
          </cell>
        </row>
        <row r="122">
          <cell r="C122">
            <v>1487.8840314606191</v>
          </cell>
        </row>
        <row r="123">
          <cell r="C123">
            <v>5632.2362126910275</v>
          </cell>
        </row>
        <row r="133">
          <cell r="C133">
            <v>37.595577746077026</v>
          </cell>
        </row>
        <row r="136">
          <cell r="C136">
            <v>2574.2792339471457</v>
          </cell>
        </row>
        <row r="137">
          <cell r="C137">
            <v>9744.6766121835262</v>
          </cell>
        </row>
        <row r="140">
          <cell r="C140">
            <v>33.471336236719019</v>
          </cell>
        </row>
        <row r="143">
          <cell r="C143">
            <v>2194.1555006412191</v>
          </cell>
        </row>
        <row r="146">
          <cell r="C146">
            <v>32.53641975308642</v>
          </cell>
        </row>
        <row r="149">
          <cell r="C149">
            <v>2919.9718471004103</v>
          </cell>
        </row>
        <row r="152">
          <cell r="C152">
            <v>2546.3634559844795</v>
          </cell>
        </row>
      </sheetData>
      <sheetData sheetId="30"/>
      <sheetData sheetId="31">
        <row r="4">
          <cell r="C4">
            <v>3.6640912818506139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80">
          <cell r="C80">
            <v>23900</v>
          </cell>
        </row>
        <row r="94">
          <cell r="C94">
            <v>167</v>
          </cell>
        </row>
        <row r="95">
          <cell r="C95">
            <v>209</v>
          </cell>
        </row>
        <row r="98">
          <cell r="C98">
            <v>31</v>
          </cell>
        </row>
        <row r="99">
          <cell r="C99">
            <v>108</v>
          </cell>
        </row>
        <row r="105">
          <cell r="C105">
            <v>570789</v>
          </cell>
        </row>
        <row r="107">
          <cell r="C107">
            <v>602934</v>
          </cell>
        </row>
        <row r="108">
          <cell r="C108">
            <v>662400</v>
          </cell>
        </row>
        <row r="118">
          <cell r="C118">
            <v>1769753</v>
          </cell>
        </row>
        <row r="120">
          <cell r="C120">
            <v>1803691</v>
          </cell>
        </row>
        <row r="123">
          <cell r="C123">
            <v>1884242</v>
          </cell>
        </row>
        <row r="124">
          <cell r="C124">
            <v>1916441</v>
          </cell>
        </row>
        <row r="125">
          <cell r="C125">
            <v>1937961</v>
          </cell>
        </row>
        <row r="129">
          <cell r="C129">
            <v>2017250</v>
          </cell>
        </row>
        <row r="130">
          <cell r="C130">
            <v>2052800</v>
          </cell>
        </row>
        <row r="132">
          <cell r="C132">
            <v>926409</v>
          </cell>
        </row>
        <row r="133">
          <cell r="C133">
            <v>104316</v>
          </cell>
        </row>
        <row r="134">
          <cell r="C134">
            <v>860583</v>
          </cell>
        </row>
        <row r="135">
          <cell r="C135">
            <v>223167</v>
          </cell>
        </row>
        <row r="136">
          <cell r="C136">
            <v>969702</v>
          </cell>
        </row>
        <row r="138">
          <cell r="C138">
            <v>211235</v>
          </cell>
        </row>
        <row r="141">
          <cell r="C141">
            <v>2180230</v>
          </cell>
        </row>
        <row r="142">
          <cell r="C142">
            <v>283569</v>
          </cell>
        </row>
        <row r="143">
          <cell r="C143">
            <v>1921999</v>
          </cell>
        </row>
        <row r="144">
          <cell r="C144">
            <v>600388</v>
          </cell>
        </row>
        <row r="145">
          <cell r="C145">
            <v>2328292</v>
          </cell>
        </row>
        <row r="148">
          <cell r="C148">
            <v>568733</v>
          </cell>
        </row>
        <row r="149">
          <cell r="C149">
            <v>6113262</v>
          </cell>
        </row>
        <row r="151">
          <cell r="C151">
            <v>6566073</v>
          </cell>
        </row>
        <row r="162">
          <cell r="C162">
            <v>295753151</v>
          </cell>
        </row>
        <row r="166">
          <cell r="C166">
            <v>307006550</v>
          </cell>
        </row>
        <row r="167">
          <cell r="C167">
            <v>320896618</v>
          </cell>
        </row>
      </sheetData>
      <sheetData sheetId="32">
        <row r="10">
          <cell r="D10">
            <v>0.62150403977625857</v>
          </cell>
        </row>
        <row r="18">
          <cell r="D18">
            <v>453.6</v>
          </cell>
        </row>
        <row r="19">
          <cell r="D19">
            <v>0.4536</v>
          </cell>
        </row>
        <row r="20">
          <cell r="D20">
            <v>4.5360000000000002E-4</v>
          </cell>
        </row>
        <row r="22">
          <cell r="D22">
            <v>1.1023170704821534</v>
          </cell>
        </row>
        <row r="23">
          <cell r="D23">
            <v>16</v>
          </cell>
        </row>
        <row r="26">
          <cell r="D26">
            <v>907.18</v>
          </cell>
        </row>
        <row r="27">
          <cell r="D27">
            <v>0.90717999999999999</v>
          </cell>
        </row>
        <row r="30">
          <cell r="D30">
            <v>1440</v>
          </cell>
        </row>
        <row r="31">
          <cell r="D31">
            <v>2.7379257474537291E-3</v>
          </cell>
        </row>
        <row r="34">
          <cell r="D34">
            <v>1.1415525114155251E-4</v>
          </cell>
        </row>
        <row r="35">
          <cell r="D35">
            <v>6.9444444444444447E-4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79">
          <cell r="D79">
            <v>0.2641728747292228</v>
          </cell>
        </row>
        <row r="80">
          <cell r="D80">
            <v>1E-3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abSelected="1" topLeftCell="A18" workbookViewId="0">
      <selection activeCell="C44" sqref="C44"/>
    </sheetView>
  </sheetViews>
  <sheetFormatPr defaultColWidth="9.140625" defaultRowHeight="12" outlineLevelCol="1" x14ac:dyDescent="0.2"/>
  <cols>
    <col min="1" max="1" width="3" style="3" customWidth="1"/>
    <col min="2" max="2" width="10.42578125" style="3" customWidth="1" outlineLevel="1"/>
    <col min="3" max="3" width="11.140625" style="3" bestFit="1" customWidth="1" outlineLevel="1"/>
    <col min="4" max="6" width="10.42578125" style="3" customWidth="1" outlineLevel="1"/>
    <col min="7" max="10" width="4.140625" style="3" customWidth="1" outlineLevel="1"/>
    <col min="11" max="11" width="5" style="3" customWidth="1" outlineLevel="1"/>
    <col min="12" max="12" width="3.28515625" style="3" customWidth="1"/>
    <col min="13" max="14" width="3.7109375" style="3" customWidth="1"/>
    <col min="15" max="15" width="36.42578125" style="3" customWidth="1"/>
    <col min="16" max="21" width="14" style="5" customWidth="1"/>
    <col min="22" max="22" width="9.140625" style="3"/>
    <col min="23" max="24" width="3.7109375" style="3" customWidth="1"/>
    <col min="25" max="25" width="36.42578125" style="3" customWidth="1"/>
    <col min="26" max="30" width="8.140625" style="5" customWidth="1"/>
    <col min="31" max="16384" width="9.140625" style="3"/>
  </cols>
  <sheetData>
    <row r="2" spans="2:30" x14ac:dyDescent="0.2">
      <c r="B2" s="1">
        <v>-2</v>
      </c>
      <c r="C2" s="1"/>
      <c r="D2" s="2" t="s">
        <v>0</v>
      </c>
      <c r="M2" s="4"/>
      <c r="S2" s="5">
        <f>R5-P5</f>
        <v>5</v>
      </c>
      <c r="W2" s="4"/>
    </row>
    <row r="3" spans="2:30" x14ac:dyDescent="0.2">
      <c r="B3" s="6">
        <f>10^6</f>
        <v>1000000</v>
      </c>
      <c r="C3" s="6"/>
      <c r="D3" s="2" t="s">
        <v>1</v>
      </c>
      <c r="M3" s="4"/>
      <c r="W3" s="4"/>
    </row>
    <row r="4" spans="2:30" x14ac:dyDescent="0.2">
      <c r="B4" s="3" t="s">
        <v>2</v>
      </c>
      <c r="H4" s="7" t="s">
        <v>3</v>
      </c>
      <c r="I4" s="7"/>
      <c r="J4" s="7"/>
      <c r="K4" s="8" t="s">
        <v>4</v>
      </c>
    </row>
    <row r="5" spans="2:30" ht="13.5" x14ac:dyDescent="0.2">
      <c r="B5" s="9">
        <v>2003</v>
      </c>
      <c r="C5" s="9">
        <v>2007</v>
      </c>
      <c r="D5" s="9">
        <v>2008</v>
      </c>
      <c r="E5" s="9">
        <v>2010</v>
      </c>
      <c r="F5" s="9">
        <v>2015</v>
      </c>
      <c r="H5" s="3" t="s">
        <v>5</v>
      </c>
      <c r="I5" s="3" t="s">
        <v>6</v>
      </c>
      <c r="J5" s="3" t="s">
        <v>7</v>
      </c>
      <c r="K5" s="10"/>
      <c r="M5" s="11" t="s">
        <v>8</v>
      </c>
      <c r="N5" s="11"/>
      <c r="O5" s="11"/>
      <c r="P5" s="12">
        <v>2003</v>
      </c>
      <c r="Q5" s="12">
        <v>2007</v>
      </c>
      <c r="R5" s="12">
        <v>2008</v>
      </c>
      <c r="S5" s="12">
        <v>2010</v>
      </c>
      <c r="T5" s="12">
        <v>2015</v>
      </c>
      <c r="U5" s="143" t="s">
        <v>65</v>
      </c>
      <c r="W5" s="11" t="s">
        <v>9</v>
      </c>
      <c r="X5" s="11"/>
      <c r="Y5" s="11"/>
      <c r="Z5" s="12">
        <v>2003</v>
      </c>
      <c r="AA5" s="12">
        <v>2007</v>
      </c>
      <c r="AB5" s="12">
        <v>2008</v>
      </c>
      <c r="AC5" s="12">
        <v>2010</v>
      </c>
      <c r="AD5" s="12">
        <v>2015</v>
      </c>
    </row>
    <row r="6" spans="2:30" ht="12.75" thickBot="1" x14ac:dyDescent="0.25">
      <c r="B6" s="10"/>
      <c r="C6" s="10"/>
      <c r="D6" s="13"/>
      <c r="E6" s="13"/>
      <c r="F6" s="13"/>
      <c r="I6" s="3">
        <v>1</v>
      </c>
      <c r="K6" s="10"/>
      <c r="M6" s="14" t="s">
        <v>10</v>
      </c>
      <c r="N6" s="15"/>
      <c r="O6" s="15"/>
      <c r="P6" s="16">
        <f>SUMIFS(P7:P$43,$I7:$I$43,$I6)</f>
        <v>11356800</v>
      </c>
      <c r="Q6" s="16">
        <f>SUMIFS(Q7:Q$43,$I7:$I$43,$I6)</f>
        <v>12119900</v>
      </c>
      <c r="R6" s="16">
        <f>SUMIFS(R7:R$43,$I7:$I$43,$I6)</f>
        <v>12169000</v>
      </c>
      <c r="S6" s="16">
        <f>SUMIFS(S7:S$43,$I7:$I$43,$I6)</f>
        <v>9774300</v>
      </c>
      <c r="T6" s="16">
        <f>SUMIFS(T7:T$43,$I7:$I$43,$I6)</f>
        <v>12533400</v>
      </c>
      <c r="U6" s="144"/>
      <c r="W6" s="14" t="s">
        <v>10</v>
      </c>
      <c r="X6" s="15"/>
      <c r="Y6" s="15"/>
      <c r="Z6" s="17">
        <f t="shared" ref="Z6:Z50" si="0">P6/$B$3</f>
        <v>11.3568</v>
      </c>
      <c r="AA6" s="17">
        <f t="shared" ref="AA6:AA50" si="1">Q6/$B$3</f>
        <v>12.119899999999999</v>
      </c>
      <c r="AB6" s="17">
        <f t="shared" ref="AB6:AD50" si="2">R6/$B$3</f>
        <v>12.169</v>
      </c>
      <c r="AC6" s="17">
        <f t="shared" si="2"/>
        <v>9.7743000000000002</v>
      </c>
      <c r="AD6" s="17">
        <f t="shared" si="2"/>
        <v>12.5334</v>
      </c>
    </row>
    <row r="7" spans="2:30" ht="16.5" thickTop="1" x14ac:dyDescent="0.2">
      <c r="B7" s="10"/>
      <c r="C7" s="10"/>
      <c r="D7" s="10"/>
      <c r="E7" s="10"/>
      <c r="F7" s="10"/>
      <c r="I7" s="3">
        <v>1</v>
      </c>
      <c r="J7" s="3">
        <v>0.1</v>
      </c>
      <c r="K7" s="18">
        <v>12</v>
      </c>
      <c r="M7" s="19" t="s">
        <v>11</v>
      </c>
      <c r="N7" s="20" t="s">
        <v>12</v>
      </c>
      <c r="O7" s="21"/>
      <c r="P7" s="22">
        <f>SUMIFS(P8:P$43,$J8:$J$43,$J7)</f>
        <v>4543900</v>
      </c>
      <c r="Q7" s="22">
        <f>SUMIFS(Q8:Q$43,$J8:$J$43,$J7)</f>
        <v>4876700</v>
      </c>
      <c r="R7" s="22">
        <f>SUMIFS(R8:R$43,$J8:$J$43,$J7)</f>
        <v>4902100</v>
      </c>
      <c r="S7" s="22">
        <f>SUMIFS(S8:S$43,$J8:$J$43,$J7)</f>
        <v>4970400</v>
      </c>
      <c r="T7" s="22">
        <f>SUMIFS(T8:T$43,$J8:$J$43,$J7)</f>
        <v>4821000</v>
      </c>
      <c r="U7" s="145"/>
      <c r="V7" s="23">
        <f>(T7-R7)/R7</f>
        <v>-1.6543930152383673E-2</v>
      </c>
      <c r="W7" s="19" t="s">
        <v>11</v>
      </c>
      <c r="X7" s="21" t="s">
        <v>12</v>
      </c>
      <c r="Y7" s="21"/>
      <c r="Z7" s="24">
        <f t="shared" si="0"/>
        <v>4.5438999999999998</v>
      </c>
      <c r="AA7" s="24">
        <f t="shared" si="1"/>
        <v>4.8766999999999996</v>
      </c>
      <c r="AB7" s="24">
        <f t="shared" si="2"/>
        <v>4.9020999999999999</v>
      </c>
      <c r="AC7" s="24">
        <f t="shared" si="2"/>
        <v>4.9703999999999997</v>
      </c>
      <c r="AD7" s="24">
        <f t="shared" si="2"/>
        <v>4.8209999999999997</v>
      </c>
    </row>
    <row r="8" spans="2:30" x14ac:dyDescent="0.2">
      <c r="B8" s="25">
        <v>2277994.8112456184</v>
      </c>
      <c r="C8" s="176">
        <f>Electricity!F21+Electricity!F25</f>
        <v>2463201.0099568022</v>
      </c>
      <c r="D8" s="25">
        <v>2451748.2895852099</v>
      </c>
      <c r="E8" s="25">
        <v>2731634.3904913631</v>
      </c>
      <c r="F8" s="25">
        <v>2621111.7389143459</v>
      </c>
      <c r="H8" s="3">
        <v>1</v>
      </c>
      <c r="J8" s="3">
        <f>J7</f>
        <v>0.1</v>
      </c>
      <c r="K8" s="10"/>
      <c r="M8" s="26" t="s">
        <v>11</v>
      </c>
      <c r="N8" s="27"/>
      <c r="O8" s="27" t="s">
        <v>13</v>
      </c>
      <c r="P8" s="28">
        <f t="shared" ref="P8:Q11" si="3">ROUND(B8,$B$2)</f>
        <v>2278000</v>
      </c>
      <c r="Q8" s="28">
        <f t="shared" si="3"/>
        <v>2463200</v>
      </c>
      <c r="R8" s="28">
        <f t="shared" ref="R8:T11" si="4">ROUND(D8,$B$2)</f>
        <v>2451700</v>
      </c>
      <c r="S8" s="28">
        <f t="shared" si="4"/>
        <v>2731600</v>
      </c>
      <c r="T8" s="28">
        <f t="shared" si="4"/>
        <v>2621100</v>
      </c>
      <c r="U8" s="146" t="s">
        <v>72</v>
      </c>
      <c r="W8" s="26" t="s">
        <v>11</v>
      </c>
      <c r="X8" s="27"/>
      <c r="Y8" s="27" t="s">
        <v>13</v>
      </c>
      <c r="Z8" s="29">
        <f t="shared" si="0"/>
        <v>2.278</v>
      </c>
      <c r="AA8" s="29">
        <f t="shared" si="1"/>
        <v>2.4632000000000001</v>
      </c>
      <c r="AB8" s="29">
        <f t="shared" si="2"/>
        <v>2.4517000000000002</v>
      </c>
      <c r="AC8" s="29">
        <f t="shared" si="2"/>
        <v>2.7315999999999998</v>
      </c>
      <c r="AD8" s="29">
        <f t="shared" si="2"/>
        <v>2.6211000000000002</v>
      </c>
    </row>
    <row r="9" spans="2:30" x14ac:dyDescent="0.2">
      <c r="B9" s="30">
        <v>1575859.5702621297</v>
      </c>
      <c r="C9" s="28">
        <f>B9+(D9-B9)*4/5</f>
        <v>1776958.5125495696</v>
      </c>
      <c r="D9" s="25">
        <v>1827233.2481214297</v>
      </c>
      <c r="E9" s="25">
        <v>1639863.0776867399</v>
      </c>
      <c r="F9" s="25">
        <v>1568872.6019650795</v>
      </c>
      <c r="H9" s="3">
        <v>1</v>
      </c>
      <c r="J9" s="3">
        <f>J8</f>
        <v>0.1</v>
      </c>
      <c r="K9" s="10"/>
      <c r="M9" s="31"/>
      <c r="N9" s="27"/>
      <c r="O9" s="27" t="s">
        <v>14</v>
      </c>
      <c r="P9" s="28">
        <f t="shared" si="3"/>
        <v>1575900</v>
      </c>
      <c r="Q9" s="28">
        <f>ROUND(C9,$B$2)</f>
        <v>1777000</v>
      </c>
      <c r="R9" s="28">
        <f t="shared" si="4"/>
        <v>1827200</v>
      </c>
      <c r="S9" s="28">
        <f t="shared" si="4"/>
        <v>1639900</v>
      </c>
      <c r="T9" s="28">
        <f t="shared" si="4"/>
        <v>1568900</v>
      </c>
      <c r="U9" s="146"/>
      <c r="V9" s="32"/>
      <c r="W9" s="31"/>
      <c r="X9" s="27"/>
      <c r="Y9" s="27" t="s">
        <v>15</v>
      </c>
      <c r="Z9" s="29">
        <f t="shared" si="0"/>
        <v>1.5759000000000001</v>
      </c>
      <c r="AA9" s="29">
        <f t="shared" si="1"/>
        <v>1.7769999999999999</v>
      </c>
      <c r="AB9" s="29">
        <f t="shared" si="2"/>
        <v>1.8271999999999999</v>
      </c>
      <c r="AC9" s="29">
        <f t="shared" si="2"/>
        <v>1.6398999999999999</v>
      </c>
      <c r="AD9" s="29">
        <f t="shared" si="2"/>
        <v>1.5689</v>
      </c>
    </row>
    <row r="10" spans="2:30" x14ac:dyDescent="0.2">
      <c r="B10" s="30">
        <v>286166.56841749756</v>
      </c>
      <c r="C10" s="28">
        <f>B10+(D10-B10)*4/5</f>
        <v>230313.9387003934</v>
      </c>
      <c r="D10" s="25">
        <v>216350.78127111736</v>
      </c>
      <c r="E10" s="25">
        <v>189210.48115779029</v>
      </c>
      <c r="F10" s="25">
        <v>132064.37328900307</v>
      </c>
      <c r="H10" s="3">
        <v>2</v>
      </c>
      <c r="J10" s="3">
        <f>J9</f>
        <v>0.1</v>
      </c>
      <c r="K10" s="10"/>
      <c r="M10" s="31"/>
      <c r="N10" s="27"/>
      <c r="O10" s="27" t="s">
        <v>16</v>
      </c>
      <c r="P10" s="28">
        <f t="shared" si="3"/>
        <v>286200</v>
      </c>
      <c r="Q10" s="28">
        <f t="shared" si="3"/>
        <v>230300</v>
      </c>
      <c r="R10" s="28">
        <f t="shared" si="4"/>
        <v>216400</v>
      </c>
      <c r="S10" s="28">
        <f t="shared" si="4"/>
        <v>189200</v>
      </c>
      <c r="T10" s="28">
        <f t="shared" si="4"/>
        <v>132100</v>
      </c>
      <c r="U10" s="146"/>
      <c r="W10" s="31"/>
      <c r="X10" s="27"/>
      <c r="Y10" s="27" t="s">
        <v>17</v>
      </c>
      <c r="Z10" s="29">
        <f t="shared" si="0"/>
        <v>0.28620000000000001</v>
      </c>
      <c r="AA10" s="29">
        <f t="shared" si="1"/>
        <v>0.2303</v>
      </c>
      <c r="AB10" s="29">
        <f t="shared" si="2"/>
        <v>0.21640000000000001</v>
      </c>
      <c r="AC10" s="29">
        <f t="shared" si="2"/>
        <v>0.18920000000000001</v>
      </c>
      <c r="AD10" s="29">
        <f t="shared" si="2"/>
        <v>0.1321</v>
      </c>
    </row>
    <row r="11" spans="2:30" x14ac:dyDescent="0.2">
      <c r="B11" s="33">
        <v>403764.49699999992</v>
      </c>
      <c r="C11" s="28">
        <f>B11+(D11-B11)*4/5</f>
        <v>406225.12579999992</v>
      </c>
      <c r="D11" s="33">
        <v>406840.28299999994</v>
      </c>
      <c r="E11" s="33">
        <v>409658.68800000014</v>
      </c>
      <c r="F11" s="33">
        <v>498883.88799999998</v>
      </c>
      <c r="H11" s="3">
        <v>2</v>
      </c>
      <c r="J11" s="3">
        <f>J10</f>
        <v>0.1</v>
      </c>
      <c r="K11" s="10"/>
      <c r="M11" s="31"/>
      <c r="N11" s="27"/>
      <c r="O11" s="27" t="s">
        <v>18</v>
      </c>
      <c r="P11" s="28">
        <f t="shared" si="3"/>
        <v>403800</v>
      </c>
      <c r="Q11" s="28">
        <f t="shared" si="3"/>
        <v>406200</v>
      </c>
      <c r="R11" s="28">
        <f t="shared" si="4"/>
        <v>406800</v>
      </c>
      <c r="S11" s="28">
        <f t="shared" si="4"/>
        <v>409700</v>
      </c>
      <c r="T11" s="28">
        <f t="shared" si="4"/>
        <v>498900</v>
      </c>
      <c r="U11" s="146"/>
      <c r="W11" s="31"/>
      <c r="X11" s="27"/>
      <c r="Y11" s="27" t="s">
        <v>19</v>
      </c>
      <c r="Z11" s="29">
        <f t="shared" si="0"/>
        <v>0.40379999999999999</v>
      </c>
      <c r="AA11" s="29">
        <f t="shared" si="1"/>
        <v>0.40620000000000001</v>
      </c>
      <c r="AB11" s="29">
        <f t="shared" si="2"/>
        <v>0.40679999999999999</v>
      </c>
      <c r="AC11" s="29">
        <f t="shared" si="2"/>
        <v>0.40970000000000001</v>
      </c>
      <c r="AD11" s="29">
        <f t="shared" si="2"/>
        <v>0.49890000000000001</v>
      </c>
    </row>
    <row r="12" spans="2:30" ht="15.75" x14ac:dyDescent="0.2">
      <c r="B12" s="10"/>
      <c r="C12" s="10"/>
      <c r="D12" s="13"/>
      <c r="E12" s="13"/>
      <c r="F12" s="13"/>
      <c r="I12" s="3">
        <v>1</v>
      </c>
      <c r="J12" s="3">
        <v>0.2</v>
      </c>
      <c r="K12" s="18">
        <v>12</v>
      </c>
      <c r="M12" s="31"/>
      <c r="N12" s="34" t="s">
        <v>20</v>
      </c>
      <c r="O12" s="35"/>
      <c r="P12" s="36">
        <f>SUMIFS(P13:P$43,$J13:$J$43,$J12)</f>
        <v>4111800</v>
      </c>
      <c r="Q12" s="36">
        <f>SUMIFS(Q13:Q$43,$J13:$J$43,$J12)</f>
        <v>4491100</v>
      </c>
      <c r="R12" s="36">
        <f>SUMIFS(R13:R$43,$J13:$J$43,$J12)</f>
        <v>4546900</v>
      </c>
      <c r="S12" s="36">
        <f>SUMIFS(S13:S$43,$J13:$J$43,$J12)</f>
        <v>4803900</v>
      </c>
      <c r="T12" s="36">
        <f>SUMIFS(T13:T$43,$J13:$J$43,$J12)</f>
        <v>4931000</v>
      </c>
      <c r="U12" s="145"/>
      <c r="V12" s="23">
        <f>(T12-R12)/R12</f>
        <v>8.4475136906463744E-2</v>
      </c>
      <c r="W12" s="31"/>
      <c r="X12" s="35" t="s">
        <v>20</v>
      </c>
      <c r="Y12" s="35"/>
      <c r="Z12" s="37">
        <f t="shared" si="0"/>
        <v>4.1117999999999997</v>
      </c>
      <c r="AA12" s="37">
        <f t="shared" si="1"/>
        <v>4.4911000000000003</v>
      </c>
      <c r="AB12" s="37">
        <f t="shared" si="2"/>
        <v>4.5468999999999999</v>
      </c>
      <c r="AC12" s="37">
        <f t="shared" si="2"/>
        <v>4.8038999999999996</v>
      </c>
      <c r="AD12" s="37">
        <f t="shared" si="2"/>
        <v>4.931</v>
      </c>
    </row>
    <row r="13" spans="2:30" x14ac:dyDescent="0.2">
      <c r="B13" s="25">
        <v>2465151.2735012849</v>
      </c>
      <c r="C13" s="176">
        <f>Electricity!F22+Electricity!F26</f>
        <v>2686163.1132899742</v>
      </c>
      <c r="D13" s="25">
        <v>2702587.558685163</v>
      </c>
      <c r="E13" s="25">
        <v>3020842.4826045786</v>
      </c>
      <c r="F13" s="25">
        <v>2975509.0024590925</v>
      </c>
      <c r="H13" s="3">
        <v>1</v>
      </c>
      <c r="J13" s="3">
        <f>J12</f>
        <v>0.2</v>
      </c>
      <c r="K13" s="10"/>
      <c r="M13" s="31"/>
      <c r="N13" s="27"/>
      <c r="O13" s="27" t="s">
        <v>13</v>
      </c>
      <c r="P13" s="28">
        <f>ROUND(B13,$B$2)</f>
        <v>2465200</v>
      </c>
      <c r="Q13" s="28">
        <f>ROUND(C13,$B$2)</f>
        <v>2686200</v>
      </c>
      <c r="R13" s="28">
        <f>ROUND(D13,$B$2)</f>
        <v>2702600</v>
      </c>
      <c r="S13" s="28">
        <f>ROUND(E13,$B$2)</f>
        <v>3020800</v>
      </c>
      <c r="T13" s="28">
        <f>ROUND(F13,$B$2)</f>
        <v>2975500</v>
      </c>
      <c r="U13" s="146" t="s">
        <v>72</v>
      </c>
      <c r="W13" s="31"/>
      <c r="X13" s="27"/>
      <c r="Y13" s="27" t="s">
        <v>13</v>
      </c>
      <c r="Z13" s="29">
        <f t="shared" si="0"/>
        <v>2.4651999999999998</v>
      </c>
      <c r="AA13" s="29">
        <f t="shared" si="1"/>
        <v>2.6861999999999999</v>
      </c>
      <c r="AB13" s="29">
        <f t="shared" si="2"/>
        <v>2.7025999999999999</v>
      </c>
      <c r="AC13" s="29">
        <f t="shared" si="2"/>
        <v>3.0207999999999999</v>
      </c>
      <c r="AD13" s="29">
        <f t="shared" si="2"/>
        <v>2.9754999999999998</v>
      </c>
    </row>
    <row r="14" spans="2:30" x14ac:dyDescent="0.2">
      <c r="B14" s="25">
        <v>1035199.31128527</v>
      </c>
      <c r="C14" s="28">
        <f>B14+(D14-B14)*4/5</f>
        <v>1147675.521113622</v>
      </c>
      <c r="D14" s="25">
        <v>1175794.5735707099</v>
      </c>
      <c r="E14" s="25">
        <v>1096872.1711842897</v>
      </c>
      <c r="F14" s="25">
        <v>1148394.6787783271</v>
      </c>
      <c r="H14" s="3">
        <v>1</v>
      </c>
      <c r="J14" s="3">
        <f>J15</f>
        <v>0.2</v>
      </c>
      <c r="K14" s="10"/>
      <c r="M14" s="31"/>
      <c r="N14" s="27"/>
      <c r="O14" s="27" t="s">
        <v>21</v>
      </c>
      <c r="P14" s="28">
        <f t="shared" ref="P14:Q18" si="5">ROUND(B14,$B$2)</f>
        <v>1035200</v>
      </c>
      <c r="Q14" s="28">
        <f t="shared" si="5"/>
        <v>1147700</v>
      </c>
      <c r="R14" s="28">
        <f t="shared" ref="R14:T18" si="6">ROUND(D14,$B$2)</f>
        <v>1175800</v>
      </c>
      <c r="S14" s="28">
        <f t="shared" si="6"/>
        <v>1096900</v>
      </c>
      <c r="T14" s="28">
        <f t="shared" si="6"/>
        <v>1148400</v>
      </c>
      <c r="U14" s="146"/>
      <c r="W14" s="31"/>
      <c r="X14" s="27"/>
      <c r="Y14" s="27" t="s">
        <v>22</v>
      </c>
      <c r="Z14" s="29">
        <f t="shared" si="0"/>
        <v>1.0351999999999999</v>
      </c>
      <c r="AA14" s="29">
        <f t="shared" si="1"/>
        <v>1.1476999999999999</v>
      </c>
      <c r="AB14" s="29">
        <f t="shared" si="2"/>
        <v>1.1758</v>
      </c>
      <c r="AC14" s="29">
        <f t="shared" si="2"/>
        <v>1.0969</v>
      </c>
      <c r="AD14" s="29">
        <f t="shared" si="2"/>
        <v>1.1484000000000001</v>
      </c>
    </row>
    <row r="15" spans="2:30" x14ac:dyDescent="0.2">
      <c r="B15" s="25">
        <v>73574.835999999996</v>
      </c>
      <c r="C15" s="28">
        <f>B15+(D15-B15)*4/5</f>
        <v>76562.070400000011</v>
      </c>
      <c r="D15" s="25">
        <v>77308.879000000015</v>
      </c>
      <c r="E15" s="25">
        <v>74549.747999999992</v>
      </c>
      <c r="F15" s="25">
        <v>153769.85499999998</v>
      </c>
      <c r="H15" s="3">
        <v>1</v>
      </c>
      <c r="J15" s="3">
        <f>J13</f>
        <v>0.2</v>
      </c>
      <c r="K15" s="10"/>
      <c r="M15" s="31"/>
      <c r="N15" s="27"/>
      <c r="O15" s="27" t="s">
        <v>23</v>
      </c>
      <c r="P15" s="28">
        <f t="shared" si="5"/>
        <v>73600</v>
      </c>
      <c r="Q15" s="28">
        <f t="shared" si="5"/>
        <v>76600</v>
      </c>
      <c r="R15" s="28">
        <f t="shared" si="6"/>
        <v>77300</v>
      </c>
      <c r="S15" s="28">
        <f t="shared" si="6"/>
        <v>74500</v>
      </c>
      <c r="T15" s="28">
        <f t="shared" si="6"/>
        <v>153800</v>
      </c>
      <c r="U15" s="146"/>
      <c r="W15" s="31"/>
      <c r="X15" s="27"/>
      <c r="Y15" s="27" t="s">
        <v>24</v>
      </c>
      <c r="Z15" s="29">
        <f t="shared" si="0"/>
        <v>7.3599999999999999E-2</v>
      </c>
      <c r="AA15" s="29">
        <f t="shared" si="1"/>
        <v>7.6600000000000001E-2</v>
      </c>
      <c r="AB15" s="29">
        <f t="shared" ref="AB15:AD16" si="7">R15/$B$3</f>
        <v>7.7299999999999994E-2</v>
      </c>
      <c r="AC15" s="29">
        <f t="shared" si="7"/>
        <v>7.4499999999999997E-2</v>
      </c>
      <c r="AD15" s="29">
        <f t="shared" si="7"/>
        <v>0.15379999999999999</v>
      </c>
    </row>
    <row r="16" spans="2:30" x14ac:dyDescent="0.2">
      <c r="B16" s="25">
        <v>210057.56747623233</v>
      </c>
      <c r="C16" s="28">
        <f>B16+(D16-B16)*4/5</f>
        <v>238655.62773048852</v>
      </c>
      <c r="D16" s="25">
        <v>245805.14279405258</v>
      </c>
      <c r="E16" s="25">
        <v>263993.95941758261</v>
      </c>
      <c r="F16" s="25">
        <v>254466.70743864859</v>
      </c>
      <c r="H16" s="3">
        <v>2</v>
      </c>
      <c r="J16" s="3">
        <f>J17</f>
        <v>0.2</v>
      </c>
      <c r="K16" s="10"/>
      <c r="M16" s="31"/>
      <c r="N16" s="27"/>
      <c r="O16" s="27" t="s">
        <v>25</v>
      </c>
      <c r="P16" s="28">
        <f t="shared" si="5"/>
        <v>210100</v>
      </c>
      <c r="Q16" s="28">
        <f t="shared" si="5"/>
        <v>238700</v>
      </c>
      <c r="R16" s="28">
        <f t="shared" si="6"/>
        <v>245800</v>
      </c>
      <c r="S16" s="28">
        <f t="shared" si="6"/>
        <v>264000</v>
      </c>
      <c r="T16" s="28">
        <f t="shared" si="6"/>
        <v>254500</v>
      </c>
      <c r="U16" s="146"/>
      <c r="W16" s="31"/>
      <c r="X16" s="27"/>
      <c r="Y16" s="27" t="s">
        <v>26</v>
      </c>
      <c r="Z16" s="29">
        <f t="shared" si="0"/>
        <v>0.21010000000000001</v>
      </c>
      <c r="AA16" s="29">
        <f t="shared" si="1"/>
        <v>0.2387</v>
      </c>
      <c r="AB16" s="29">
        <f t="shared" si="7"/>
        <v>0.24579999999999999</v>
      </c>
      <c r="AC16" s="29">
        <f t="shared" si="7"/>
        <v>0.26400000000000001</v>
      </c>
      <c r="AD16" s="29">
        <f t="shared" si="7"/>
        <v>0.2545</v>
      </c>
    </row>
    <row r="17" spans="2:30" x14ac:dyDescent="0.2">
      <c r="B17" s="30">
        <v>166558.68600000002</v>
      </c>
      <c r="C17" s="28">
        <f>B17+(D17-B17)*4/5</f>
        <v>167714.78280000002</v>
      </c>
      <c r="D17" s="30">
        <v>168003.807</v>
      </c>
      <c r="E17" s="30">
        <v>176194.98400000003</v>
      </c>
      <c r="F17" s="30">
        <v>250612.78100000002</v>
      </c>
      <c r="H17" s="3">
        <v>2</v>
      </c>
      <c r="J17" s="3">
        <f>J14</f>
        <v>0.2</v>
      </c>
      <c r="K17" s="10"/>
      <c r="M17" s="31"/>
      <c r="N17" s="27"/>
      <c r="O17" s="27" t="s">
        <v>27</v>
      </c>
      <c r="P17" s="28">
        <f t="shared" si="5"/>
        <v>166600</v>
      </c>
      <c r="Q17" s="28">
        <f t="shared" si="5"/>
        <v>167700</v>
      </c>
      <c r="R17" s="28">
        <f t="shared" si="6"/>
        <v>168000</v>
      </c>
      <c r="S17" s="28">
        <f t="shared" si="6"/>
        <v>176200</v>
      </c>
      <c r="T17" s="28">
        <f t="shared" si="6"/>
        <v>250600</v>
      </c>
      <c r="U17" s="146"/>
      <c r="W17" s="31"/>
      <c r="X17" s="27"/>
      <c r="Y17" s="27" t="s">
        <v>28</v>
      </c>
      <c r="Z17" s="29">
        <f t="shared" si="0"/>
        <v>0.1666</v>
      </c>
      <c r="AA17" s="29">
        <f t="shared" si="1"/>
        <v>0.16769999999999999</v>
      </c>
      <c r="AB17" s="29">
        <f t="shared" si="2"/>
        <v>0.16800000000000001</v>
      </c>
      <c r="AC17" s="29">
        <f>S17/$B$3</f>
        <v>0.1762</v>
      </c>
      <c r="AD17" s="29">
        <f t="shared" si="2"/>
        <v>0.25059999999999999</v>
      </c>
    </row>
    <row r="18" spans="2:30" x14ac:dyDescent="0.2">
      <c r="B18" s="33">
        <v>161145.62898338999</v>
      </c>
      <c r="C18" s="28">
        <f>B18+(D18-B18)*4/5</f>
        <v>174169.02342067799</v>
      </c>
      <c r="D18" s="33">
        <v>177424.87202999997</v>
      </c>
      <c r="E18" s="33">
        <v>171452.53404</v>
      </c>
      <c r="F18" s="33">
        <v>148192.97285999998</v>
      </c>
      <c r="H18" s="3">
        <v>2</v>
      </c>
      <c r="J18" s="3">
        <f>J16</f>
        <v>0.2</v>
      </c>
      <c r="K18" s="10"/>
      <c r="M18" s="31"/>
      <c r="N18" s="27"/>
      <c r="O18" s="27" t="s">
        <v>29</v>
      </c>
      <c r="P18" s="28">
        <f t="shared" si="5"/>
        <v>161100</v>
      </c>
      <c r="Q18" s="28">
        <f t="shared" si="5"/>
        <v>174200</v>
      </c>
      <c r="R18" s="28">
        <f t="shared" si="6"/>
        <v>177400</v>
      </c>
      <c r="S18" s="28">
        <f t="shared" si="6"/>
        <v>171500</v>
      </c>
      <c r="T18" s="28">
        <f t="shared" si="6"/>
        <v>148200</v>
      </c>
      <c r="U18" s="146"/>
      <c r="W18" s="31"/>
      <c r="X18" s="27"/>
      <c r="Y18" s="27" t="s">
        <v>29</v>
      </c>
      <c r="Z18" s="29">
        <f t="shared" si="0"/>
        <v>0.16109999999999999</v>
      </c>
      <c r="AA18" s="29">
        <f t="shared" si="1"/>
        <v>0.17419999999999999</v>
      </c>
      <c r="AB18" s="29">
        <f t="shared" si="2"/>
        <v>0.1774</v>
      </c>
      <c r="AC18" s="29">
        <f>S18/$B$3</f>
        <v>0.17150000000000001</v>
      </c>
      <c r="AD18" s="29">
        <f t="shared" si="2"/>
        <v>0.1482</v>
      </c>
    </row>
    <row r="19" spans="2:30" ht="15.75" x14ac:dyDescent="0.2">
      <c r="B19" s="10"/>
      <c r="C19" s="10"/>
      <c r="D19" s="13"/>
      <c r="E19" s="13"/>
      <c r="F19" s="13"/>
      <c r="H19" s="3">
        <v>2</v>
      </c>
      <c r="I19" s="3">
        <v>1</v>
      </c>
      <c r="J19" s="3">
        <v>0.3</v>
      </c>
      <c r="K19" s="18">
        <v>12</v>
      </c>
      <c r="M19" s="31"/>
      <c r="N19" s="34" t="s">
        <v>30</v>
      </c>
      <c r="O19" s="35"/>
      <c r="P19" s="36">
        <f>SUMIFS(P20:P$43,$J20:$J$43,$J19)</f>
        <v>2701100</v>
      </c>
      <c r="Q19" s="36">
        <f>SUMIFS(Q20:Q$43,$J20:$J$43,$J19)</f>
        <v>2752100</v>
      </c>
      <c r="R19" s="36">
        <f>SUMIFS(R20:R$43,$J20:$J$43,$J19)</f>
        <v>2720000</v>
      </c>
      <c r="S19" s="38">
        <f>ROUND(E19,$B$2)</f>
        <v>0</v>
      </c>
      <c r="T19" s="36">
        <f>SUMIFS(T20:T$43,$J20:$J$43,$J19)</f>
        <v>2781400</v>
      </c>
      <c r="U19" s="145"/>
      <c r="V19" s="23">
        <f>(T19-R19)/R19</f>
        <v>2.2573529411764708E-2</v>
      </c>
      <c r="W19" s="31"/>
      <c r="X19" s="35" t="s">
        <v>30</v>
      </c>
      <c r="Y19" s="35"/>
      <c r="Z19" s="37">
        <f t="shared" si="0"/>
        <v>2.7010999999999998</v>
      </c>
      <c r="AA19" s="37">
        <f t="shared" si="1"/>
        <v>2.7521</v>
      </c>
      <c r="AB19" s="37">
        <f t="shared" si="2"/>
        <v>2.72</v>
      </c>
      <c r="AC19" s="39">
        <f t="shared" si="2"/>
        <v>0</v>
      </c>
      <c r="AD19" s="37">
        <f t="shared" si="2"/>
        <v>2.7814000000000001</v>
      </c>
    </row>
    <row r="20" spans="2:30" x14ac:dyDescent="0.2">
      <c r="B20" s="25">
        <v>620637.74818441027</v>
      </c>
      <c r="C20" s="176">
        <f>Electricity!F23+Electricity!F27</f>
        <v>616481.56289340626</v>
      </c>
      <c r="D20" s="25">
        <v>570596.50434533332</v>
      </c>
      <c r="E20" s="13"/>
      <c r="F20" s="25">
        <v>601255.08351397957</v>
      </c>
      <c r="J20" s="3">
        <f>J19</f>
        <v>0.3</v>
      </c>
      <c r="K20" s="10"/>
      <c r="M20" s="31"/>
      <c r="N20" s="35"/>
      <c r="O20" s="35" t="s">
        <v>13</v>
      </c>
      <c r="P20" s="28">
        <f t="shared" ref="P20:Q22" si="8">ROUND(B20,$B$2)</f>
        <v>620600</v>
      </c>
      <c r="Q20" s="28">
        <f t="shared" si="8"/>
        <v>616500</v>
      </c>
      <c r="R20" s="28">
        <f>ROUND(D20,$B$2)</f>
        <v>570600</v>
      </c>
      <c r="S20" s="38">
        <f>ROUND(E20,$B$2)</f>
        <v>0</v>
      </c>
      <c r="T20" s="28">
        <f>ROUND(F20,$B$2)</f>
        <v>601300</v>
      </c>
      <c r="U20" s="146" t="s">
        <v>72</v>
      </c>
      <c r="V20" s="23">
        <f>(T20-R20)/R20</f>
        <v>5.3803014370837718E-2</v>
      </c>
      <c r="W20" s="31"/>
      <c r="X20" s="35"/>
      <c r="Y20" s="35" t="s">
        <v>13</v>
      </c>
      <c r="Z20" s="29">
        <f t="shared" si="0"/>
        <v>0.62060000000000004</v>
      </c>
      <c r="AA20" s="29">
        <f t="shared" si="1"/>
        <v>0.61650000000000005</v>
      </c>
      <c r="AB20" s="29">
        <f t="shared" si="2"/>
        <v>0.5706</v>
      </c>
      <c r="AC20" s="39">
        <f t="shared" si="2"/>
        <v>0</v>
      </c>
      <c r="AD20" s="29">
        <f t="shared" si="2"/>
        <v>0.60129999999999995</v>
      </c>
    </row>
    <row r="21" spans="2:30" x14ac:dyDescent="0.2">
      <c r="B21" s="30">
        <v>451499.23418948852</v>
      </c>
      <c r="C21" s="28">
        <f>B21+(D21-B21)*4/5</f>
        <v>438306.10239960963</v>
      </c>
      <c r="D21" s="25">
        <v>435007.8194521399</v>
      </c>
      <c r="E21" s="13"/>
      <c r="F21" s="25">
        <v>351085.40076908364</v>
      </c>
      <c r="J21" s="3">
        <f>J20</f>
        <v>0.3</v>
      </c>
      <c r="K21" s="10"/>
      <c r="M21" s="31"/>
      <c r="N21" s="27"/>
      <c r="O21" s="27" t="s">
        <v>31</v>
      </c>
      <c r="P21" s="28">
        <f t="shared" si="8"/>
        <v>451500</v>
      </c>
      <c r="Q21" s="28">
        <f t="shared" si="8"/>
        <v>438300</v>
      </c>
      <c r="R21" s="28">
        <f>ROUND(D21,$B$2)</f>
        <v>435000</v>
      </c>
      <c r="S21" s="38">
        <f>ROUND(E21,$B$2)</f>
        <v>0</v>
      </c>
      <c r="T21" s="28">
        <f>ROUND(F21,$B$2)</f>
        <v>351100</v>
      </c>
      <c r="U21" s="146"/>
      <c r="W21" s="31"/>
      <c r="X21" s="27"/>
      <c r="Y21" s="27" t="s">
        <v>31</v>
      </c>
      <c r="Z21" s="29">
        <f t="shared" si="0"/>
        <v>0.45150000000000001</v>
      </c>
      <c r="AA21" s="29">
        <f t="shared" si="1"/>
        <v>0.43830000000000002</v>
      </c>
      <c r="AB21" s="29">
        <f t="shared" si="2"/>
        <v>0.435</v>
      </c>
      <c r="AC21" s="39">
        <f t="shared" si="2"/>
        <v>0</v>
      </c>
      <c r="AD21" s="29">
        <f t="shared" si="2"/>
        <v>0.35110000000000002</v>
      </c>
    </row>
    <row r="22" spans="2:30" ht="12.75" thickBot="1" x14ac:dyDescent="0.25">
      <c r="B22" s="25">
        <v>1628973.541604439</v>
      </c>
      <c r="C22" s="28">
        <f>B22+(D22-B22)*4/5</f>
        <v>1697336.8705077167</v>
      </c>
      <c r="D22" s="25">
        <v>1714427.702733536</v>
      </c>
      <c r="E22" s="13"/>
      <c r="F22" s="33">
        <v>1828986.9901620613</v>
      </c>
      <c r="J22" s="3">
        <f>J21</f>
        <v>0.3</v>
      </c>
      <c r="K22" s="10"/>
      <c r="M22" s="31"/>
      <c r="N22" s="27"/>
      <c r="O22" s="27" t="s">
        <v>32</v>
      </c>
      <c r="P22" s="28">
        <f t="shared" si="8"/>
        <v>1629000</v>
      </c>
      <c r="Q22" s="28">
        <f t="shared" si="8"/>
        <v>1697300</v>
      </c>
      <c r="R22" s="28">
        <f>ROUND(D22,$B$2)</f>
        <v>1714400</v>
      </c>
      <c r="S22" s="38">
        <f>ROUND(E22,$B$2)</f>
        <v>0</v>
      </c>
      <c r="T22" s="28">
        <f>ROUND(F22,$B$2)</f>
        <v>1829000</v>
      </c>
      <c r="U22" s="146"/>
      <c r="W22" s="31"/>
      <c r="X22" s="27"/>
      <c r="Y22" s="27" t="s">
        <v>32</v>
      </c>
      <c r="Z22" s="29">
        <f t="shared" si="0"/>
        <v>1.629</v>
      </c>
      <c r="AA22" s="29">
        <f t="shared" si="1"/>
        <v>1.6973</v>
      </c>
      <c r="AB22" s="29">
        <f t="shared" si="2"/>
        <v>1.7143999999999999</v>
      </c>
      <c r="AC22" s="39">
        <f t="shared" si="2"/>
        <v>0</v>
      </c>
      <c r="AD22" s="29">
        <f t="shared" si="2"/>
        <v>1.829</v>
      </c>
    </row>
    <row r="23" spans="2:30" ht="13.5" thickTop="1" thickBot="1" x14ac:dyDescent="0.25">
      <c r="B23" s="10"/>
      <c r="C23" s="10"/>
      <c r="D23" s="13"/>
      <c r="E23" s="13"/>
      <c r="F23" s="13"/>
      <c r="I23" s="3">
        <v>2</v>
      </c>
      <c r="K23" s="10"/>
      <c r="M23" s="40" t="s">
        <v>33</v>
      </c>
      <c r="N23" s="41"/>
      <c r="O23" s="41"/>
      <c r="P23" s="42">
        <f>SUMIFS(P24:P$43,$I24:$I$43,$I23)</f>
        <v>6680200</v>
      </c>
      <c r="Q23" s="42">
        <f>SUMIFS(Q24:Q$43,$I24:$I$43,$I23)</f>
        <v>7171300</v>
      </c>
      <c r="R23" s="42">
        <f>SUMIFS(R24:R$43,$I24:$I$43,$I23)</f>
        <v>7293700</v>
      </c>
      <c r="S23" s="42">
        <f>SUMIFS(S24:S$43,$I24:$I$43,$I23)</f>
        <v>6584400</v>
      </c>
      <c r="T23" s="43">
        <f>SUMIFS(T24:T$43,$I24:$I$43,$I23)</f>
        <v>7407100</v>
      </c>
      <c r="U23" s="147"/>
      <c r="W23" s="40" t="s">
        <v>33</v>
      </c>
      <c r="X23" s="41"/>
      <c r="Y23" s="41"/>
      <c r="Z23" s="44">
        <f t="shared" si="0"/>
        <v>6.6802000000000001</v>
      </c>
      <c r="AA23" s="44">
        <f t="shared" si="1"/>
        <v>7.1712999999999996</v>
      </c>
      <c r="AB23" s="44">
        <f t="shared" si="2"/>
        <v>7.2937000000000003</v>
      </c>
      <c r="AC23" s="44">
        <f t="shared" si="2"/>
        <v>6.5843999999999996</v>
      </c>
      <c r="AD23" s="45">
        <f t="shared" si="2"/>
        <v>7.4070999999999998</v>
      </c>
    </row>
    <row r="24" spans="2:30" ht="16.5" thickTop="1" x14ac:dyDescent="0.2">
      <c r="B24" s="10"/>
      <c r="C24" s="10"/>
      <c r="D24" s="13"/>
      <c r="E24" s="13"/>
      <c r="F24" s="13"/>
      <c r="H24" s="3">
        <v>1</v>
      </c>
      <c r="I24" s="3">
        <v>2</v>
      </c>
      <c r="J24" s="3">
        <v>0.4</v>
      </c>
      <c r="K24" s="18">
        <v>12</v>
      </c>
      <c r="M24" s="46"/>
      <c r="N24" s="47" t="s">
        <v>34</v>
      </c>
      <c r="O24" s="48"/>
      <c r="P24" s="22">
        <f>SUMIFS(P25:P$43,$J25:$J$43,$J24)</f>
        <v>5868200</v>
      </c>
      <c r="Q24" s="22">
        <f>SUMIFS(Q25:Q$43,$J25:$J$43,$J24)</f>
        <v>6286300</v>
      </c>
      <c r="R24" s="22">
        <f>SUMIFS(R25:R$43,$J25:$J$43,$J24)</f>
        <v>6390600</v>
      </c>
      <c r="S24" s="22">
        <f>SUMIFS(S25:S$43,$J25:$J$43,$J24)</f>
        <v>6383600</v>
      </c>
      <c r="T24" s="22">
        <f>SUMIFS(T25:T$43,$J25:$J$43,$J24)</f>
        <v>6349800</v>
      </c>
      <c r="U24" s="145"/>
      <c r="W24" s="46"/>
      <c r="X24" s="48" t="s">
        <v>34</v>
      </c>
      <c r="Y24" s="48"/>
      <c r="Z24" s="24">
        <f t="shared" si="0"/>
        <v>5.8681999999999999</v>
      </c>
      <c r="AA24" s="24">
        <f t="shared" si="1"/>
        <v>6.2862999999999998</v>
      </c>
      <c r="AB24" s="24">
        <f t="shared" si="2"/>
        <v>6.3906000000000001</v>
      </c>
      <c r="AC24" s="24">
        <f t="shared" si="2"/>
        <v>6.3836000000000004</v>
      </c>
      <c r="AD24" s="24">
        <f t="shared" si="2"/>
        <v>6.3498000000000001</v>
      </c>
    </row>
    <row r="25" spans="2:30" x14ac:dyDescent="0.2">
      <c r="B25" s="25">
        <v>4718332.4480811553</v>
      </c>
      <c r="C25" s="28">
        <f t="shared" ref="C25:C31" si="9">B25+(D25-B25)*4/5</f>
        <v>5144985.7769440878</v>
      </c>
      <c r="D25" s="25">
        <v>5251649.1091598207</v>
      </c>
      <c r="E25" s="25">
        <v>5217373.5778079936</v>
      </c>
      <c r="F25" s="49">
        <v>5142657.5725452872</v>
      </c>
      <c r="G25" s="3" t="s">
        <v>35</v>
      </c>
      <c r="J25" s="3">
        <f>J24</f>
        <v>0.4</v>
      </c>
      <c r="K25" s="10"/>
      <c r="M25" s="31"/>
      <c r="N25" s="50"/>
      <c r="O25" s="35" t="s">
        <v>36</v>
      </c>
      <c r="P25" s="28">
        <f t="shared" ref="P25:Q31" si="10">ROUND(B25,$B$2)</f>
        <v>4718300</v>
      </c>
      <c r="Q25" s="28">
        <f t="shared" si="10"/>
        <v>5145000</v>
      </c>
      <c r="R25" s="28">
        <f t="shared" ref="R25:T31" si="11">ROUND(D25,$B$2)</f>
        <v>5251600</v>
      </c>
      <c r="S25" s="28">
        <f t="shared" si="11"/>
        <v>5217400</v>
      </c>
      <c r="T25" s="28">
        <f t="shared" si="11"/>
        <v>5142700</v>
      </c>
      <c r="U25" s="146"/>
      <c r="W25" s="31"/>
      <c r="X25" s="51"/>
      <c r="Y25" s="35" t="s">
        <v>36</v>
      </c>
      <c r="Z25" s="29">
        <f t="shared" si="0"/>
        <v>4.7183000000000002</v>
      </c>
      <c r="AA25" s="29">
        <f t="shared" si="1"/>
        <v>5.1449999999999996</v>
      </c>
      <c r="AB25" s="29">
        <f t="shared" si="2"/>
        <v>5.2515999999999998</v>
      </c>
      <c r="AC25" s="29">
        <f t="shared" si="2"/>
        <v>5.2173999999999996</v>
      </c>
      <c r="AD25" s="29">
        <f t="shared" si="2"/>
        <v>5.1426999999999996</v>
      </c>
    </row>
    <row r="26" spans="2:30" x14ac:dyDescent="0.2">
      <c r="B26" s="25">
        <v>1021377.2810339024</v>
      </c>
      <c r="C26" s="28">
        <f t="shared" si="9"/>
        <v>1020054.7529505647</v>
      </c>
      <c r="D26" s="25">
        <v>1019724.1209297304</v>
      </c>
      <c r="E26" s="25">
        <v>1031404.123211365</v>
      </c>
      <c r="F26" s="49">
        <v>1048567.1806773278</v>
      </c>
      <c r="G26" s="3" t="s">
        <v>35</v>
      </c>
      <c r="J26" s="3">
        <f>J27</f>
        <v>0.4</v>
      </c>
      <c r="K26" s="10"/>
      <c r="M26" s="31"/>
      <c r="N26" s="50"/>
      <c r="O26" s="35" t="s">
        <v>37</v>
      </c>
      <c r="P26" s="28">
        <f t="shared" si="10"/>
        <v>1021400</v>
      </c>
      <c r="Q26" s="28">
        <f t="shared" si="10"/>
        <v>1020100</v>
      </c>
      <c r="R26" s="28">
        <f t="shared" si="11"/>
        <v>1019700</v>
      </c>
      <c r="S26" s="28">
        <f t="shared" si="11"/>
        <v>1031400</v>
      </c>
      <c r="T26" s="28">
        <f t="shared" si="11"/>
        <v>1048600</v>
      </c>
      <c r="U26" s="146"/>
      <c r="W26" s="31"/>
      <c r="X26" s="51"/>
      <c r="Y26" s="35" t="s">
        <v>37</v>
      </c>
      <c r="Z26" s="29">
        <f t="shared" si="0"/>
        <v>1.0214000000000001</v>
      </c>
      <c r="AA26" s="29">
        <f t="shared" si="1"/>
        <v>1.0201</v>
      </c>
      <c r="AB26" s="29">
        <f t="shared" si="2"/>
        <v>1.0197000000000001</v>
      </c>
      <c r="AC26" s="29">
        <f t="shared" si="2"/>
        <v>1.0314000000000001</v>
      </c>
      <c r="AD26" s="29">
        <f t="shared" si="2"/>
        <v>1.0486</v>
      </c>
    </row>
    <row r="27" spans="2:30" x14ac:dyDescent="0.2">
      <c r="B27" s="25">
        <v>128541.24178484213</v>
      </c>
      <c r="C27" s="28">
        <f t="shared" si="9"/>
        <v>121182.69282110367</v>
      </c>
      <c r="D27" s="25">
        <v>119343.05558016905</v>
      </c>
      <c r="E27" s="25">
        <v>134843.403995373</v>
      </c>
      <c r="F27" s="49">
        <v>158507.94134500009</v>
      </c>
      <c r="G27" s="3" t="s">
        <v>35</v>
      </c>
      <c r="J27" s="3">
        <f>J25</f>
        <v>0.4</v>
      </c>
      <c r="K27" s="10"/>
      <c r="M27" s="31"/>
      <c r="N27" s="50"/>
      <c r="O27" s="35" t="s">
        <v>38</v>
      </c>
      <c r="P27" s="28">
        <f t="shared" si="10"/>
        <v>128500</v>
      </c>
      <c r="Q27" s="28">
        <f t="shared" si="10"/>
        <v>121200</v>
      </c>
      <c r="R27" s="28">
        <f t="shared" si="11"/>
        <v>119300</v>
      </c>
      <c r="S27" s="52">
        <f t="shared" si="11"/>
        <v>134800</v>
      </c>
      <c r="T27" s="28">
        <f t="shared" si="11"/>
        <v>158500</v>
      </c>
      <c r="U27" s="146"/>
      <c r="W27" s="31"/>
      <c r="X27" s="51"/>
      <c r="Y27" s="35" t="s">
        <v>38</v>
      </c>
      <c r="Z27" s="29">
        <f t="shared" si="0"/>
        <v>0.1285</v>
      </c>
      <c r="AA27" s="29">
        <f t="shared" si="1"/>
        <v>0.1212</v>
      </c>
      <c r="AB27" s="29">
        <f t="shared" si="2"/>
        <v>0.1193</v>
      </c>
      <c r="AC27" s="53">
        <f t="shared" si="2"/>
        <v>0.1348</v>
      </c>
      <c r="AD27" s="29">
        <f t="shared" si="2"/>
        <v>0.1585</v>
      </c>
    </row>
    <row r="28" spans="2:30" x14ac:dyDescent="0.2">
      <c r="B28" s="25">
        <v>48842.611311180051</v>
      </c>
      <c r="C28" s="28">
        <f t="shared" si="9"/>
        <v>77463.734726549359</v>
      </c>
      <c r="D28" s="25">
        <v>84619.015580391686</v>
      </c>
      <c r="E28" s="13">
        <v>99852.709336619519</v>
      </c>
      <c r="F28" s="25">
        <v>88108.39372879584</v>
      </c>
      <c r="H28" s="3">
        <v>2</v>
      </c>
      <c r="I28" s="3">
        <v>2</v>
      </c>
      <c r="K28" s="10"/>
      <c r="M28" s="31"/>
      <c r="N28" s="50" t="s">
        <v>39</v>
      </c>
      <c r="O28" s="54"/>
      <c r="P28" s="36">
        <f t="shared" si="10"/>
        <v>48800</v>
      </c>
      <c r="Q28" s="36">
        <f t="shared" si="10"/>
        <v>77500</v>
      </c>
      <c r="R28" s="36">
        <f t="shared" si="11"/>
        <v>84600</v>
      </c>
      <c r="S28" s="55">
        <f t="shared" si="11"/>
        <v>99900</v>
      </c>
      <c r="T28" s="36">
        <f t="shared" si="11"/>
        <v>88100</v>
      </c>
      <c r="U28" s="145"/>
      <c r="W28" s="31"/>
      <c r="X28" s="54" t="s">
        <v>40</v>
      </c>
      <c r="Y28" s="54"/>
      <c r="Z28" s="29">
        <f t="shared" si="0"/>
        <v>4.8800000000000003E-2</v>
      </c>
      <c r="AA28" s="29">
        <f t="shared" si="1"/>
        <v>7.7499999999999999E-2</v>
      </c>
      <c r="AB28" s="29">
        <f t="shared" si="2"/>
        <v>8.4599999999999995E-2</v>
      </c>
      <c r="AC28" s="53">
        <f t="shared" si="2"/>
        <v>9.9900000000000003E-2</v>
      </c>
      <c r="AD28" s="29">
        <f t="shared" si="2"/>
        <v>8.8099999999999998E-2</v>
      </c>
    </row>
    <row r="29" spans="2:30" x14ac:dyDescent="0.2">
      <c r="B29" s="25">
        <v>140455.9014015618</v>
      </c>
      <c r="C29" s="28">
        <f t="shared" si="9"/>
        <v>137703.32965595744</v>
      </c>
      <c r="D29" s="25">
        <v>137015.18671955634</v>
      </c>
      <c r="E29" s="13"/>
      <c r="F29" s="25">
        <v>185789.49862458775</v>
      </c>
      <c r="H29" s="3">
        <v>2</v>
      </c>
      <c r="I29" s="3">
        <v>2</v>
      </c>
      <c r="K29" s="10"/>
      <c r="M29" s="31"/>
      <c r="N29" s="56" t="s">
        <v>41</v>
      </c>
      <c r="O29" s="54"/>
      <c r="P29" s="36">
        <f t="shared" si="10"/>
        <v>140500</v>
      </c>
      <c r="Q29" s="36">
        <f t="shared" si="10"/>
        <v>137700</v>
      </c>
      <c r="R29" s="36">
        <f t="shared" si="11"/>
        <v>137000</v>
      </c>
      <c r="S29" s="57">
        <f t="shared" si="11"/>
        <v>0</v>
      </c>
      <c r="T29" s="36">
        <f t="shared" si="11"/>
        <v>185800</v>
      </c>
      <c r="U29" s="145"/>
      <c r="W29" s="31"/>
      <c r="X29" s="54" t="s">
        <v>41</v>
      </c>
      <c r="Y29" s="54"/>
      <c r="Z29" s="29">
        <f t="shared" si="0"/>
        <v>0.14050000000000001</v>
      </c>
      <c r="AA29" s="29">
        <f t="shared" si="1"/>
        <v>0.13769999999999999</v>
      </c>
      <c r="AB29" s="29">
        <f t="shared" si="2"/>
        <v>0.13700000000000001</v>
      </c>
      <c r="AC29" s="39">
        <f t="shared" si="2"/>
        <v>0</v>
      </c>
      <c r="AD29" s="29">
        <f t="shared" si="2"/>
        <v>0.18579999999999999</v>
      </c>
    </row>
    <row r="30" spans="2:30" ht="12.75" thickBot="1" x14ac:dyDescent="0.25">
      <c r="B30" s="25">
        <v>97132.267999999996</v>
      </c>
      <c r="C30" s="28">
        <f t="shared" si="9"/>
        <v>102691.7632</v>
      </c>
      <c r="D30" s="25">
        <v>104081.637</v>
      </c>
      <c r="E30" s="13">
        <v>100908.60500000001</v>
      </c>
      <c r="F30" s="25">
        <v>128813.859</v>
      </c>
      <c r="H30" s="3">
        <v>2</v>
      </c>
      <c r="I30" s="3">
        <v>2</v>
      </c>
      <c r="K30" s="10"/>
      <c r="M30" s="58"/>
      <c r="N30" s="59" t="s">
        <v>42</v>
      </c>
      <c r="O30" s="60"/>
      <c r="P30" s="61">
        <f t="shared" si="10"/>
        <v>97100</v>
      </c>
      <c r="Q30" s="61">
        <f t="shared" si="10"/>
        <v>102700</v>
      </c>
      <c r="R30" s="61">
        <f t="shared" si="11"/>
        <v>104100</v>
      </c>
      <c r="S30" s="62">
        <f t="shared" si="11"/>
        <v>100900</v>
      </c>
      <c r="T30" s="61">
        <f t="shared" si="11"/>
        <v>128800</v>
      </c>
      <c r="U30" s="145"/>
      <c r="W30" s="58"/>
      <c r="X30" s="60" t="s">
        <v>42</v>
      </c>
      <c r="Y30" s="60"/>
      <c r="Z30" s="63">
        <f t="shared" si="0"/>
        <v>9.7100000000000006E-2</v>
      </c>
      <c r="AA30" s="63">
        <f t="shared" si="1"/>
        <v>0.1027</v>
      </c>
      <c r="AB30" s="63">
        <f t="shared" si="2"/>
        <v>0.1041</v>
      </c>
      <c r="AC30" s="64">
        <f t="shared" si="2"/>
        <v>0.1009</v>
      </c>
      <c r="AD30" s="63">
        <f t="shared" si="2"/>
        <v>0.1288</v>
      </c>
    </row>
    <row r="31" spans="2:30" ht="13.5" thickTop="1" thickBot="1" x14ac:dyDescent="0.25">
      <c r="B31" s="25">
        <v>525619.20639736531</v>
      </c>
      <c r="C31" s="28">
        <f t="shared" si="9"/>
        <v>567082.9417833864</v>
      </c>
      <c r="D31" s="25">
        <v>577448.87562989164</v>
      </c>
      <c r="E31" s="13"/>
      <c r="F31" s="25">
        <v>654619.3622122386</v>
      </c>
      <c r="H31" s="3">
        <v>2</v>
      </c>
      <c r="I31" s="3">
        <v>2</v>
      </c>
      <c r="K31" s="10"/>
      <c r="M31" s="65"/>
      <c r="N31" s="66" t="s">
        <v>43</v>
      </c>
      <c r="O31" s="67"/>
      <c r="P31" s="68">
        <f>ROUND(B31,$B$2)</f>
        <v>525600</v>
      </c>
      <c r="Q31" s="68">
        <f t="shared" si="10"/>
        <v>567100</v>
      </c>
      <c r="R31" s="68">
        <f t="shared" si="11"/>
        <v>577400</v>
      </c>
      <c r="S31" s="69">
        <f t="shared" si="11"/>
        <v>0</v>
      </c>
      <c r="T31" s="61">
        <f t="shared" si="11"/>
        <v>654600</v>
      </c>
      <c r="U31" s="145"/>
      <c r="W31" s="65"/>
      <c r="X31" s="67" t="s">
        <v>43</v>
      </c>
      <c r="Y31" s="67"/>
      <c r="Z31" s="70">
        <f t="shared" si="0"/>
        <v>0.52559999999999996</v>
      </c>
      <c r="AA31" s="70">
        <f t="shared" si="1"/>
        <v>0.56710000000000005</v>
      </c>
      <c r="AB31" s="70">
        <f t="shared" si="2"/>
        <v>0.57740000000000002</v>
      </c>
      <c r="AC31" s="71"/>
      <c r="AD31" s="63">
        <f t="shared" si="2"/>
        <v>0.65459999999999996</v>
      </c>
    </row>
    <row r="32" spans="2:30" ht="13.5" thickTop="1" thickBot="1" x14ac:dyDescent="0.25">
      <c r="B32" s="10"/>
      <c r="C32" s="10"/>
      <c r="D32" s="13"/>
      <c r="E32" s="13"/>
      <c r="F32" s="13"/>
      <c r="H32" s="3">
        <v>1</v>
      </c>
      <c r="I32" s="3">
        <v>3</v>
      </c>
      <c r="K32" s="10"/>
      <c r="M32" s="72" t="s">
        <v>44</v>
      </c>
      <c r="N32" s="73"/>
      <c r="O32" s="73"/>
      <c r="P32" s="74">
        <f>SUMIFS(P33:P$43,$I33:$I$43,$I32)</f>
        <v>260100</v>
      </c>
      <c r="Q32" s="74">
        <f>SUMIFS(Q33:Q$43,$I33:$I$43,$I32)</f>
        <v>248200</v>
      </c>
      <c r="R32" s="74">
        <f>SUMIFS(R33:R$43,$I33:$I$43,$I32)</f>
        <v>245200</v>
      </c>
      <c r="S32" s="74">
        <f>SUMIFS(S33:S$43,$I33:$I$43,$I32)</f>
        <v>231700</v>
      </c>
      <c r="T32" s="75">
        <f>SUMIFS(T33:T$43,$I33:$I$43,$I32)</f>
        <v>205200</v>
      </c>
      <c r="U32" s="148"/>
      <c r="W32" s="72" t="s">
        <v>44</v>
      </c>
      <c r="X32" s="73"/>
      <c r="Y32" s="73"/>
      <c r="Z32" s="76">
        <f t="shared" si="0"/>
        <v>0.2601</v>
      </c>
      <c r="AA32" s="76">
        <f t="shared" si="1"/>
        <v>0.2482</v>
      </c>
      <c r="AB32" s="76">
        <f t="shared" si="2"/>
        <v>0.2452</v>
      </c>
      <c r="AC32" s="76">
        <f t="shared" si="2"/>
        <v>0.23169999999999999</v>
      </c>
      <c r="AD32" s="77">
        <f t="shared" si="2"/>
        <v>0.20519999999999999</v>
      </c>
    </row>
    <row r="33" spans="2:30" ht="17.25" thickTop="1" thickBot="1" x14ac:dyDescent="0.25">
      <c r="B33" s="3">
        <v>260050</v>
      </c>
      <c r="C33" s="28">
        <f>B33+(D33-B33)*4/5</f>
        <v>248162.8</v>
      </c>
      <c r="D33" s="25">
        <v>245191</v>
      </c>
      <c r="E33" s="33">
        <v>231694.40302771862</v>
      </c>
      <c r="F33" s="33">
        <v>205158.9615137222</v>
      </c>
      <c r="I33" s="3">
        <v>3</v>
      </c>
      <c r="K33" s="18">
        <v>12</v>
      </c>
      <c r="M33" s="78"/>
      <c r="N33" s="79" t="s">
        <v>45</v>
      </c>
      <c r="O33" s="79"/>
      <c r="P33" s="80">
        <f>ROUND(B33,$B$2)</f>
        <v>260100</v>
      </c>
      <c r="Q33" s="80">
        <f>ROUND(C33,$B$2)</f>
        <v>248200</v>
      </c>
      <c r="R33" s="80">
        <f>ROUND(D33,$B$2)</f>
        <v>245200</v>
      </c>
      <c r="S33" s="80">
        <f>ROUND(E33,$B$2)</f>
        <v>231700</v>
      </c>
      <c r="T33" s="80">
        <f>ROUND(F33,$B$2)</f>
        <v>205200</v>
      </c>
      <c r="U33" s="146"/>
      <c r="W33" s="78"/>
      <c r="X33" s="79" t="s">
        <v>45</v>
      </c>
      <c r="Y33" s="79"/>
      <c r="Z33" s="81">
        <f t="shared" si="0"/>
        <v>0.2601</v>
      </c>
      <c r="AA33" s="81">
        <f t="shared" si="1"/>
        <v>0.2482</v>
      </c>
      <c r="AB33" s="81">
        <f t="shared" si="2"/>
        <v>0.2452</v>
      </c>
      <c r="AC33" s="81">
        <f t="shared" si="2"/>
        <v>0.23169999999999999</v>
      </c>
      <c r="AD33" s="81">
        <f t="shared" si="2"/>
        <v>0.20519999999999999</v>
      </c>
    </row>
    <row r="34" spans="2:30" ht="13.5" thickTop="1" thickBot="1" x14ac:dyDescent="0.25">
      <c r="B34" s="10"/>
      <c r="C34" s="10"/>
      <c r="D34" s="13"/>
      <c r="E34" s="13"/>
      <c r="F34" s="13"/>
      <c r="I34" s="3">
        <v>4</v>
      </c>
      <c r="K34" s="10"/>
      <c r="M34" s="82" t="s">
        <v>46</v>
      </c>
      <c r="N34" s="83"/>
      <c r="O34" s="83"/>
      <c r="P34" s="84">
        <f>SUMIFS(P35:P$43,$I35:$I$43,$I34)</f>
        <v>54200</v>
      </c>
      <c r="Q34" s="84">
        <f>SUMIFS(Q35:Q$43,$I35:$I$43,$I34)</f>
        <v>56000</v>
      </c>
      <c r="R34" s="84">
        <f>SUMIFS(R35:R$43,$I35:$I$43,$I34)</f>
        <v>56400</v>
      </c>
      <c r="S34" s="84">
        <f>SUMIFS(S35:S$43,$I35:$I$43,$I34)</f>
        <v>1000</v>
      </c>
      <c r="T34" s="85">
        <f>SUMIFS(T35:T$43,$I35:$I$43,$I34)</f>
        <v>61600</v>
      </c>
      <c r="U34" s="149"/>
      <c r="W34" s="82" t="s">
        <v>46</v>
      </c>
      <c r="X34" s="83"/>
      <c r="Y34" s="83"/>
      <c r="Z34" s="86">
        <f t="shared" si="0"/>
        <v>5.4199999999999998E-2</v>
      </c>
      <c r="AA34" s="86">
        <f t="shared" si="1"/>
        <v>5.6000000000000001E-2</v>
      </c>
      <c r="AB34" s="86">
        <f t="shared" si="2"/>
        <v>5.6399999999999999E-2</v>
      </c>
      <c r="AC34" s="86">
        <f t="shared" si="2"/>
        <v>1E-3</v>
      </c>
      <c r="AD34" s="87">
        <f t="shared" si="2"/>
        <v>6.1600000000000002E-2</v>
      </c>
    </row>
    <row r="35" spans="2:30" ht="16.5" thickTop="1" x14ac:dyDescent="0.2">
      <c r="B35" s="88">
        <v>1868.3159526309337</v>
      </c>
      <c r="C35" s="28">
        <f>B35+(D35-B35)*4/5</f>
        <v>787.70235220075801</v>
      </c>
      <c r="D35" s="33">
        <v>517.54895209321398</v>
      </c>
      <c r="E35" s="89"/>
      <c r="F35" s="33">
        <v>980.27666657412487</v>
      </c>
      <c r="I35" s="3">
        <v>4</v>
      </c>
      <c r="K35" s="18">
        <v>12</v>
      </c>
      <c r="M35" s="46"/>
      <c r="N35" s="90" t="s">
        <v>47</v>
      </c>
      <c r="O35" s="90"/>
      <c r="P35" s="91">
        <f t="shared" ref="P35:Q36" si="12">ROUND(B35,$B$2)</f>
        <v>1900</v>
      </c>
      <c r="Q35" s="91">
        <f t="shared" si="12"/>
        <v>800</v>
      </c>
      <c r="R35" s="91">
        <f>ROUND(D35,$B$2)</f>
        <v>500</v>
      </c>
      <c r="S35" s="92">
        <f>ROUND(F35,$B$2)</f>
        <v>1000</v>
      </c>
      <c r="T35" s="91">
        <f>ROUND(F35,$B$2)</f>
        <v>1000</v>
      </c>
      <c r="U35" s="146"/>
      <c r="V35" s="23">
        <f>(T35-R35)/R35</f>
        <v>1</v>
      </c>
      <c r="W35" s="46"/>
      <c r="X35" s="90" t="s">
        <v>47</v>
      </c>
      <c r="Y35" s="90"/>
      <c r="Z35" s="93">
        <f t="shared" si="0"/>
        <v>1.9E-3</v>
      </c>
      <c r="AA35" s="93">
        <f t="shared" si="1"/>
        <v>8.0000000000000004E-4</v>
      </c>
      <c r="AB35" s="93">
        <f t="shared" si="2"/>
        <v>5.0000000000000001E-4</v>
      </c>
      <c r="AC35" s="94">
        <f t="shared" si="2"/>
        <v>1E-3</v>
      </c>
      <c r="AD35" s="93">
        <f t="shared" si="2"/>
        <v>1E-3</v>
      </c>
    </row>
    <row r="36" spans="2:30" ht="12.75" thickBot="1" x14ac:dyDescent="0.25">
      <c r="B36" s="95">
        <v>52299.349586801371</v>
      </c>
      <c r="C36" s="28">
        <f>B36+(D36-B36)*4/5</f>
        <v>55151.858179286195</v>
      </c>
      <c r="D36" s="96">
        <v>55864.985327407405</v>
      </c>
      <c r="E36" s="96"/>
      <c r="F36" s="96">
        <v>60638.936895782579</v>
      </c>
      <c r="H36" s="3">
        <v>2</v>
      </c>
      <c r="I36" s="3">
        <v>4</v>
      </c>
      <c r="K36" s="10"/>
      <c r="M36" s="97"/>
      <c r="N36" s="60" t="s">
        <v>48</v>
      </c>
      <c r="O36" s="60"/>
      <c r="P36" s="98">
        <f t="shared" si="12"/>
        <v>52300</v>
      </c>
      <c r="Q36" s="98">
        <f t="shared" si="12"/>
        <v>55200</v>
      </c>
      <c r="R36" s="98">
        <f>ROUND(D36,$B$2)</f>
        <v>55900</v>
      </c>
      <c r="S36" s="99">
        <f>ROUND(E36,$B$2)</f>
        <v>0</v>
      </c>
      <c r="T36" s="98">
        <f>ROUND(F36,$B$2)</f>
        <v>60600</v>
      </c>
      <c r="U36" s="146"/>
      <c r="V36" s="23">
        <f>(T36-R36)/R36</f>
        <v>8.4078711985688726E-2</v>
      </c>
      <c r="W36" s="97"/>
      <c r="X36" s="60" t="s">
        <v>48</v>
      </c>
      <c r="Y36" s="60"/>
      <c r="Z36" s="63">
        <f t="shared" si="0"/>
        <v>5.2299999999999999E-2</v>
      </c>
      <c r="AA36" s="63">
        <f t="shared" si="1"/>
        <v>5.5199999999999999E-2</v>
      </c>
      <c r="AB36" s="63">
        <f t="shared" si="2"/>
        <v>5.5899999999999998E-2</v>
      </c>
      <c r="AC36" s="100">
        <f t="shared" si="2"/>
        <v>0</v>
      </c>
      <c r="AD36" s="63">
        <f t="shared" si="2"/>
        <v>6.0600000000000001E-2</v>
      </c>
    </row>
    <row r="37" spans="2:30" ht="13.5" thickTop="1" thickBot="1" x14ac:dyDescent="0.25">
      <c r="B37" s="10"/>
      <c r="C37" s="10"/>
      <c r="D37" s="13"/>
      <c r="E37" s="13"/>
      <c r="F37" s="13"/>
      <c r="H37" s="3">
        <v>2</v>
      </c>
      <c r="I37" s="3">
        <v>5</v>
      </c>
      <c r="K37" s="10"/>
      <c r="M37" s="101" t="s">
        <v>49</v>
      </c>
      <c r="N37" s="102"/>
      <c r="O37" s="102"/>
      <c r="P37" s="103">
        <f>SUMIFS(P38:P$43,$I38:$I$43,$I37)</f>
        <v>125900</v>
      </c>
      <c r="Q37" s="103">
        <f>SUMIFS(Q38:Q$43,$I38:$I$43,$I37)</f>
        <v>130100</v>
      </c>
      <c r="R37" s="103">
        <f>SUMIFS(R38:R$43,$I38:$I$43,$I37)</f>
        <v>131100</v>
      </c>
      <c r="S37" s="103">
        <f>SUMIFS(S38:S$43,$I38:$I$43,$I37)</f>
        <v>0</v>
      </c>
      <c r="T37" s="104">
        <f>SUMIFS(T38:T$43,$I38:$I$43,$I37)</f>
        <v>111800</v>
      </c>
      <c r="U37" s="150"/>
      <c r="W37" s="101" t="s">
        <v>49</v>
      </c>
      <c r="X37" s="102"/>
      <c r="Y37" s="102"/>
      <c r="Z37" s="105">
        <f t="shared" si="0"/>
        <v>0.12590000000000001</v>
      </c>
      <c r="AA37" s="105">
        <f t="shared" si="1"/>
        <v>0.13009999999999999</v>
      </c>
      <c r="AB37" s="105">
        <f t="shared" si="2"/>
        <v>0.13109999999999999</v>
      </c>
      <c r="AC37" s="105">
        <f t="shared" si="2"/>
        <v>0</v>
      </c>
      <c r="AD37" s="106">
        <f t="shared" si="2"/>
        <v>0.1118</v>
      </c>
    </row>
    <row r="38" spans="2:30" ht="16.5" thickTop="1" x14ac:dyDescent="0.2">
      <c r="B38" s="25">
        <v>52414.380899999996</v>
      </c>
      <c r="C38" s="28">
        <f>B38+(D38-B38)*4/5</f>
        <v>55774.6511179585</v>
      </c>
      <c r="D38" s="25">
        <v>56614.718672448129</v>
      </c>
      <c r="E38" s="13"/>
      <c r="F38" s="25">
        <v>58997.591999999997</v>
      </c>
      <c r="I38" s="3">
        <v>5</v>
      </c>
      <c r="K38" s="18">
        <v>12</v>
      </c>
      <c r="M38" s="19" t="s">
        <v>11</v>
      </c>
      <c r="N38" s="90" t="s">
        <v>50</v>
      </c>
      <c r="O38" s="90"/>
      <c r="P38" s="91">
        <f t="shared" ref="P38:Q39" si="13">ROUND(B38,$B$2)</f>
        <v>52400</v>
      </c>
      <c r="Q38" s="91">
        <f t="shared" si="13"/>
        <v>55800</v>
      </c>
      <c r="R38" s="91">
        <f t="shared" ref="R38:T39" si="14">ROUND(D38,$B$2)</f>
        <v>56600</v>
      </c>
      <c r="S38" s="92">
        <f t="shared" si="14"/>
        <v>0</v>
      </c>
      <c r="T38" s="91">
        <f t="shared" si="14"/>
        <v>59000</v>
      </c>
      <c r="U38" s="146"/>
      <c r="W38" s="19" t="s">
        <v>11</v>
      </c>
      <c r="X38" s="90" t="s">
        <v>50</v>
      </c>
      <c r="Y38" s="90"/>
      <c r="Z38" s="93">
        <f t="shared" si="0"/>
        <v>5.2400000000000002E-2</v>
      </c>
      <c r="AA38" s="93">
        <f t="shared" si="1"/>
        <v>5.5800000000000002E-2</v>
      </c>
      <c r="AB38" s="93">
        <f t="shared" si="2"/>
        <v>5.6599999999999998E-2</v>
      </c>
      <c r="AC38" s="94">
        <f t="shared" si="2"/>
        <v>0</v>
      </c>
      <c r="AD38" s="93">
        <f t="shared" si="2"/>
        <v>5.8999999999999997E-2</v>
      </c>
    </row>
    <row r="39" spans="2:30" ht="12.75" thickBot="1" x14ac:dyDescent="0.25">
      <c r="B39" s="25">
        <v>73509.617970104475</v>
      </c>
      <c r="C39" s="28">
        <f>B39+(D39-B39)*4/5</f>
        <v>74286.913393475304</v>
      </c>
      <c r="D39" s="25">
        <v>74481.237249318016</v>
      </c>
      <c r="E39" s="13"/>
      <c r="F39" s="25">
        <v>52777.064659818956</v>
      </c>
      <c r="I39" s="3">
        <v>5</v>
      </c>
      <c r="K39" s="10"/>
      <c r="M39" s="107"/>
      <c r="N39" s="60" t="s">
        <v>51</v>
      </c>
      <c r="O39" s="60"/>
      <c r="P39" s="98">
        <f t="shared" si="13"/>
        <v>73500</v>
      </c>
      <c r="Q39" s="98">
        <f t="shared" si="13"/>
        <v>74300</v>
      </c>
      <c r="R39" s="98">
        <f t="shared" si="14"/>
        <v>74500</v>
      </c>
      <c r="S39" s="99">
        <f t="shared" si="14"/>
        <v>0</v>
      </c>
      <c r="T39" s="98">
        <f t="shared" si="14"/>
        <v>52800</v>
      </c>
      <c r="U39" s="146"/>
      <c r="W39" s="107"/>
      <c r="X39" s="60" t="s">
        <v>51</v>
      </c>
      <c r="Y39" s="60"/>
      <c r="Z39" s="63">
        <f t="shared" si="0"/>
        <v>7.3499999999999996E-2</v>
      </c>
      <c r="AA39" s="63">
        <f t="shared" si="1"/>
        <v>7.4300000000000005E-2</v>
      </c>
      <c r="AB39" s="63">
        <f t="shared" si="2"/>
        <v>7.4499999999999997E-2</v>
      </c>
      <c r="AC39" s="100">
        <f t="shared" si="2"/>
        <v>0</v>
      </c>
      <c r="AD39" s="63">
        <f t="shared" si="2"/>
        <v>5.28E-2</v>
      </c>
    </row>
    <row r="40" spans="2:30" ht="13.5" thickTop="1" thickBot="1" x14ac:dyDescent="0.25">
      <c r="B40" s="10"/>
      <c r="C40" s="10"/>
      <c r="D40" s="13"/>
      <c r="E40" s="13"/>
      <c r="F40" s="13"/>
      <c r="H40" s="3">
        <v>3</v>
      </c>
      <c r="I40" s="3">
        <v>6</v>
      </c>
      <c r="K40" s="10"/>
      <c r="M40" s="108" t="s">
        <v>52</v>
      </c>
      <c r="N40" s="109"/>
      <c r="O40" s="109"/>
      <c r="P40" s="110">
        <f>SUMIFS(P41:P$45,$I41:$I$45,$I40)</f>
        <v>2291000</v>
      </c>
      <c r="Q40" s="110">
        <f>SUMIFS(Q41:Q$45,$I41:$I$45,$I40)</f>
        <v>2690100</v>
      </c>
      <c r="R40" s="110">
        <f>SUMIFS(R41:R$45,$I41:$I$45,$I40)</f>
        <v>3017300</v>
      </c>
      <c r="S40" s="110">
        <f>SUMIFS(S41:S$45,$I41:$I$45,$I40)</f>
        <v>0</v>
      </c>
      <c r="T40" s="110">
        <f>SUMIFS(T41:T$45,$I41:$I$45,$I40)</f>
        <v>3135900</v>
      </c>
      <c r="U40" s="151"/>
      <c r="W40" s="108" t="s">
        <v>52</v>
      </c>
      <c r="X40" s="109"/>
      <c r="Y40" s="109"/>
      <c r="Z40" s="111">
        <f t="shared" si="0"/>
        <v>2.2909999999999999</v>
      </c>
      <c r="AA40" s="111">
        <f t="shared" si="1"/>
        <v>2.6901000000000002</v>
      </c>
      <c r="AB40" s="111">
        <f t="shared" si="2"/>
        <v>3.0173000000000001</v>
      </c>
      <c r="AC40" s="111">
        <f t="shared" si="2"/>
        <v>0</v>
      </c>
      <c r="AD40" s="112">
        <f t="shared" si="2"/>
        <v>3.1358999999999999</v>
      </c>
    </row>
    <row r="41" spans="2:30" ht="12.75" thickTop="1" x14ac:dyDescent="0.2">
      <c r="B41" s="30">
        <v>202367.39394800738</v>
      </c>
      <c r="C41" s="28">
        <f>B41+(D41-B41)*4/5</f>
        <v>176339.50622516955</v>
      </c>
      <c r="D41" s="25">
        <v>169832.53429446009</v>
      </c>
      <c r="E41" s="25"/>
      <c r="F41" s="25">
        <v>137862.61099732964</v>
      </c>
      <c r="I41" s="3">
        <v>6</v>
      </c>
      <c r="K41" s="10"/>
      <c r="M41" s="31"/>
      <c r="N41" s="54" t="s">
        <v>53</v>
      </c>
      <c r="O41" s="54"/>
      <c r="P41" s="28">
        <f t="shared" ref="P41:Q43" si="15">ROUND(B41,$B$2)</f>
        <v>202400</v>
      </c>
      <c r="Q41" s="28">
        <f t="shared" si="15"/>
        <v>176300</v>
      </c>
      <c r="R41" s="28">
        <f t="shared" ref="R41:T44" si="16">ROUND(D41,$B$2)</f>
        <v>169800</v>
      </c>
      <c r="S41" s="38">
        <f t="shared" si="16"/>
        <v>0</v>
      </c>
      <c r="T41" s="28">
        <f t="shared" si="16"/>
        <v>137900</v>
      </c>
      <c r="U41" s="146"/>
      <c r="W41" s="31"/>
      <c r="X41" s="54" t="s">
        <v>53</v>
      </c>
      <c r="Y41" s="54"/>
      <c r="Z41" s="29">
        <f t="shared" si="0"/>
        <v>0.2024</v>
      </c>
      <c r="AA41" s="29">
        <f t="shared" si="1"/>
        <v>0.17630000000000001</v>
      </c>
      <c r="AB41" s="29">
        <f t="shared" si="2"/>
        <v>0.16980000000000001</v>
      </c>
      <c r="AC41" s="39">
        <f t="shared" si="2"/>
        <v>0</v>
      </c>
      <c r="AD41" s="29">
        <f t="shared" si="2"/>
        <v>0.13789999999999999</v>
      </c>
    </row>
    <row r="42" spans="2:30" x14ac:dyDescent="0.2">
      <c r="B42" s="25">
        <v>9676.8512490642206</v>
      </c>
      <c r="C42" s="28">
        <f>B42+(D42-B42)*4/5</f>
        <v>8593.2946537523676</v>
      </c>
      <c r="D42" s="25">
        <v>8322.4055049244034</v>
      </c>
      <c r="E42" s="13"/>
      <c r="F42" s="25">
        <v>9365.7623305047491</v>
      </c>
      <c r="I42" s="3">
        <v>6</v>
      </c>
      <c r="K42" s="10"/>
      <c r="M42" s="26"/>
      <c r="N42" s="54" t="s">
        <v>54</v>
      </c>
      <c r="O42" s="54"/>
      <c r="P42" s="28">
        <f t="shared" si="15"/>
        <v>9700</v>
      </c>
      <c r="Q42" s="28">
        <f t="shared" si="15"/>
        <v>8600</v>
      </c>
      <c r="R42" s="28">
        <f t="shared" si="16"/>
        <v>8300</v>
      </c>
      <c r="S42" s="38">
        <f t="shared" si="16"/>
        <v>0</v>
      </c>
      <c r="T42" s="28">
        <f t="shared" si="16"/>
        <v>9400</v>
      </c>
      <c r="U42" s="146"/>
      <c r="W42" s="26"/>
      <c r="X42" s="54" t="s">
        <v>54</v>
      </c>
      <c r="Y42" s="54"/>
      <c r="Z42" s="29">
        <f t="shared" si="0"/>
        <v>9.7000000000000003E-3</v>
      </c>
      <c r="AA42" s="29">
        <f t="shared" si="1"/>
        <v>8.6E-3</v>
      </c>
      <c r="AB42" s="29">
        <f t="shared" si="2"/>
        <v>8.3000000000000001E-3</v>
      </c>
      <c r="AC42" s="39">
        <f t="shared" si="2"/>
        <v>0</v>
      </c>
      <c r="AD42" s="29">
        <f t="shared" si="2"/>
        <v>9.4000000000000004E-3</v>
      </c>
    </row>
    <row r="43" spans="2:30" x14ac:dyDescent="0.2">
      <c r="B43" s="25">
        <v>100215.26703757372</v>
      </c>
      <c r="C43" s="28">
        <f>B43+(D43-B43)*4/5</f>
        <v>66074.597357075458</v>
      </c>
      <c r="D43" s="25">
        <v>57539.429936950888</v>
      </c>
      <c r="E43" s="13"/>
      <c r="F43" s="25">
        <v>49383.603291054067</v>
      </c>
      <c r="I43" s="3">
        <v>6</v>
      </c>
      <c r="K43" s="10"/>
      <c r="M43" s="26"/>
      <c r="N43" s="54" t="s">
        <v>55</v>
      </c>
      <c r="O43" s="54"/>
      <c r="P43" s="28">
        <f t="shared" si="15"/>
        <v>100200</v>
      </c>
      <c r="Q43" s="28">
        <f t="shared" si="15"/>
        <v>66100</v>
      </c>
      <c r="R43" s="28">
        <f t="shared" si="16"/>
        <v>57500</v>
      </c>
      <c r="S43" s="38">
        <f t="shared" si="16"/>
        <v>0</v>
      </c>
      <c r="T43" s="28">
        <f t="shared" si="16"/>
        <v>49400</v>
      </c>
      <c r="U43" s="146"/>
      <c r="W43" s="26"/>
      <c r="X43" s="54" t="s">
        <v>55</v>
      </c>
      <c r="Y43" s="54"/>
      <c r="Z43" s="29">
        <f t="shared" si="0"/>
        <v>0.1002</v>
      </c>
      <c r="AA43" s="29">
        <f t="shared" si="1"/>
        <v>6.6100000000000006E-2</v>
      </c>
      <c r="AB43" s="29">
        <f t="shared" si="2"/>
        <v>5.7500000000000002E-2</v>
      </c>
      <c r="AC43" s="39">
        <f t="shared" si="2"/>
        <v>0</v>
      </c>
      <c r="AD43" s="29">
        <f t="shared" si="2"/>
        <v>4.9399999999999999E-2</v>
      </c>
    </row>
    <row r="44" spans="2:30" ht="12.75" thickBot="1" x14ac:dyDescent="0.25">
      <c r="B44" s="30">
        <v>609298.68587765377</v>
      </c>
      <c r="C44" s="28">
        <f>B44+(D44-B44)*4/5</f>
        <v>839525.87059576227</v>
      </c>
      <c r="D44" s="25">
        <v>897082.66677528946</v>
      </c>
      <c r="E44" s="13"/>
      <c r="F44" s="96">
        <v>1054625.5552212831</v>
      </c>
      <c r="I44" s="3">
        <v>6</v>
      </c>
      <c r="J44" s="3">
        <f>J22</f>
        <v>0.3</v>
      </c>
      <c r="K44" s="10"/>
      <c r="L44" s="113"/>
      <c r="M44" s="58"/>
      <c r="N44" s="114" t="s">
        <v>56</v>
      </c>
      <c r="O44" s="114"/>
      <c r="P44" s="98">
        <f>ROUND(B44,$B$2)</f>
        <v>609300</v>
      </c>
      <c r="Q44" s="98">
        <f>ROUND(C44,$B$2)</f>
        <v>839500</v>
      </c>
      <c r="R44" s="98">
        <f t="shared" si="16"/>
        <v>897100</v>
      </c>
      <c r="S44" s="99">
        <f t="shared" si="16"/>
        <v>0</v>
      </c>
      <c r="T44" s="98">
        <f t="shared" si="16"/>
        <v>1054600</v>
      </c>
      <c r="U44" s="146"/>
      <c r="W44" s="58"/>
      <c r="X44" s="114" t="s">
        <v>56</v>
      </c>
      <c r="Y44" s="114"/>
      <c r="Z44" s="63">
        <f t="shared" si="0"/>
        <v>0.60929999999999995</v>
      </c>
      <c r="AA44" s="63">
        <f t="shared" si="1"/>
        <v>0.83950000000000002</v>
      </c>
      <c r="AB44" s="63">
        <f>R44/$B$3</f>
        <v>0.89710000000000001</v>
      </c>
      <c r="AC44" s="100">
        <f>S44/$B$3</f>
        <v>0</v>
      </c>
      <c r="AD44" s="63">
        <f>T44/$B$3</f>
        <v>1.0546</v>
      </c>
    </row>
    <row r="45" spans="2:30" ht="13.5" thickTop="1" thickBot="1" x14ac:dyDescent="0.25">
      <c r="B45" s="30">
        <v>1369410.8278348127</v>
      </c>
      <c r="C45" s="28"/>
      <c r="D45" s="25">
        <v>1599586.2264872263</v>
      </c>
      <c r="E45" s="13"/>
      <c r="F45" s="96">
        <v>1884561.5452340713</v>
      </c>
      <c r="I45" s="3">
        <v>6</v>
      </c>
      <c r="K45" s="10"/>
      <c r="L45" s="113"/>
      <c r="M45" s="58"/>
      <c r="N45" s="114" t="s">
        <v>73</v>
      </c>
      <c r="O45" s="114"/>
      <c r="P45" s="98">
        <f>ROUND(B45,$B$2)</f>
        <v>1369400</v>
      </c>
      <c r="Q45" s="98">
        <f>ROUND(D45,$B$2)</f>
        <v>1599600</v>
      </c>
      <c r="R45" s="98">
        <f>ROUND(F45,$B$2)</f>
        <v>1884600</v>
      </c>
      <c r="S45" s="99"/>
      <c r="T45" s="98">
        <f>ROUND(F45,$B$2)</f>
        <v>1884600</v>
      </c>
      <c r="U45" s="146"/>
      <c r="W45" s="58"/>
      <c r="X45" s="114" t="str">
        <f>N45</f>
        <v>Residential and business air travel</v>
      </c>
      <c r="Y45" s="114"/>
      <c r="Z45" s="63">
        <f t="shared" si="0"/>
        <v>1.3694</v>
      </c>
      <c r="AA45" s="63">
        <f t="shared" si="1"/>
        <v>1.5995999999999999</v>
      </c>
      <c r="AB45" s="63">
        <f>R45/$B$3</f>
        <v>1.8846000000000001</v>
      </c>
      <c r="AC45" s="100"/>
      <c r="AD45" s="63">
        <f>T45/$B$3</f>
        <v>1.8846000000000001</v>
      </c>
    </row>
    <row r="46" spans="2:30" ht="13.5" thickTop="1" thickBot="1" x14ac:dyDescent="0.25">
      <c r="B46" s="10"/>
      <c r="C46" s="10"/>
      <c r="D46" s="13"/>
      <c r="E46" s="13"/>
      <c r="F46" s="13"/>
      <c r="K46" s="10"/>
      <c r="M46" s="115" t="s">
        <v>57</v>
      </c>
      <c r="N46" s="116"/>
      <c r="O46" s="116"/>
      <c r="P46" s="117"/>
      <c r="Q46" s="117"/>
      <c r="R46" s="117"/>
      <c r="S46" s="117"/>
      <c r="T46" s="118"/>
      <c r="U46" s="152"/>
      <c r="W46" s="115" t="s">
        <v>57</v>
      </c>
      <c r="X46" s="116"/>
      <c r="Y46" s="116"/>
      <c r="Z46" s="119">
        <f t="shared" si="0"/>
        <v>0</v>
      </c>
      <c r="AA46" s="119">
        <f t="shared" si="1"/>
        <v>0</v>
      </c>
      <c r="AB46" s="119">
        <f t="shared" si="2"/>
        <v>0</v>
      </c>
      <c r="AC46" s="119">
        <f t="shared" si="2"/>
        <v>0</v>
      </c>
      <c r="AD46" s="120">
        <f>T46/$B$3</f>
        <v>0</v>
      </c>
    </row>
    <row r="47" spans="2:30" ht="17.25" thickTop="1" thickBot="1" x14ac:dyDescent="0.25">
      <c r="B47" s="10"/>
      <c r="C47" s="10"/>
      <c r="D47" s="13"/>
      <c r="E47" s="13"/>
      <c r="F47" s="13"/>
      <c r="H47" s="3">
        <v>2</v>
      </c>
      <c r="K47" s="18">
        <v>12</v>
      </c>
      <c r="M47" s="121"/>
      <c r="N47" s="122" t="s">
        <v>58</v>
      </c>
      <c r="O47" s="123"/>
      <c r="P47" s="124">
        <f>SUMIFS(P$6:P$43,$H$6:$H$43,"&lt;="&amp;$H47)</f>
        <v>18475300</v>
      </c>
      <c r="Q47" s="124">
        <f>SUMIFS(Q$6:Q$43,$H$6:$H$43,"&lt;="&amp;$H47)</f>
        <v>19724700</v>
      </c>
      <c r="R47" s="124">
        <f>SUMIFS(R$6:R$43,$H$6:$H$43,"&lt;="&amp;$H47)</f>
        <v>19894900</v>
      </c>
      <c r="S47" s="125"/>
      <c r="T47" s="124">
        <f>SUMIFS(T$6:T$43,$H$6:$H$43,"&lt;="&amp;$H47)</f>
        <v>20318100</v>
      </c>
      <c r="U47" s="153"/>
      <c r="V47" s="23">
        <f>(T47-R47)/R47</f>
        <v>2.1271783220825437E-2</v>
      </c>
      <c r="W47" s="121"/>
      <c r="X47" s="122" t="s">
        <v>59</v>
      </c>
      <c r="Y47" s="123"/>
      <c r="Z47" s="126">
        <f t="shared" si="0"/>
        <v>18.475300000000001</v>
      </c>
      <c r="AA47" s="126">
        <f t="shared" si="1"/>
        <v>19.724699999999999</v>
      </c>
      <c r="AB47" s="126">
        <f t="shared" si="2"/>
        <v>19.8949</v>
      </c>
      <c r="AC47" s="127">
        <f t="shared" si="2"/>
        <v>0</v>
      </c>
      <c r="AD47" s="126">
        <f t="shared" si="2"/>
        <v>20.318100000000001</v>
      </c>
    </row>
    <row r="48" spans="2:30" ht="14.25" thickTop="1" thickBot="1" x14ac:dyDescent="0.25">
      <c r="B48" s="10"/>
      <c r="C48" s="10"/>
      <c r="D48" s="13"/>
      <c r="E48" s="13"/>
      <c r="F48" s="13"/>
      <c r="H48" s="3">
        <v>1</v>
      </c>
      <c r="K48" s="10"/>
      <c r="M48" s="121"/>
      <c r="N48" s="128"/>
      <c r="O48" s="123" t="s">
        <v>60</v>
      </c>
      <c r="P48" s="124">
        <f>SUMIFS(P$6:P$43,$H$6:$H$43,$H48)</f>
        <v>13556200</v>
      </c>
      <c r="Q48" s="124">
        <f>SUMIFS(Q$6:Q$43,$H$6:$H$43,$H48)</f>
        <v>14685200</v>
      </c>
      <c r="R48" s="124">
        <f>SUMIFS(R$6:R$43,$H$6:$H$43,$H48)</f>
        <v>14870400</v>
      </c>
      <c r="S48" s="124">
        <f>SUMIFS(S$6:S$43,$H$6:$H$43,$H48)</f>
        <v>15179000</v>
      </c>
      <c r="T48" s="124">
        <f>SUMIFS(T$6:T$43,$H$6:$H$43,$H48)</f>
        <v>15022700</v>
      </c>
      <c r="U48" s="153"/>
      <c r="W48" s="121"/>
      <c r="X48" s="128"/>
      <c r="Y48" s="123" t="s">
        <v>60</v>
      </c>
      <c r="Z48" s="126">
        <f t="shared" si="0"/>
        <v>13.5562</v>
      </c>
      <c r="AA48" s="126">
        <f t="shared" si="1"/>
        <v>14.6852</v>
      </c>
      <c r="AB48" s="126">
        <f t="shared" si="2"/>
        <v>14.8704</v>
      </c>
      <c r="AC48" s="126">
        <f t="shared" si="2"/>
        <v>15.179</v>
      </c>
      <c r="AD48" s="126">
        <f t="shared" si="2"/>
        <v>15.0227</v>
      </c>
    </row>
    <row r="49" spans="2:30" ht="14.25" thickTop="1" thickBot="1" x14ac:dyDescent="0.25">
      <c r="B49" s="10"/>
      <c r="C49" s="10"/>
      <c r="D49" s="13"/>
      <c r="E49" s="13"/>
      <c r="F49" s="13"/>
      <c r="H49" s="3">
        <v>2</v>
      </c>
      <c r="K49" s="10"/>
      <c r="M49" s="129"/>
      <c r="N49" s="130"/>
      <c r="O49" s="122" t="s">
        <v>61</v>
      </c>
      <c r="P49" s="131">
        <f t="shared" ref="P49:R50" si="17">SUMIFS(P$6:P$43,$H$6:$H$43,$H49)</f>
        <v>4919100</v>
      </c>
      <c r="Q49" s="131">
        <f t="shared" si="17"/>
        <v>5039500</v>
      </c>
      <c r="R49" s="131">
        <f t="shared" si="17"/>
        <v>5024500</v>
      </c>
      <c r="S49" s="132"/>
      <c r="T49" s="131">
        <f>SUMIFS(T$6:T$43,$H$6:$H$43,$H49)</f>
        <v>5295400</v>
      </c>
      <c r="U49" s="154"/>
      <c r="W49" s="129"/>
      <c r="X49" s="130"/>
      <c r="Y49" s="122" t="s">
        <v>61</v>
      </c>
      <c r="Z49" s="133">
        <f t="shared" si="0"/>
        <v>4.9191000000000003</v>
      </c>
      <c r="AA49" s="133">
        <f t="shared" si="1"/>
        <v>5.0395000000000003</v>
      </c>
      <c r="AB49" s="133">
        <f t="shared" si="2"/>
        <v>5.0244999999999997</v>
      </c>
      <c r="AC49" s="134">
        <f t="shared" si="2"/>
        <v>0</v>
      </c>
      <c r="AD49" s="133">
        <f t="shared" si="2"/>
        <v>5.2953999999999999</v>
      </c>
    </row>
    <row r="50" spans="2:30" ht="14.25" thickTop="1" thickBot="1" x14ac:dyDescent="0.25">
      <c r="B50" s="10"/>
      <c r="C50" s="10"/>
      <c r="D50" s="13"/>
      <c r="E50" s="13"/>
      <c r="F50" s="13"/>
      <c r="H50" s="3">
        <v>3</v>
      </c>
      <c r="K50" s="10"/>
      <c r="M50" s="135"/>
      <c r="N50" s="136"/>
      <c r="O50" s="137" t="s">
        <v>62</v>
      </c>
      <c r="P50" s="138">
        <f t="shared" si="17"/>
        <v>2291000</v>
      </c>
      <c r="Q50" s="138">
        <f t="shared" si="17"/>
        <v>2690100</v>
      </c>
      <c r="R50" s="138">
        <f t="shared" si="17"/>
        <v>3017300</v>
      </c>
      <c r="S50" s="139">
        <f>SUM(S47:S48)</f>
        <v>15179000</v>
      </c>
      <c r="T50" s="138">
        <f>SUMIFS(T$6:T$43,$H$6:$H$43,$H50)</f>
        <v>3135900</v>
      </c>
      <c r="U50" s="155"/>
      <c r="W50" s="135"/>
      <c r="X50" s="136"/>
      <c r="Y50" s="137" t="s">
        <v>62</v>
      </c>
      <c r="Z50" s="140">
        <f t="shared" si="0"/>
        <v>2.2909999999999999</v>
      </c>
      <c r="AA50" s="140">
        <f t="shared" si="1"/>
        <v>2.6901000000000002</v>
      </c>
      <c r="AB50" s="140">
        <f t="shared" si="2"/>
        <v>3.0173000000000001</v>
      </c>
      <c r="AC50" s="141">
        <f t="shared" si="2"/>
        <v>15.179</v>
      </c>
      <c r="AD50" s="140">
        <f t="shared" si="2"/>
        <v>3.1358999999999999</v>
      </c>
    </row>
    <row r="51" spans="2:30" ht="13.5" thickTop="1" thickBot="1" x14ac:dyDescent="0.25">
      <c r="B51" s="10"/>
      <c r="C51" s="10"/>
      <c r="D51" s="13"/>
      <c r="E51" s="13"/>
      <c r="F51" s="13"/>
      <c r="K51" s="10"/>
      <c r="M51" s="115" t="s">
        <v>63</v>
      </c>
      <c r="N51" s="116"/>
      <c r="O51" s="116"/>
      <c r="P51" s="117"/>
      <c r="Q51" s="117"/>
      <c r="R51" s="117"/>
      <c r="S51" s="117"/>
      <c r="T51" s="118"/>
      <c r="U51" s="152"/>
      <c r="W51" s="115"/>
      <c r="X51" s="116"/>
      <c r="Y51" s="116"/>
      <c r="Z51" s="119"/>
      <c r="AA51" s="119"/>
      <c r="AB51" s="119"/>
      <c r="AC51" s="119"/>
      <c r="AD51" s="120"/>
    </row>
    <row r="52" spans="2:30" ht="12.75" thickTop="1" x14ac:dyDescent="0.2">
      <c r="B52" s="30"/>
      <c r="C52" s="30"/>
      <c r="D52" s="25"/>
      <c r="E52" s="25"/>
      <c r="F52" s="25"/>
      <c r="K52" s="10"/>
      <c r="M52" s="31"/>
      <c r="N52" s="27" t="s">
        <v>64</v>
      </c>
      <c r="O52" s="27"/>
      <c r="P52" s="28">
        <v>-387636</v>
      </c>
      <c r="Q52" s="28"/>
      <c r="R52" s="28">
        <v>-395031</v>
      </c>
      <c r="S52" s="28">
        <v>-377613.05160741514</v>
      </c>
      <c r="T52" s="28">
        <v>-348920.82808770984</v>
      </c>
      <c r="U52" s="146"/>
      <c r="W52" s="31"/>
      <c r="X52" s="27"/>
      <c r="Y52" s="27"/>
      <c r="Z52" s="29"/>
      <c r="AA52" s="29"/>
      <c r="AB52" s="29"/>
      <c r="AC52" s="29"/>
      <c r="AD52" s="29"/>
    </row>
    <row r="56" spans="2:30" x14ac:dyDescent="0.2">
      <c r="P56" s="142">
        <f>P47/R47</f>
        <v>0.92864502963070938</v>
      </c>
      <c r="Q56" s="142"/>
    </row>
  </sheetData>
  <conditionalFormatting sqref="H50:J50 H6:J44 H46:J47">
    <cfRule type="cellIs" dxfId="3" priority="4" operator="greaterThan">
      <formula>0</formula>
    </cfRule>
  </conditionalFormatting>
  <conditionalFormatting sqref="H48:J48 I49:J49">
    <cfRule type="cellIs" dxfId="2" priority="3" operator="greaterThan">
      <formula>0</formula>
    </cfRule>
  </conditionalFormatting>
  <conditionalFormatting sqref="H49">
    <cfRule type="cellIs" dxfId="1" priority="2" operator="greaterThan">
      <formula>0</formula>
    </cfRule>
  </conditionalFormatting>
  <conditionalFormatting sqref="H45:J4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C9" sqref="C9"/>
    </sheetView>
  </sheetViews>
  <sheetFormatPr defaultRowHeight="12" x14ac:dyDescent="0.2"/>
  <cols>
    <col min="1" max="1" width="30.28515625" bestFit="1" customWidth="1"/>
    <col min="2" max="2" width="14.85546875" bestFit="1" customWidth="1"/>
    <col min="3" max="3" width="10.140625" bestFit="1" customWidth="1"/>
    <col min="4" max="4" width="16" bestFit="1" customWidth="1"/>
    <col min="5" max="7" width="16" customWidth="1"/>
    <col min="8" max="8" width="6.42578125" bestFit="1" customWidth="1"/>
    <col min="9" max="9" width="13.28515625" bestFit="1" customWidth="1"/>
  </cols>
  <sheetData>
    <row r="2" spans="1:9" x14ac:dyDescent="0.2">
      <c r="D2" s="180">
        <v>0.08</v>
      </c>
      <c r="E2" t="s">
        <v>78</v>
      </c>
    </row>
    <row r="3" spans="1:9" ht="12.75" x14ac:dyDescent="0.2">
      <c r="A3" t="s">
        <v>66</v>
      </c>
      <c r="H3" s="186" t="s">
        <v>80</v>
      </c>
    </row>
    <row r="4" spans="1:9" x14ac:dyDescent="0.2">
      <c r="A4" s="157" t="s">
        <v>70</v>
      </c>
      <c r="B4" s="158">
        <v>2003</v>
      </c>
      <c r="C4" s="158">
        <v>2008</v>
      </c>
      <c r="D4" s="159">
        <v>2007</v>
      </c>
      <c r="E4" t="s">
        <v>78</v>
      </c>
      <c r="F4" t="s">
        <v>79</v>
      </c>
    </row>
    <row r="5" spans="1:9" x14ac:dyDescent="0.2">
      <c r="A5" s="160" t="s">
        <v>12</v>
      </c>
      <c r="B5" s="161">
        <v>4652125.3710000003</v>
      </c>
      <c r="C5" s="161">
        <v>5128648.8260000004</v>
      </c>
      <c r="D5" s="162">
        <f>B5+(C5-B5)*4/5</f>
        <v>5033344.1350000007</v>
      </c>
      <c r="E5" s="182">
        <f t="shared" ref="E5:E7" si="0">$D$2/(1-$D$2)*D5</f>
        <v>437682.09869565221</v>
      </c>
      <c r="F5" s="182">
        <f>SUM(D5:E5)</f>
        <v>5471026.2336956533</v>
      </c>
    </row>
    <row r="6" spans="1:9" x14ac:dyDescent="0.2">
      <c r="A6" s="160" t="s">
        <v>20</v>
      </c>
      <c r="B6" s="161">
        <v>4866336.1720000003</v>
      </c>
      <c r="C6" s="161">
        <v>5599881.2290000003</v>
      </c>
      <c r="D6" s="162">
        <f t="shared" ref="D6:D7" si="1">B6+(C6-B6)*4/5</f>
        <v>5453172.2176000001</v>
      </c>
      <c r="E6" s="182">
        <f t="shared" si="0"/>
        <v>474188.88848695654</v>
      </c>
      <c r="F6" s="182">
        <f t="shared" ref="F6:F11" si="2">SUM(D6:E6)</f>
        <v>5927361.1060869563</v>
      </c>
    </row>
    <row r="7" spans="1:9" x14ac:dyDescent="0.2">
      <c r="A7" s="160" t="s">
        <v>30</v>
      </c>
      <c r="B7" s="161">
        <v>1306454.9809999999</v>
      </c>
      <c r="C7" s="161">
        <v>1240043.443</v>
      </c>
      <c r="D7" s="162">
        <f t="shared" si="1"/>
        <v>1253325.7505999999</v>
      </c>
      <c r="E7" s="182">
        <f t="shared" si="0"/>
        <v>108984.84787826086</v>
      </c>
      <c r="F7" s="182">
        <f t="shared" si="2"/>
        <v>1362310.5984782607</v>
      </c>
    </row>
    <row r="8" spans="1:9" x14ac:dyDescent="0.2">
      <c r="A8" s="163" t="s">
        <v>74</v>
      </c>
      <c r="B8" s="161"/>
      <c r="C8" s="161"/>
      <c r="D8" s="179">
        <v>9507194658</v>
      </c>
      <c r="E8" s="183"/>
      <c r="F8" s="183"/>
    </row>
    <row r="9" spans="1:9" x14ac:dyDescent="0.2">
      <c r="A9" s="160" t="s">
        <v>12</v>
      </c>
      <c r="B9" s="161">
        <v>2961083.9389999998</v>
      </c>
      <c r="C9" s="161">
        <v>3203515.3080000002</v>
      </c>
      <c r="D9" s="178">
        <f>$D$8*H9/1000</f>
        <v>3168075.7024785685</v>
      </c>
      <c r="E9" s="182">
        <f>$D$2/(1-$D$2)*D9</f>
        <v>275484.84369378857</v>
      </c>
      <c r="F9" s="182">
        <f t="shared" si="2"/>
        <v>3443560.5461723572</v>
      </c>
      <c r="G9" s="177"/>
      <c r="H9" s="185">
        <f>C9/SUM($C$9:$C$11)</f>
        <v>0.33322928754937547</v>
      </c>
      <c r="I9" t="s">
        <v>75</v>
      </c>
    </row>
    <row r="10" spans="1:9" x14ac:dyDescent="0.2">
      <c r="A10" s="160" t="s">
        <v>20</v>
      </c>
      <c r="B10" s="161">
        <v>4873512.5470353151</v>
      </c>
      <c r="C10" s="161">
        <v>5287255.4425628884</v>
      </c>
      <c r="D10" s="178">
        <f t="shared" ref="D10:D11" si="3">$D$8*H10/1000</f>
        <v>5228763.9951496227</v>
      </c>
      <c r="E10" s="182">
        <f t="shared" ref="E10:E11" si="4">$D$2/(1-$D$2)*D10</f>
        <v>454675.13001301064</v>
      </c>
      <c r="F10" s="182">
        <f t="shared" si="2"/>
        <v>5683439.1251626331</v>
      </c>
      <c r="G10" s="177"/>
      <c r="H10" s="185">
        <f>C10/SUM($C$9:$C$11)</f>
        <v>0.54997969256365076</v>
      </c>
      <c r="I10" t="s">
        <v>76</v>
      </c>
    </row>
    <row r="11" spans="1:9" x14ac:dyDescent="0.2">
      <c r="A11" s="164" t="s">
        <v>30</v>
      </c>
      <c r="B11" s="165">
        <v>1034915.4859646839</v>
      </c>
      <c r="C11" s="165">
        <v>1122775.920437112</v>
      </c>
      <c r="D11" s="181">
        <f t="shared" si="3"/>
        <v>1110354.9603718093</v>
      </c>
      <c r="E11" s="182">
        <f t="shared" si="4"/>
        <v>96552.605249722546</v>
      </c>
      <c r="F11" s="182">
        <f t="shared" si="2"/>
        <v>1206907.5656215318</v>
      </c>
      <c r="G11" s="177"/>
      <c r="H11" s="185">
        <f>C11/SUM($C$9:$C$11)</f>
        <v>0.11679101988697382</v>
      </c>
      <c r="I11" t="s">
        <v>77</v>
      </c>
    </row>
    <row r="12" spans="1:9" x14ac:dyDescent="0.2">
      <c r="B12" s="156"/>
      <c r="C12" s="156"/>
      <c r="D12" s="156"/>
    </row>
    <row r="13" spans="1:9" x14ac:dyDescent="0.2">
      <c r="B13" s="156"/>
      <c r="C13" s="156"/>
      <c r="D13" s="156" t="s">
        <v>67</v>
      </c>
    </row>
    <row r="14" spans="1:9" x14ac:dyDescent="0.2">
      <c r="B14" s="156"/>
      <c r="C14" s="167" t="s">
        <v>70</v>
      </c>
      <c r="D14" s="168">
        <v>0.44458296404827252</v>
      </c>
      <c r="E14" s="159" t="s">
        <v>68</v>
      </c>
      <c r="F14" s="173"/>
      <c r="G14" s="173"/>
    </row>
    <row r="15" spans="1:9" x14ac:dyDescent="0.2">
      <c r="B15" s="156"/>
      <c r="C15" s="169" t="s">
        <v>71</v>
      </c>
      <c r="D15" s="170">
        <v>8.9662865457241885E-3</v>
      </c>
      <c r="E15" s="171" t="s">
        <v>68</v>
      </c>
      <c r="F15" s="173"/>
      <c r="G15" s="173"/>
    </row>
    <row r="16" spans="1:9" x14ac:dyDescent="0.2">
      <c r="B16" s="156"/>
      <c r="C16" s="161"/>
      <c r="D16" s="172"/>
      <c r="E16" s="173"/>
      <c r="F16" s="173"/>
      <c r="G16" s="173"/>
    </row>
    <row r="17" spans="1:7" x14ac:dyDescent="0.2">
      <c r="B17" s="156"/>
      <c r="C17" s="161"/>
      <c r="D17" s="172"/>
      <c r="E17" s="173"/>
      <c r="F17" s="173"/>
      <c r="G17" s="173"/>
    </row>
    <row r="18" spans="1:7" x14ac:dyDescent="0.2">
      <c r="B18" s="156"/>
      <c r="C18" s="161"/>
      <c r="D18" s="172"/>
      <c r="E18" s="173"/>
      <c r="F18" s="173"/>
      <c r="G18" s="173"/>
    </row>
    <row r="19" spans="1:7" x14ac:dyDescent="0.2">
      <c r="B19" s="156"/>
      <c r="C19" s="156"/>
      <c r="D19" s="156" t="s">
        <v>69</v>
      </c>
    </row>
    <row r="20" spans="1:7" x14ac:dyDescent="0.2">
      <c r="A20" s="157" t="s">
        <v>70</v>
      </c>
      <c r="B20" s="174"/>
      <c r="C20" s="174"/>
      <c r="D20" s="175">
        <v>2007</v>
      </c>
    </row>
    <row r="21" spans="1:7" x14ac:dyDescent="0.2">
      <c r="A21" s="160" t="s">
        <v>12</v>
      </c>
      <c r="B21" s="161"/>
      <c r="C21" s="161"/>
      <c r="D21" s="162">
        <f>D5*$D$14</f>
        <v>2237739.0546132885</v>
      </c>
      <c r="F21" s="184">
        <f>F5*$D$14</f>
        <v>2432325.0593622704</v>
      </c>
      <c r="G21" s="173"/>
    </row>
    <row r="22" spans="1:7" x14ac:dyDescent="0.2">
      <c r="A22" s="160" t="s">
        <v>20</v>
      </c>
      <c r="B22" s="161"/>
      <c r="C22" s="161"/>
      <c r="D22" s="162">
        <f t="shared" ref="D22:F23" si="5">D6*$D$14</f>
        <v>2424387.4679662995</v>
      </c>
      <c r="F22" s="184">
        <f t="shared" si="5"/>
        <v>2635203.769528586</v>
      </c>
      <c r="G22" s="173"/>
    </row>
    <row r="23" spans="1:7" x14ac:dyDescent="0.2">
      <c r="A23" s="160" t="s">
        <v>30</v>
      </c>
      <c r="B23" s="161"/>
      <c r="C23" s="161"/>
      <c r="D23" s="162">
        <f t="shared" si="5"/>
        <v>557207.27711977391</v>
      </c>
      <c r="F23" s="184">
        <f t="shared" si="5"/>
        <v>605660.0838258412</v>
      </c>
      <c r="G23" s="173"/>
    </row>
    <row r="24" spans="1:7" x14ac:dyDescent="0.2">
      <c r="A24" s="163" t="s">
        <v>71</v>
      </c>
      <c r="B24" s="161"/>
      <c r="C24" s="161"/>
      <c r="D24" s="162"/>
      <c r="F24" s="184"/>
      <c r="G24" s="173"/>
    </row>
    <row r="25" spans="1:7" x14ac:dyDescent="0.2">
      <c r="A25" s="160" t="s">
        <v>12</v>
      </c>
      <c r="B25" s="161"/>
      <c r="C25" s="161"/>
      <c r="D25" s="162">
        <f>D9*$D$15</f>
        <v>28405.874546969295</v>
      </c>
      <c r="F25" s="184">
        <f>F9*$D$15</f>
        <v>30875.950594531845</v>
      </c>
      <c r="G25" s="173"/>
    </row>
    <row r="26" spans="1:7" x14ac:dyDescent="0.2">
      <c r="A26" s="160" t="s">
        <v>20</v>
      </c>
      <c r="B26" s="161"/>
      <c r="C26" s="161"/>
      <c r="D26" s="162">
        <f t="shared" ref="D26:F27" si="6">D10*$D$15</f>
        <v>46882.596260477119</v>
      </c>
      <c r="F26" s="184">
        <f t="shared" si="6"/>
        <v>50959.343761388169</v>
      </c>
      <c r="G26" s="173"/>
    </row>
    <row r="27" spans="1:7" x14ac:dyDescent="0.2">
      <c r="A27" s="160" t="s">
        <v>30</v>
      </c>
      <c r="B27" s="161"/>
      <c r="C27" s="161"/>
      <c r="D27" s="162">
        <f t="shared" si="6"/>
        <v>9955.7607421598677</v>
      </c>
      <c r="F27" s="184">
        <f t="shared" si="6"/>
        <v>10821.479067565073</v>
      </c>
      <c r="G27" s="173"/>
    </row>
    <row r="28" spans="1:7" x14ac:dyDescent="0.2">
      <c r="A28" s="164"/>
      <c r="B28" s="165"/>
      <c r="C28" s="165"/>
      <c r="D28" s="166"/>
    </row>
    <row r="29" spans="1:7" x14ac:dyDescent="0.2">
      <c r="B29" s="156"/>
      <c r="C29" s="156"/>
      <c r="D29" s="156"/>
    </row>
    <row r="30" spans="1:7" ht="12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Summary_RptTbls</vt:lpstr>
      <vt:lpstr>Electricity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Harmon</dc:creator>
  <cp:lastModifiedBy>Andrea Martin</cp:lastModifiedBy>
  <dcterms:created xsi:type="dcterms:W3CDTF">2017-08-03T19:39:03Z</dcterms:created>
  <dcterms:modified xsi:type="dcterms:W3CDTF">2017-10-03T21:19:25Z</dcterms:modified>
</cp:coreProperties>
</file>